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 name="SAMPLE-CMP-007" sheetId="39" state="visible" r:id="rId41"/>
    <sheet name="SAMPLE-CMP-008" sheetId="40" state="visible" r:id="rId4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<sst xmlns="http://schemas.openxmlformats.org/spreadsheetml/2006/main" count="8150" uniqueCount="1761">
  <si>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</si>
  <si>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</si>
  <si>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</si>
  <si>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</si>
  <si>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</si>
  <si>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</si>
  <si>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</si>
  <si>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</si>
  <si>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</si>
  <si>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</si>
  <si>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</si>
  <si>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</si>
  <si>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</si>
  <si>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</si>
  <si>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</si>
  <si>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</si>
  <si>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</si>
  <si>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</si>
  <si>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</si>
  <si>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</si>
  <si>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</si>
  <si>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</si>
  <si>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</si>
  <si>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</si>
  <si>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</si>
  <si>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</si>
  <si>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</si>
  <si>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</si>
  <si>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</si>
  <si>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</si>
  <si>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</si>
  <si>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</si>
  <si>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</si>
  <si>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</si>
  <si>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</si>
  <si>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</si>
  <si>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</si>
  <si>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</si>
  <si>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</si>
  <si>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</si>
  <si>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</si>
  <si>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</si>
  <si>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</si>
  <si>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</si>
  <si>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</si>
  <si>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</si>
  <si>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</si>
  <si>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</si>
  <si>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</si>
  <si>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</si>
  <si>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</si>
  <si>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</si>
  <si>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</si>
  <si>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</si>
  <si>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</si>
  <si>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</si>
  <si>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</si>
  <si>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</si>
  <si>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</si>
  <si>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</si>
  <si>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</si>
  <si>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</si>
  <si>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</si>
  <si>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</si>
  <si>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</si>
  <si>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</si>
  <si>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</si>
  <si>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</si>
  <si>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</si>
  <si>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</si>
  <si>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</si>
  <si>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</si>
  <si>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</si>
  <si>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</si>
  <si>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</si>
  <si>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</si>
  <si>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</si>
  <si>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</si>
  <si>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</si>
  <si>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</si>
  <si>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</si>
  <si>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</si>
  <si>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</si>
  <si>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</si>
  <si>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</si>
  <si>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</si>
  <si>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</si>
  <si>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</si>
  <si>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</si>
  <si>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</si>
  <si>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</si>
  <si>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</si>
  <si>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</si>
  <si>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</si>
  <si>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</si>
  <si>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</si>
  <si>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</si>
  <si>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</si>
  <si>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</si>
  <si>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</si>
  <si>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</si>
  <si>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</si>
  <si>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</si>
  <si>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</si>
  <si>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</si>
  <si>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</si>
  <si>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</si>
  <si>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</si>
  <si>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</si>
  <si>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</si>
  <si>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</si>
  <si>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</si>
  <si>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</si>
  <si>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</si>
  <si>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</si>
  <si>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</si>
  <si>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</si>
  <si>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</si>
  <si>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</si>
  <si>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</si>
  <si>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</si>
  <si>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</si>
  <si>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</si>
  <si>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</si>
  <si>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</si>
  <si>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</si>
  <si>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</si>
  <si>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</si>
  <si>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</si>
  <si>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</si>
  <si>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</si>
  <si>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</si>
  <si>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</si>
  <si>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</si>
  <si>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</si>
  <si>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</si>
  <si>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</si>
  <si>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</si>
  <si>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</si>
  <si>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</si>
  <si>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</si>
  <si>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</si>
  <si>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</si>
  <si>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</si>
  <si>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</si>
  <si>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</si>
  <si>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</si>
  <si>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</si>
  <si>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</si>
  <si>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</si>
  <si>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</si>
  <si>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</si>
  <si>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</si>
  <si>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</si>
  <si>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</si>
  <si>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</si>
  <si>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</si>
  <si>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</si>
  <si>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</si>
  <si>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</si>
  <si>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</si>
  <si>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</si>
  <si>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</si>
  <si>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</si>
  <si>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</si>
  <si>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</si>
  <si>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</si>
  <si>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</si>
  <si>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</si>
  <si>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</si>
  <si>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</si>
  <si>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</si>
  <si>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</si>
  <si>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</si>
  <si>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</si>
  <si>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</si>
  <si>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</si>
  <si>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</si>
  <si>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</si>
  <si>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</si>
  <si>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</si>
  <si>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</si>
  <si>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</si>
  <si>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</si>
  <si>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</si>
  <si>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</si>
  <si>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</si>
  <si>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</si>
  <si>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</si>
  <si>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</si>
  <si>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</si>
  <si>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</si>
  <si>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</si>
  <si>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</si>
  <si>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</si>
  <si>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</si>
  <si>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</si>
  <si>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</si>
  <si>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</si>
  <si>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</si>
  <si>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</si>
  <si>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</si>
  <si>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</si>
  <si>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</si>
  <si>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</si>
  <si>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</si>
  <si>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</si>
  <si>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</si>
  <si>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</si>
  <si>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</si>
  <si>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</si>
  <si>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</si>
  <si>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</si>
  <si>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</si>
  <si>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</si>
  <si>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</si>
  <si>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</si>
  <si>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</si>
  <si>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</si>
  <si>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</si>
  <si>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</si>
  <si>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</si>
  <si>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</si>
  <si>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</si>
  <si>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</si>
  <si>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</si>
  <si>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</si>
  <si>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</si>
  <si>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</si>
  <si>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</si>
  <si>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</si>
  <si>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</si>
  <si>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</si>
  <si>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</si>
  <si>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</si>
  <si>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</si>
  <si>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</si>
  <si>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</si>
  <si>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</si>
  <si>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</si>
  <si>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</si>
  <si>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</si>
  <si>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</si>
  <si>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</si>
  <si>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</si>
  <si>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</si>
  <si>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</si>
  <si>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</si>
  <si>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</si>
  <si>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</si>
  <si>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</si>
  <si>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</si>
  <si>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</si>
  <si>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</si>
  <si>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</si>
  <si>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</si>
  <si>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</si>
  <si>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</si>
  <si>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</si>
  <si>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</si>
  <si>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</si>
  <si>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</si>
  <si>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</si>
  <si>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</si>
  <si>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</si>
  <si>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</si>
  <si>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</si>
  <si>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</si>
  <si>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</si>
  <si>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</si>
  <si>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</si>
  <si>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</si>
  <si>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</si>
  <si>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</si>
  <si>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</si>
  <si>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</si>
  <si>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</si>
  <si>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</si>
  <si>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</si>
  <si>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</si>
  <si>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</si>
  <si>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</si>
  <si>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</si>
  <si>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</si>
  <si>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</si>
  <si>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</si>
  <si>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</si>
  <si>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</si>
  <si>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</si>
  <si>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</si>
  <si>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</si>
  <si>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</si>
  <si>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</si>
  <si>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</si>
  <si>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</si>
  <si>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</si>
  <si>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</si>
  <si>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</si>
  <si>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</si>
  <si>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</si>
  <si>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</si>
  <si>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</si>
  <si>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</si>
  <si>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</si>
  <si>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</si>
  <si>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</si>
  <si>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</si>
  <si>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</si>
  <si>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</si>
  <si>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</si>
  <si>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</si>
  <si>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</si>
  <si>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</si>
  <si>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</si>
  <si>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</si>
  <si>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</si>
  <si>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</si>
  <si>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</si>
  <si>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</si>
  <si>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</si>
  <si>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</si>
  <si>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</si>
  <si>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</si>
  <si>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</si>
  <si>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</si>
  <si>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</si>
  <si>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</si>
  <si>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</si>
  <si>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</si>
  <si>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</si>
  <si>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</si>
  <si>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</si>
  <si>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</si>
  <si>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</si>
  <si>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</si>
  <si>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</si>
  <si>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</si>
  <si>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</si>
  <si>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</si>
  <si>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</si>
  <si>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</si>
  <si>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</si>
  <si>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</si>
  <si>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</si>
  <si>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</si>
  <si>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</si>
  <si>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</si>
  <si>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</si>
  <si>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</si>
  <si>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</si>
  <si>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</si>
  <si>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</si>
  <si>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</si>
  <si>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SAMPLE-DRP-004</t>
  </si>
  <si>
    <t xml:space="preserve">direct-ship</t>
  </si>
  <si>
    <t xml:space="preserve">SAMPLE direct to each office; reserve (and SAMPLE-O-009's cartons) to the receiving address</t>
  </si>
  <si>
    <t xml:space="preserve">SAMPLE backup (briefed 2027-03-19)</t>
  </si>
  <si>
    <t xml:space="preserve">SAMPLE third run (direct-ship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</si>
  <si>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</si>
  <si>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</si>
  <si>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</si>
  <si>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</si>
  <si>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</si>
  <si>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</si>
  <si>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</si>
  <si>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</si>
  <si>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</si>
  <si>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</si>
  <si>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</si>
  <si>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</si>
  <si>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</si>
  <si>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</si>
  <si>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</si>
  <si>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</si>
  <si>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</si>
  <si>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</si>
  <si>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</si>
  <si>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</si>
  <si>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</si>
  <si>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</si>
  <si>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</si>
  <si>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</si>
  <si>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</si>
  <si>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</si>
  <si>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</si>
  <si>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</si>
  <si>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</si>
  <si>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</si>
  <si>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</si>
  <si>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</si>
  <si>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</si>
  <si>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</si>
  <si>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</si>
  <si>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</si>
  <si>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</si>
  <si>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</si>
  <si>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</si>
  <si>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</si>
  <si>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</si>
  <si>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</si>
  <si>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</si>
  <si>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</si>
  <si>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</si>
  <si>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</si>
  <si>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</si>
  <si>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</si>
  <si>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</si>
  <si>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</si>
  <si>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</si>
  <si>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</si>
  <si>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</si>
  <si>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</si>
  <si>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</si>
  <si>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</si>
  <si>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</si>
  <si>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</si>
  <si>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</si>
  <si>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</si>
  <si>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</si>
  <si>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</si>
  <si>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</si>
  <si>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</si>
  <si>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</si>
  <si>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</si>
  <si>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</si>
  <si>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</si>
  <si>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</si>
  <si>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</si>
  <si>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</si>
  <si>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</si>
  <si>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</si>
  <si>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</si>
  <si>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</si>
  <si>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</si>
  <si>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</si>
  <si>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</si>
  <si>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</si>
  <si>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</si>
  <si>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</si>
  <si>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</si>
  <si>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</si>
  <si>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</si>
  <si>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</si>
  <si>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</si>
  <si>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</si>
  <si>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</si>
  <si>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</si>
  <si>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</si>
  <si>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</si>
  <si>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</si>
  <si>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</si>
  <si>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</si>
  <si>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</si>
  <si>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</si>
  <si>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</si>
  <si>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</si>
  <si>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</si>
  <si>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</si>
  <si>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</si>
  <si>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</si>
  <si>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</si>
  <si>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</si>
  <si>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</si>
  <si>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</si>
  <si>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</si>
  <si>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</si>
  <si>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</si>
  <si>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</si>
  <si>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</si>
  <si>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</si>
  <si>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</si>
  <si>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</si>
  <si>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</si>
  <si>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</si>
  <si>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</si>
  <si>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</si>
  <si>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</si>
  <si>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</si>
  <si>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</si>
  <si>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</si>
  <si>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</si>
  <si>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</si>
  <si>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</si>
  <si>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</si>
  <si>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</si>
  <si>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</si>
  <si>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</si>
  <si>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</si>
  <si>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</si>
  <si>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</si>
  <si>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</si>
  <si>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</si>
  <si>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</si>
  <si>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</si>
  <si>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</si>
  <si>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</si>
  <si>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</si>
  <si>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</si>
  <si>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</si>
  <si>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</si>
  <si>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</si>
  <si>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</si>
  <si>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</si>
  <si>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</si>
  <si>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</si>
  <si>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</si>
  <si>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</si>
  <si>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</si>
  <si>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</si>
  <si>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</si>
  <si>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</si>
  <si>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</si>
  <si>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</si>
  <si>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</si>
  <si>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</si>
  <si>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</si>
  <si>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</si>
  <si>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</si>
  <si>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</si>
  <si>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</si>
  <si>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</si>
  <si>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</si>
  <si>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</si>
  <si>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</si>
  <si>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</si>
  <si>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</si>
  <si>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</si>
  <si>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</si>
  <si>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</si>
  <si>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</si>
  <si>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</si>
  <si>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</si>
  <si>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</si>
  <si>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</si>
  <si>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</si>
  <si>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</si>
  <si>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</si>
  <si>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</si>
  <si>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</si>
  <si>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</si>
  <si>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</si>
  <si>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</si>
  <si>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</si>
  <si>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</si>
  <si>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</si>
  <si>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</si>
  <si>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</si>
  <si>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</si>
  <si>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</si>
  <si>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</si>
  <si>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</si>
  <si>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</si>
  <si>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</si>
  <si>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</si>
  <si>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</si>
  <si>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</si>
  <si>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</si>
  <si>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</si>
  <si>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</si>
  <si>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</si>
  <si>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</si>
  <si>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</si>
  <si>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</si>
  <si>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</si>
  <si>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</si>
  <si>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</si>
  <si>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</si>
  <si>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</si>
  <si>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</si>
  <si>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</si>
  <si>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</si>
  <si>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SAMPLE Really sharp vinegar, loved it.</t>
  </si>
  <si>
    <t xml:space="preserve">SAMPLE Too salty for an afternoon snack.</t>
  </si>
  <si>
    <t xml:space="preserve">SAMPLE Is this sold at the market on the corner?</t>
  </si>
  <si>
    <t xml:space="preserve">SAMPLE Shipped 87 short; every office got 5 fewer.
SAMPLE One office declined at the door; it was not billed.
SAMPLE Vinegar strength split the comments.</t>
  </si>
  <si>
    <t xml:space="preserve">SAMPLE Renew into the nine offices that took it; ship the full count.</t>
  </si>
  <si>
    <t xml:space="preserve">SAMPLE-CMP-007</t>
  </si>
  <si>
    <t xml:space="preserve">https://docs.google.com/forms/d/e/SAMPLE-CMP-007-FORM/viewform</t>
  </si>
  <si>
    <t xml:space="preserve">https://docs.google.com/forms/d/e/SAMPLE-CMP-007-FORM/viewform?usp=pp_url&amp;entry.1000001=CARDCODE</t>
  </si>
  <si>
    <t xml:space="preserve">SAMPLE Still the best crisps in the pantry.</t>
  </si>
  <si>
    <t xml:space="preserve">SAMPLE Sesame was a surprise, glad the card said so.</t>
  </si>
  <si>
    <t xml:space="preserve">SAMPLE Ran out fast on our floor.</t>
  </si>
  <si>
    <t xml:space="preserve">SAMPLE One carton arrived 24 short; the office topped up from reserve on day 3.
SAMPLE Went fastest in the two largest offices.
SAMPLE The sesame line on the card was noticed.</t>
  </si>
  <si>
    <t xml:space="preserve">SAMPLE Renew into the same ten offices; ask the warehouse to weigh each carton before it ships.</t>
  </si>
  <si>
    <t xml:space="preserve">SAMPLE-CMP-008</t>
  </si>
  <si>
    <t xml:space="preserve">https://docs.google.com/forms/d/e/SAMPLE-CMP-008-FORM/viewform</t>
  </si>
  <si>
    <t xml:space="preserve">https://docs.google.com/forms/d/e/SAMPLE-CMP-008-FORM/viewform?usp=pp_url&amp;entry.1000001=CARDCODE</t>
  </si>
  <si>
    <t xml:space="preserve">SAMPLE Good with coffee.</t>
  </si>
  <si>
    <t xml:space="preserve">SAMPLE Bit dry for me.</t>
  </si>
  <si>
    <t xml:space="preserve">SAMPLE Where can I buy a box?</t>
  </si>
  <si>
    <t xml:space="preserve">SAMPLE Bars lasted longer than chips again.
SAMPLE Coffee came up in two comments.
SAMPLE One office had too many bars this month.</t>
  </si>
  <si>
    <t xml:space="preserve">SAMPLE Renew into the nine offices that took it; skip a month at the tenth.</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</si>
  <si>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</si>
  <si>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</si>
  <si>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</si>
  <si>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</si>
  <si>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</si>
  <si>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</si>
  <si>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</si>
  <si>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</si>
  <si>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</si>
  <si>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</si>
  <si>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</si>
  <si>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</si>
  <si>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</si>
  <si>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</si>
  <si>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</si>
  <si>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</si>
  <si>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</si>
  <si>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</si>
  <si>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</si>
  <si>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</si>
  <si>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</si>
  <si>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</si>
  <si>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</si>
  <si>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</si>
  <si>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</si>
  <si>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</si>
  <si>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</si>
  <si>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</si>
  <si>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</si>
  <si>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</si>
  <si>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</si>
  <si>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</si>
  <si>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</si>
  <si>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</si>
  <si>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</si>
  <si>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</si>
  <si>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</si>
  <si>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</si>
  <si>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</si>
  <si>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</si>
  <si>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</si>
  <si>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</si>
  <si>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</si>
  <si>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</si>
  <si>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</si>
  <si>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</si>
  <si>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</si>
  <si>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</si>
  <si>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</si>
  <si>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</si>
  <si>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</si>
  <si>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</si>
  <si>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</si>
  <si>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</si>
  <si>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</si>
  <si>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</si>
  <si>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</si>
  <si>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</si>
  <si>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</si>
  <si>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</si>
  <si>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</si>
  <si>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</si>
  <si>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</si>
  <si>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</si>
  <si>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</si>
  <si>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</si>
  <si>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</si>
  <si>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</si>
  <si>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</si>
  <si>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</si>
  <si>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</si>
  <si>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</si>
  <si>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</si>
  <si>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</si>
  <si>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</si>
  <si>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</si>
  <si>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</si>
  <si>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</si>
  <si>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</si>
  <si>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</si>
  <si>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</si>
  <si>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</si>
  <si>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</si>
  <si>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</si>
  <si>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</si>
  <si>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</si>
  <si>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</si>
  <si>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</si>
  <si>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</si>
  <si>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</si>
  <si>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</si>
  <si>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</si>
  <si>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</si>
  <si>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</si>
  <si>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</si>
  <si>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</si>
  <si>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</si>
  <si>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</si>
  <si>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</si>
  <si>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</si>
  <si>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</si>
  <si>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</si>
  <si>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</si>
  <si>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</si>
  <si>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</si>
  <si>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</si>
  <si>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</si>
  <si>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</si>
  <si>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</si>
  <si>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</si>
  <si>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</si>
  <si>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</si>
  <si>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</si>
  <si>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</si>
  <si>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</si>
  <si>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</si>
  <si>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</si>
  <si>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</si>
  <si>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</si>
  <si>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</si>
  <si>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</si>
  <si>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</si>
  <si>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</si>
  <si>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</si>
  <si>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</si>
  <si>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</si>
  <si>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</si>
  <si>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</si>
  <si>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</si>
  <si>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</si>
  <si>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</si>
  <si>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</si>
  <si>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</si>
  <si>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</si>
  <si>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</si>
  <si>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</si>
  <si>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</si>
  <si>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</si>
  <si>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</si>
  <si>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</si>
  <si>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</si>
  <si>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</si>
  <si>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</si>
  <si>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</si>
  <si>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</si>
  <si>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</si>
  <si>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</si>
  <si>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</si>
  <si>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</si>
  <si>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</si>
  <si>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</si>
  <si>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</si>
  <si>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</si>
  <si>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</si>
  <si>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</si>
  <si>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</si>
  <si>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</si>
  <si>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</si>
  <si>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</si>
  <si>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</si>
  <si>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</si>
  <si>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</si>
  <si>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</si>
  <si>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</si>
  <si>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</si>
  <si>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</si>
  <si>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</si>
  <si>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</si>
  <si>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</si>
  <si>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</si>
  <si>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</si>
  <si>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</si>
  <si>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</si>
  <si>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</si>
  <si>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SAMPLE Brightside SAMPLE-1Z70001; SAMPLE Tallgrass SAMPLE-1Z80001</t>
  </si>
  <si>
    <t xml:space="preserve">carrier</t>
  </si>
  <si>
    <t xml:space="preserve">carrier_delivered</t>
  </si>
  <si>
    <t xml:space="preserve">SAMPLE Brightside SAMPLE-1Z70002; SAMPLE Tallgrass SAMPLE-1Z80002</t>
  </si>
  <si>
    <t xml:space="preserve">SAMPLE Brightside SAMPLE-1Z70003; SAMPLE Tallgrass SAMPLE-1Z80003</t>
  </si>
  <si>
    <t xml:space="preserve">SAMPLE Brightside SAMPLE-1Z70004; SAMPLE Tallgrass SAMPLE-1Z80004</t>
  </si>
  <si>
    <t xml:space="preserve">SAMPLE Brightside SAMPLE-1Z70005; SAMPLE Tallgrass SAMPLE-1Z80005</t>
  </si>
  <si>
    <t xml:space="preserve">SAMPLE Brightside SAMPLE-1Z70006; SAMPLE Tallgrass SAMPLE-1Z80006</t>
  </si>
  <si>
    <t xml:space="preserve">SAMPLE Brightside SAMPLE-1Z70007; SAMPLE Tallgrass SAMPLE-1Z80007</t>
  </si>
  <si>
    <t xml:space="preserve">SAMPLE Brightside SAMPLE-1Z70008; SAMPLE Tallgrass SAMPLE-1Z80008</t>
  </si>
  <si>
    <t xml:space="preserve">SAMPLE owner refused the Tallgrass carton at the door (pantry full of bars this month); took Brightside; the carrier returns the carton to the brand</t>
  </si>
  <si>
    <t xml:space="preserve">SAMPLE with the reserve to the receiving address (SAMPLE Brightside SAMPLE-1Z7R0001; SAMPLE Tallgrass SAMPLE-1Z8R0001)</t>
  </si>
  <si>
    <t xml:space="preserve">SAMPLE desk will not hold food: the founder carried both cartons from the receiving address</t>
  </si>
  <si>
    <t xml:space="preserve">SAMPLE Brightside SAMPLE-1Z70010; SAMPLE Tallgrass SAMPLE-1Z80010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</si>
  <si>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</si>
  <si>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</si>
  <si>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</si>
  <si>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</si>
  <si>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</si>
  <si>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</si>
  <si>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</si>
  <si>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</si>
  <si>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</si>
  <si>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</si>
  <si>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</si>
  <si>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</si>
  <si>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</si>
  <si>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</si>
  <si>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</si>
  <si>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</si>
  <si>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</si>
  <si>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</si>
  <si>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</si>
  <si>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</si>
  <si>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</si>
  <si>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</si>
  <si>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</si>
  <si>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</si>
  <si>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</si>
  <si>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</si>
  <si>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</si>
  <si>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</si>
  <si>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</si>
  <si>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</si>
  <si>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</si>
  <si>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</si>
  <si>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</si>
  <si>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</si>
  <si>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</si>
  <si>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SAMPLE brand chose release: counted reserve to the largest office</t>
  </si>
  <si>
    <t xml:space="preserve">SAMPLE-L2703</t>
  </si>
  <si>
    <t xml:space="preserve">SAMPLE reserve; one package checked</t>
  </si>
  <si>
    <t xml:space="preserve">SAMPLE SAMPLE-O-009's carton, shipped with the reserve (desk will not hold food)</t>
  </si>
  <si>
    <t xml:space="preserve">SAMPLE-TG-0301</t>
  </si>
  <si>
    <t xml:space="preserve">office_count</t>
  </si>
  <si>
    <t xml:space="preserve">SAMPLE carton counted by the office; lot and best-by from the brand's ship notice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</si>
  <si>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</si>
  <si>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</si>
  <si>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</si>
  <si>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</si>
  <si>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</si>
  <si>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</si>
  <si>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</si>
  <si>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</si>
  <si>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</si>
  <si>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</si>
  <si>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</si>
  <si>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</si>
  <si>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</si>
  <si>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</si>
  <si>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</si>
  <si>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</si>
  <si>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</si>
  <si>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</si>
  <si>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</si>
  <si>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</si>
  <si>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</si>
  <si>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</si>
  <si>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</si>
  <si>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</si>
  <si>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</si>
  <si>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</si>
  <si>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</si>
  <si>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</si>
  <si>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</si>
  <si>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</si>
  <si>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</si>
  <si>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</si>
  <si>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</si>
  <si>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</si>
  <si>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</si>
  <si>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</si>
  <si>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</si>
  <si>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</si>
  <si>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</si>
  <si>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</si>
  <si>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</si>
  <si>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</si>
  <si>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</si>
  <si>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</si>
  <si>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</si>
  <si>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</si>
  <si>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</si>
  <si>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</si>
  <si>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</si>
  <si>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</si>
  <si>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</si>
  <si>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</si>
  <si>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</si>
  <si>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</si>
  <si>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</si>
  <si>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</si>
  <si>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</si>
  <si>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</si>
  <si>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</si>
  <si>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</si>
  <si>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</si>
  <si>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</si>
  <si>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</si>
  <si>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</si>
  <si>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</si>
  <si>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</si>
  <si>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</si>
  <si>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</si>
  <si>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</si>
  <si>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</si>
  <si>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</si>
  <si>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</si>
  <si>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</si>
  <si>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</si>
  <si>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</si>
  <si>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</si>
  <si>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</si>
  <si>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</si>
  <si>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</si>
  <si>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</si>
  <si>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</si>
  <si>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SAMPLE-PH-0502</t>
  </si>
  <si>
    <t xml:space="preserve">SAMPLE-PH-0503</t>
  </si>
  <si>
    <t xml:space="preserve">SAMPLE-PH-0504</t>
  </si>
  <si>
    <t xml:space="preserve">SAMPLE-PH-0505</t>
  </si>
  <si>
    <t xml:space="preserve">SAMPLE-PH-0506</t>
  </si>
  <si>
    <t xml:space="preserve">SAMPLE-PH-0507</t>
  </si>
  <si>
    <t xml:space="preserve">SAMPLE-PH-0508</t>
  </si>
  <si>
    <t xml:space="preserve">SAMPLE-PH-0509</t>
  </si>
  <si>
    <t xml:space="preserve">SAMPLE-PH-0510</t>
  </si>
  <si>
    <t xml:space="preserve">SAMPLE-PH-0511</t>
  </si>
  <si>
    <t xml:space="preserve">SAMPLE-PH-0512</t>
  </si>
  <si>
    <t xml:space="preserve">SAMPLE-PH-0513</t>
  </si>
  <si>
    <t xml:space="preserve">SAMPLE-PH-0514</t>
  </si>
  <si>
    <t xml:space="preserve">SAMPLE-PH-0515</t>
  </si>
  <si>
    <t xml:space="preserve">SAMPLE-PH-0516</t>
  </si>
  <si>
    <t xml:space="preserve">SAMPLE-PH-0517</t>
  </si>
  <si>
    <t xml:space="preserve">SAMPLE-PH-0518</t>
  </si>
  <si>
    <t xml:space="preserve">SAMPLE-PH-0701</t>
  </si>
  <si>
    <t xml:space="preserve">SAMPLE-PH-0702</t>
  </si>
  <si>
    <t xml:space="preserve">SAMPLE-PH-0703</t>
  </si>
  <si>
    <t xml:space="preserve">SAMPLE-PH-0704</t>
  </si>
  <si>
    <t xml:space="preserve">SAMPLE-PH-0705</t>
  </si>
  <si>
    <t xml:space="preserve">SAMPLE-PH-0706</t>
  </si>
  <si>
    <t xml:space="preserve">SAMPLE-PH-0707</t>
  </si>
  <si>
    <t xml:space="preserve">SAMPLE-PH-0708</t>
  </si>
  <si>
    <t xml:space="preserve">SAMPLE-PH-0709</t>
  </si>
  <si>
    <t xml:space="preserve">SAMPLE-PH-0710</t>
  </si>
  <si>
    <t xml:space="preserve">SAMPLE-PH-0711</t>
  </si>
  <si>
    <t xml:space="preserve">SAMPLE-PH-0712</t>
  </si>
  <si>
    <t xml:space="preserve">SAMPLE-PH-0713</t>
  </si>
  <si>
    <t xml:space="preserve">SAMPLE-PH-0714</t>
  </si>
  <si>
    <t xml:space="preserve">SAMPLE-PH-0715</t>
  </si>
  <si>
    <t xml:space="preserve">SAMPLE-PH-0716</t>
  </si>
  <si>
    <t xml:space="preserve">SAMPLE-PH-0717</t>
  </si>
  <si>
    <t xml:space="preserve">SAMPLE-PH-0718</t>
  </si>
  <si>
    <t xml:space="preserve">SAMPLE-PH-0719</t>
  </si>
  <si>
    <t xml:space="preserve">SAMPLE-PH-0720</t>
  </si>
  <si>
    <t xml:space="preserve">SAMPLE-PH-0721</t>
  </si>
  <si>
    <t xml:space="preserve">SAMPLE-PH-0722</t>
  </si>
  <si>
    <t xml:space="preserve">SAMPLE-PH-0723</t>
  </si>
  <si>
    <t xml:space="preserve">SAMPLE-PH-0724</t>
  </si>
  <si>
    <t xml:space="preserve">SAMPLE-PH-0725</t>
  </si>
  <si>
    <t xml:space="preserve">SAMPLE-PH-0726</t>
  </si>
  <si>
    <t xml:space="preserve">SAMPLE-PH-0727</t>
  </si>
  <si>
    <t xml:space="preserve">SAMPLE-PH-0728</t>
  </si>
  <si>
    <t xml:space="preserve">SAMPLE-PH-0729</t>
  </si>
  <si>
    <t xml:space="preserve">SAMPLE-PH-0730</t>
  </si>
  <si>
    <t xml:space="preserve">SAMPLE-PH-0731</t>
  </si>
  <si>
    <t xml:space="preserve">SAMPLE-PH-0732</t>
  </si>
  <si>
    <t xml:space="preserve">SAMPLE-PH-0733</t>
  </si>
  <si>
    <t xml:space="preserve">SAMPLE-PH-0734</t>
  </si>
  <si>
    <t xml:space="preserve">SAMPLE-PH-0735</t>
  </si>
  <si>
    <t xml:space="preserve">SAMPLE-PH-0736</t>
  </si>
  <si>
    <t xml:space="preserve">SAMPLE-PH-0737</t>
  </si>
  <si>
    <t xml:space="preserve">SAMPLE-PH-0738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</si>
  <si>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</si>
  <si>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</si>
  <si>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</si>
  <si>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</si>
  <si>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</si>
  <si>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</si>
  <si>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</si>
  <si>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</si>
  <si>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</si>
  <si>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</si>
  <si>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</si>
  <si>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</si>
  <si>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</si>
  <si>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</si>
  <si>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</si>
  <si>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</si>
  <si>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</si>
  <si>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</si>
  <si>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</si>
  <si>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</si>
  <si>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</si>
  <si>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</si>
  <si>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</si>
  <si>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</si>
  <si>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</si>
  <si>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</si>
  <si>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</si>
  <si>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</si>
  <si>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</si>
  <si>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</si>
  <si>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</si>
  <si>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</si>
  <si>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</si>
  <si>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</si>
  <si>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</si>
  <si>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</si>
  <si>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</si>
  <si>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</si>
  <si>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</si>
  <si>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</si>
  <si>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</si>
  <si>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</si>
  <si>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</si>
  <si>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</si>
  <si>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</si>
  <si>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</si>
  <si>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</si>
  <si>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</si>
  <si>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</si>
  <si>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</si>
  <si>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</si>
  <si>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</si>
  <si>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</si>
  <si>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</si>
  <si>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</si>
  <si>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</si>
  <si>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</si>
  <si>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</si>
  <si>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</si>
  <si>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</si>
  <si>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</si>
  <si>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</si>
  <si>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</si>
  <si>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</si>
  <si>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</si>
  <si>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</si>
  <si>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</si>
  <si>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</si>
  <si>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</si>
  <si>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</si>
  <si>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</si>
  <si>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</si>
  <si>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</si>
  <si>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</si>
  <si>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</si>
  <si>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</si>
  <si>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</si>
  <si>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</si>
  <si>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</si>
  <si>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</si>
  <si>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</si>
  <si>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</si>
  <si>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</si>
  <si>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</si>
  <si>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</si>
  <si>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</si>
  <si>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</si>
  <si>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</si>
  <si>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</si>
  <si>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</si>
  <si>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</si>
  <si>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</si>
  <si>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</si>
  <si>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</si>
  <si>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</si>
  <si>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</si>
  <si>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</si>
  <si>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SAMPLE-CMP-006_SAMPLE-O-001_later_2027-03-01.jpg</t>
  </si>
  <si>
    <t xml:space="preserve">SAMPLE-CMP-006_SAMPLE-O-002_placement_2027-02-23.jpg</t>
  </si>
  <si>
    <t xml:space="preserve">SAMPLE-CMP-006_SAMPLE-O-002_later_2027-03-01.jpg</t>
  </si>
  <si>
    <t xml:space="preserve">SAMPLE-CMP-006_SAMPLE-O-003_placement_2027-02-23.jpg</t>
  </si>
  <si>
    <t xml:space="preserve">SAMPLE-CMP-006_SAMPLE-O-003_later_2027-03-01.jpg</t>
  </si>
  <si>
    <t xml:space="preserve">SAMPLE-CMP-006_SAMPLE-O-004_placement_2027-02-23.jpg</t>
  </si>
  <si>
    <t xml:space="preserve">SAMPLE-CMP-006_SAMPLE-O-004_later_2027-03-01.jpg</t>
  </si>
  <si>
    <t xml:space="preserve">SAMPLE-CMP-006_SAMPLE-O-005_placement_2027-02-23.jpg</t>
  </si>
  <si>
    <t xml:space="preserve">SAMPLE-CMP-006_SAMPLE-O-005_later_2027-03-01.jpg</t>
  </si>
  <si>
    <t xml:space="preserve">SAMPLE-CMP-006_SAMPLE-O-007_placement_2027-02-23.jpg</t>
  </si>
  <si>
    <t xml:space="preserve">SAMPLE-CMP-006_SAMPLE-O-007_later_2027-03-01.jpg</t>
  </si>
  <si>
    <t xml:space="preserve">SAMPLE-CMP-006_SAMPLE-O-008_placement_2027-02-23.jpg</t>
  </si>
  <si>
    <t xml:space="preserve">SAMPLE-CMP-006_SAMPLE-O-008_later_2027-03-01.jpg</t>
  </si>
  <si>
    <t xml:space="preserve">SAMPLE-CMP-006_SAMPLE-O-009_placement_2027-02-23.jpg</t>
  </si>
  <si>
    <t xml:space="preserve">SAMPLE-CMP-006_SAMPLE-O-009_later_2027-03-01.jpg</t>
  </si>
  <si>
    <t xml:space="preserve">SAMPLE-CMP-006_SAMPLE-O-010_placement_2027-02-23.jpg</t>
  </si>
  <si>
    <t xml:space="preserve">SAMPLE-CMP-006_SAMPLE-O-010_later_2027-03-01.jpg</t>
  </si>
  <si>
    <t xml:space="preserve">SAMPLE-CMP-007_SAMPLE-O-001_placement_2027-03-23.jpg</t>
  </si>
  <si>
    <t xml:space="preserve">SAMPLE-CMP-007_SAMPLE-O-001_later_2027-03-29.jpg</t>
  </si>
  <si>
    <t xml:space="preserve">SAMPLE-CMP-007_SAMPLE-O-002_placement_2027-03-23.jpg</t>
  </si>
  <si>
    <t xml:space="preserve">SAMPLE-CMP-007_SAMPLE-O-002_later_2027-03-29.jpg</t>
  </si>
  <si>
    <t xml:space="preserve">SAMPLE-CMP-007_SAMPLE-O-003_placement_2027-03-23.jpg</t>
  </si>
  <si>
    <t xml:space="preserve">SAMPLE-CMP-007_SAMPLE-O-003_later_2027-03-29.jpg</t>
  </si>
  <si>
    <t xml:space="preserve">SAMPLE-CMP-007_SAMPLE-O-004_placement_2027-03-23.jpg</t>
  </si>
  <si>
    <t xml:space="preserve">SAMPLE-CMP-007_SAMPLE-O-004_later_2027-03-29.jpg</t>
  </si>
  <si>
    <t xml:space="preserve">SAMPLE-CMP-007_SAMPLE-O-005_placement_2027-03-23.jpg</t>
  </si>
  <si>
    <t xml:space="preserve">SAMPLE-CMP-007_SAMPLE-O-005_later_2027-03-29.jpg</t>
  </si>
  <si>
    <t xml:space="preserve">SAMPLE-CMP-007_SAMPLE-O-006_placement_2027-03-23.jpg</t>
  </si>
  <si>
    <t xml:space="preserve">SAMPLE-CMP-007_SAMPLE-O-006_later_2027-03-29.jpg</t>
  </si>
  <si>
    <t xml:space="preserve">SAMPLE-CMP-007_SAMPLE-O-007_placement_2027-03-23.jpg</t>
  </si>
  <si>
    <t xml:space="preserve">SAMPLE-CMP-007_SAMPLE-O-007_later_2027-03-29.jpg</t>
  </si>
  <si>
    <t xml:space="preserve">SAMPLE-CMP-007_SAMPLE-O-008_placement_2027-03-23.jpg</t>
  </si>
  <si>
    <t xml:space="preserve">SAMPLE-CMP-007_SAMPLE-O-008_later_2027-03-29.jpg</t>
  </si>
  <si>
    <t xml:space="preserve">SAMPLE-CMP-007_SAMPLE-O-009_placement_2027-03-23.jpg</t>
  </si>
  <si>
    <t xml:space="preserve">SAMPLE-CMP-007_SAMPLE-O-009_later_2027-03-29.jpg</t>
  </si>
  <si>
    <t xml:space="preserve">SAMPLE-CMP-007_SAMPLE-O-010_placement_2027-03-23.jpg</t>
  </si>
  <si>
    <t xml:space="preserve">SAMPLE-CMP-007_SAMPLE-O-010_later_2027-03-29.jpg</t>
  </si>
  <si>
    <t xml:space="preserve">SAMPLE-CMP-008_SAMPLE-O-001_placement_2027-03-23.jpg</t>
  </si>
  <si>
    <t xml:space="preserve">SAMPLE-CMP-008_SAMPLE-O-001_later_2027-03-29.jpg</t>
  </si>
  <si>
    <t xml:space="preserve">SAMPLE-CMP-008_SAMPLE-O-002_placement_2027-03-23.jpg</t>
  </si>
  <si>
    <t xml:space="preserve">SAMPLE-CMP-008_SAMPLE-O-002_later_2027-03-29.jpg</t>
  </si>
  <si>
    <t xml:space="preserve">SAMPLE-CMP-008_SAMPLE-O-003_placement_2027-03-23.jpg</t>
  </si>
  <si>
    <t xml:space="preserve">SAMPLE-CMP-008_SAMPLE-O-003_later_2027-03-29.jpg</t>
  </si>
  <si>
    <t xml:space="preserve">SAMPLE-CMP-008_SAMPLE-O-004_placement_2027-03-23.jpg</t>
  </si>
  <si>
    <t xml:space="preserve">SAMPLE-CMP-008_SAMPLE-O-004_later_2027-03-29.jpg</t>
  </si>
  <si>
    <t xml:space="preserve">SAMPLE-CMP-008_SAMPLE-O-005_placement_2027-03-23.jpg</t>
  </si>
  <si>
    <t xml:space="preserve">SAMPLE-CMP-008_SAMPLE-O-005_later_2027-03-29.jpg</t>
  </si>
  <si>
    <t xml:space="preserve">SAMPLE-CMP-008_SAMPLE-O-006_placement_2027-03-23.jpg</t>
  </si>
  <si>
    <t xml:space="preserve">SAMPLE-CMP-008_SAMPLE-O-006_later_2027-03-29.jpg</t>
  </si>
  <si>
    <t xml:space="preserve">SAMPLE-CMP-008_SAMPLE-O-007_placement_2027-03-23.jpg</t>
  </si>
  <si>
    <t xml:space="preserve">SAMPLE-CMP-008_SAMPLE-O-007_later_2027-03-29.jpg</t>
  </si>
  <si>
    <t xml:space="preserve">SAMPLE-CMP-008_SAMPLE-O-009_placement_2027-03-23.jpg</t>
  </si>
  <si>
    <t xml:space="preserve">SAMPLE-CMP-008_SAMPLE-O-009_later_2027-03-29.jpg</t>
  </si>
  <si>
    <t xml:space="preserve">SAMPLE-CMP-008_SAMPLE-O-010_placement_2027-03-23.jpg</t>
  </si>
  <si>
    <t xml:space="preserve">SAMPLE-CMP-008_SAMPLE-O-010_later_2027-03-29.jpg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</si>
  <si>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</si>
  <si>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</si>
  <si>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</si>
  <si>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</si>
  <si>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</si>
  <si>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</si>
  <si>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</si>
  <si>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</si>
  <si>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</si>
  <si>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</si>
  <si>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</si>
  <si>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</si>
  <si>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</si>
  <si>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</si>
  <si>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</si>
  <si>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</si>
  <si>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</si>
  <si>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</si>
  <si>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</si>
  <si>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</si>
  <si>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</si>
  <si>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</si>
  <si>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</si>
  <si>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</si>
  <si>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</si>
  <si>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</si>
  <si>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</si>
  <si>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</si>
  <si>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</si>
  <si>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</si>
  <si>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</si>
  <si>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</si>
  <si>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</si>
  <si>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</si>
  <si>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</si>
  <si>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</si>
  <si>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</si>
  <si>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</si>
  <si>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</si>
  <si>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</si>
  <si>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</si>
  <si>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</si>
  <si>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</si>
  <si>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</si>
  <si>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</si>
  <si>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</si>
  <si>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</si>
  <si>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</si>
  <si>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</si>
  <si>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</si>
  <si>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</si>
  <si>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</si>
  <si>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</si>
  <si>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</si>
  <si>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</si>
  <si>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</si>
  <si>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</si>
  <si>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</si>
  <si>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</si>
  <si>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</si>
  <si>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</si>
  <si>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</si>
  <si>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</si>
  <si>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</si>
  <si>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</si>
  <si>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</si>
  <si>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</si>
  <si>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</si>
  <si>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</si>
  <si>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</si>
  <si>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</si>
  <si>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</si>
  <si>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</si>
  <si>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</si>
  <si>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</si>
  <si>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</si>
  <si>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</si>
  <si>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</si>
  <si>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</si>
  <si>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</si>
  <si>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</si>
  <si>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</si>
  <si>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</si>
  <si>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</si>
  <si>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</si>
  <si>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</si>
  <si>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</si>
  <si>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</si>
  <si>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</si>
  <si>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</si>
  <si>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</si>
  <si>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</si>
  <si>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</si>
  <si>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</si>
  <si>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</si>
  <si>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</si>
  <si>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</si>
  <si>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</si>
  <si>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</si>
  <si>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</si>
  <si>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</si>
  <si>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</si>
  <si>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</si>
  <si>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</si>
  <si>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</si>
  <si>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</si>
  <si>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</si>
  <si>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</si>
  <si>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</si>
  <si>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</si>
  <si>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</si>
  <si>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SAMPLE-c007-o001-q</t>
  </si>
  <si>
    <t xml:space="preserve">SAMPLE-c007-o001-p</t>
  </si>
  <si>
    <t xml:space="preserve">SAMPLE-c007-o002-q</t>
  </si>
  <si>
    <t xml:space="preserve">SAMPLE-c007-o002-p</t>
  </si>
  <si>
    <t xml:space="preserve">SAMPLE-c007-o003-q</t>
  </si>
  <si>
    <t xml:space="preserve">SAMPLE-c007-o003-p</t>
  </si>
  <si>
    <t xml:space="preserve">SAMPLE-c007-o004-q</t>
  </si>
  <si>
    <t xml:space="preserve">SAMPLE-c007-o004-p</t>
  </si>
  <si>
    <t xml:space="preserve">SAMPLE-c007-o005-q</t>
  </si>
  <si>
    <t xml:space="preserve">SAMPLE-c007-o005-p</t>
  </si>
  <si>
    <t xml:space="preserve">SAMPLE-c007-o006-q</t>
  </si>
  <si>
    <t xml:space="preserve">SAMPLE-c007-o006-p</t>
  </si>
  <si>
    <t xml:space="preserve">SAMPLE-c007-o007-q</t>
  </si>
  <si>
    <t xml:space="preserve">SAMPLE-c007-o007-p</t>
  </si>
  <si>
    <t xml:space="preserve">SAMPLE-c007-o008-q</t>
  </si>
  <si>
    <t xml:space="preserve">SAMPLE-c007-o008-p</t>
  </si>
  <si>
    <t xml:space="preserve">SAMPLE-c007-o009-q</t>
  </si>
  <si>
    <t xml:space="preserve">SAMPLE-c007-o009-p</t>
  </si>
  <si>
    <t xml:space="preserve">SAMPLE-c007-o010-q</t>
  </si>
  <si>
    <t xml:space="preserve">SAMPLE-c007-o010-p</t>
  </si>
  <si>
    <t xml:space="preserve">SAMPLE-c008-o001-q</t>
  </si>
  <si>
    <t xml:space="preserve">SAMPLE-c008-o001-p</t>
  </si>
  <si>
    <t xml:space="preserve">SAMPLE-c008-o002-q</t>
  </si>
  <si>
    <t xml:space="preserve">SAMPLE-c008-o002-p</t>
  </si>
  <si>
    <t xml:space="preserve">SAMPLE-c008-o003-q</t>
  </si>
  <si>
    <t xml:space="preserve">SAMPLE-c008-o003-p</t>
  </si>
  <si>
    <t xml:space="preserve">SAMPLE-c008-o004-q</t>
  </si>
  <si>
    <t xml:space="preserve">SAMPLE-c008-o004-p</t>
  </si>
  <si>
    <t xml:space="preserve">SAMPLE-c008-o005-q</t>
  </si>
  <si>
    <t xml:space="preserve">SAMPLE-c008-o005-p</t>
  </si>
  <si>
    <t xml:space="preserve">SAMPLE-c008-o006-q</t>
  </si>
  <si>
    <t xml:space="preserve">SAMPLE-c008-o006-p</t>
  </si>
  <si>
    <t xml:space="preserve">SAMPLE-c008-o007-q</t>
  </si>
  <si>
    <t xml:space="preserve">SAMPLE-c008-o007-p</t>
  </si>
  <si>
    <t xml:space="preserve">SAMPLE-c008-o008-q</t>
  </si>
  <si>
    <t xml:space="preserve">SAMPLE-c008-o008-p</t>
  </si>
  <si>
    <t xml:space="preserve">SAMPLE-c008-o009-q</t>
  </si>
  <si>
    <t xml:space="preserve">SAMPLE-c008-o009-p</t>
  </si>
  <si>
    <t xml:space="preserve">SAMPLE-c008-o010-q</t>
  </si>
  <si>
    <t xml:space="preserve">SAMPLE-c008-o010-p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</si>
  <si>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</si>
  <si>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</si>
  <si>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</si>
  <si>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</si>
  <si>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</si>
  <si>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</si>
  <si>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</si>
  <si>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</si>
  <si>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</si>
  <si>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</si>
  <si>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</si>
  <si>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</si>
  <si>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</si>
  <si>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</si>
  <si>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</si>
  <si>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</si>
  <si>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</si>
  <si>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</si>
  <si>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</si>
  <si>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</si>
  <si>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</si>
  <si>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</si>
  <si>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</si>
  <si>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</si>
  <si>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</si>
  <si>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</si>
  <si>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</si>
  <si>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</si>
  <si>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</si>
  <si>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</si>
  <si>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</si>
  <si>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</si>
  <si>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</si>
  <si>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</si>
  <si>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</si>
  <si>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</si>
  <si>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</si>
  <si>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</si>
  <si>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</si>
  <si>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</si>
  <si>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</si>
  <si>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</si>
  <si>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</si>
  <si>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</si>
  <si>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</si>
  <si>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</si>
  <si>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SAMPLE-ISS-030</t>
  </si>
  <si>
    <t xml:space="preserve">SAMPLE the office counted 26 of 50 in the Brightside carton: one inner carton of 24 missing.</t>
  </si>
  <si>
    <t xml:space="preserve">SAMPLE brand told the same day; 20 topped up from the reserve on day 3; no price change (SOP section 4).</t>
  </si>
  <si>
    <t xml:space="preserve">SAMPLE-ISS-031</t>
  </si>
  <si>
    <t xml:space="preserve">SAMPLE pantry owner refused the Tallgrass carton from the carrier; took Brightside.</t>
  </si>
  <si>
    <t xml:space="preserve">SAMPLE carrier returns the carton to the brand; $150 taken off the balance at T+1.</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</si>
  <si>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</si>
  <si>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</si>
  <si>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</si>
  <si>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</si>
  <si>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</si>
  <si>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</si>
  <si>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</si>
  <si>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</si>
  <si>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</si>
  <si>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</si>
  <si>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</si>
  <si>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</si>
  <si>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</si>
  <si>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</si>
  <si>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</si>
  <si>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</si>
  <si>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</si>
  <si>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</si>
  <si>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</si>
  <si>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</si>
  <si>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</si>
  <si>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</si>
  <si>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</si>
  <si>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</si>
  <si>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SAMPLE renewal call, proposal, agreement</t>
  </si>
  <si>
    <t xml:space="preserve">SAMPLE reserve and one office's cartons in, one package checked</t>
  </si>
  <si>
    <t xml:space="preserve">SAMPLE kits mailed to nine offices</t>
  </si>
  <si>
    <t xml:space="preserve">SAMPLE tracking, office counts and photos; one office delivered by hand</t>
  </si>
  <si>
    <t xml:space="preserve">SAMPLE day-3 counts, two top-ups on foot</t>
  </si>
  <si>
    <t xml:space="preserve">SAMPLE day 5, reserve released</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</si>
  <si>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</si>
  <si>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</si>
  <si>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</si>
  <si>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</si>
  <si>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</si>
  <si>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</si>
  <si>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</si>
  <si>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</si>
  <si>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</si>
  <si>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</si>
  <si>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</si>
  <si>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</si>
  <si>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</si>
  <si>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</si>
  <si>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</si>
  <si>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</si>
  <si>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</si>
  <si>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</si>
  <si>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SAMPLE post office</t>
  </si>
  <si>
    <t xml:space="preserve">SAMPLE kit postage, 9 envelopes (illustrative)</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</si>
  <si>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</si>
  <si>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</si>
  <si>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</si>
  <si>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</si>
  <si>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</si>
  <si>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</si>
  <si>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</si>
  <si>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</si>
  <si>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</si>
  <si>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</si>
  <si>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</si>
  <si>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</si>
  <si>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</si>
  <si>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</si>
  <si>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</si>
  <si>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</si>
  <si>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</si>
  <si>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</si>
  <si>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</si>
  <si>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</si>
  <si>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</si>
  <si>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</si>
  <si>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</si>
  <si>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</si>
  <si>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</si>
  <si>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</si>
  <si>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</si>
  <si>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</si>
  <si>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</si>
  <si>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</si>
  <si>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</si>
  <si>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</si>
  <si>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</si>
  <si>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</si>
  <si>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</si>
  <si>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</si>
  <si>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</si>
  <si>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</si>
  <si>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</si>
  <si>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</si>
  <si>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</si>
  <si>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</si>
  <si>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SAMPLE-ACH-6021</t>
  </si>
  <si>
    <t xml:space="preserve">SAMPLE-INV-022</t>
  </si>
  <si>
    <t xml:space="preserve">SAMPLE one office declined at the door and was not placed by T+1: taken off the balance, brand agreement section 8</t>
  </si>
  <si>
    <t xml:space="preserve">SAMPLE-INV-030</t>
  </si>
  <si>
    <t xml:space="preserve">SAMPLE-ACH-7030</t>
  </si>
  <si>
    <t xml:space="preserve">SAMPLE-INV-031</t>
  </si>
  <si>
    <t xml:space="preserve">SAMPLE-ACH-7031</t>
  </si>
  <si>
    <t xml:space="preserve">SAMPLE-INV-032</t>
  </si>
  <si>
    <t xml:space="preserve">SAMPLE-ACH-7032</t>
  </si>
  <si>
    <t xml:space="preserve">SAMPLE-INV-033</t>
  </si>
  <si>
    <t xml:space="preserve">SAMPLE office SAMPLE-O-008 refused the carton at the door: taken off the balance,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</si>
  <si>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</si>
  <si>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</si>
  <si>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</si>
  <si>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</si>
  <si>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</si>
  <si>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</si>
  <si>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</si>
  <si>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</si>
  <si>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</si>
  <si>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</si>
  <si>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</si>
  <si>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</si>
  <si>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</si>
  <si>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</si>
  <si>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</si>
  <si>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</si>
  <si>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</si>
  <si>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</si>
  <si>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</si>
  <si>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</si>
  <si>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</si>
  <si>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</si>
  <si>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</si>
  <si>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</si>
  <si>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</si>
  <si>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</si>
  <si>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</si>
  <si>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</si>
  <si>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</si>
  <si>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</si>
  <si>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</si>
  <si>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</si>
  <si>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</si>
  <si>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</si>
  <si>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</si>
  <si>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</si>
  <si>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</si>
  <si>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</si>
  <si>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</si>
  <si>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</si>
  <si>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</si>
  <si>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</si>
  <si>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</si>
  <si>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</si>
  <si>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</si>
  <si>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</si>
  <si>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</si>
  <si>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</si>
  <si>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</si>
  <si>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</si>
  <si>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</si>
  <si>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</si>
  <si>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</si>
  <si>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</si>
  <si>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</si>
  <si>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</si>
  <si>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</si>
  <si>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</si>
  <si>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</si>
  <si>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</si>
  <si>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</si>
  <si>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</si>
  <si>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</si>
  <si>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</si>
  <si>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</si>
  <si>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</si>
  <si>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</si>
  <si>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</si>
  <si>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</si>
  <si>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</si>
  <si>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</si>
  <si>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</si>
  <si>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</si>
  <si>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</si>
  <si>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</si>
  <si>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</si>
  <si>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</si>
  <si>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</si>
  <si>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</si>
  <si>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</si>
  <si>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</si>
  <si>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</si>
  <si>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</si>
  <si>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</si>
  <si>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</si>
  <si>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</si>
  <si>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</si>
  <si>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</si>
  <si>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</si>
  <si>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</si>
  <si>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</si>
  <si>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</si>
  <si>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</si>
  <si>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</si>
  <si>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</si>
  <si>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</si>
  <si>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</si>
  <si>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</si>
  <si>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</si>
  <si>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</si>
  <si>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</si>
  <si>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</si>
  <si>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</si>
  <si>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</si>
  <si>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</si>
  <si>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</si>
  <si>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</si>
  <si>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</si>
  <si>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</si>
  <si>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</si>
  <si>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</si>
  <si>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</si>
  <si>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</si>
  <si>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</si>
  <si>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</si>
  <si>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</si>
  <si>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</si>
  <si>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</si>
  <si>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</si>
  <si>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</si>
  <si>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</si>
  <si>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</si>
  <si>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</si>
  <si>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</si>
  <si>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</si>
  <si>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</si>
  <si>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</si>
  <si>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</si>
  <si>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</si>
  <si>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</si>
  <si>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</si>
  <si>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</si>
  <si>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</si>
  <si>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</si>
  <si>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</si>
  <si>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</si>
  <si>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</si>
  <si>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</si>
  <si>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</si>
  <si>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</si>
  <si>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</si>
  <si>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</si>
  <si>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</si>
  <si>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</si>
  <si>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</si>
  <si>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</si>
  <si>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</si>
  <si>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</si>
  <si>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</si>
  <si>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</si>
  <si>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</si>
  <si>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</si>
  <si>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</si>
  <si>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</si>
  <si>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</si>
  <si>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</si>
  <si>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</si>
  <si>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</si>
  <si>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</si>
  <si>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</si>
  <si>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</si>
  <si>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</si>
  <si>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</si>
  <si>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</si>
  <si>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</si>
  <si>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</si>
  <si>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</si>
  <si>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</si>
  <si>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</si>
  <si>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</si>
  <si>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</si>
  <si>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</si>
  <si>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</si>
  <si>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</si>
  <si>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</si>
  <si>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</si>
  <si>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</si>
  <si>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</si>
  <si>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</si>
  <si>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</si>
  <si>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</si>
  <si>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</si>
  <si>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</si>
  <si>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</si>
  <si>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</si>
  <si>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</si>
  <si>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</si>
  <si>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</si>
  <si>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</si>
  <si>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</si>
  <si>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</si>
  <si>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</si>
  <si>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</si>
  <si>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</si>
  <si>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</si>
  <si>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</si>
  <si>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</si>
  <si>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</si>
  <si>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</si>
  <si>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</si>
  <si>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</si>
  <si>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</si>
  <si>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</si>
  <si>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</si>
  <si>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</si>
  <si>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</si>
  <si>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</si>
  <si>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</si>
  <si>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</si>
  <si>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</si>
  <si>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</si>
  <si>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</si>
  <si>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</si>
  <si>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</si>
  <si>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</si>
  <si>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</si>
  <si>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</si>
  <si>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</si>
  <si>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</si>
  <si>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</si>
  <si>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</si>
  <si>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</si>
  <si>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</si>
  <si>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</si>
  <si>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</si>
  <si>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</si>
  <si>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</si>
  <si>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</si>
  <si>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</si>
  <si>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</si>
  <si>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</si>
  <si>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</si>
  <si>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</si>
  <si>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</si>
  <si>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</si>
  <si>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</si>
  <si>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</si>
  <si>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</si>
  <si>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</si>
  <si>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</si>
  <si>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</si>
  <si>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</si>
  <si>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</si>
  <si>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</si>
  <si>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</si>
  <si>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</si>
  <si>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</si>
  <si>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</si>
  <si>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</si>
  <si>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</si>
  <si>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</si>
  <si>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</si>
  <si>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</si>
  <si>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</si>
  <si>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</si>
  <si>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</si>
  <si>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</si>
  <si>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</si>
  <si>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</si>
  <si>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</si>
  <si>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</si>
  <si>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</si>
  <si>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</si>
  <si>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</si>
  <si>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</si>
  <si>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</si>
  <si>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</si>
  <si>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</si>
  <si>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</si>
  <si>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</si>
  <si>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</si>
  <si>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</si>
  <si>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</si>
  <si>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</si>
  <si>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</si>
  <si>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</si>
  <si>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</si>
  <si>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</si>
  <si>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</si>
  <si>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</si>
  <si>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</si>
  <si>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</si>
  <si>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</si>
  <si>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</si>
  <si>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</si>
  <si>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</si>
  <si>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</si>
  <si>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</si>
  <si>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</si>
  <si>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</si>
  <si>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</si>
  <si>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</si>
  <si>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</si>
  <si>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</si>
  <si>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</si>
  <si>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</si>
  <si>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</si>
  <si>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</si>
  <si>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</si>
  <si>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</si>
  <si>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</si>
  <si>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</si>
  <si>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</si>
  <si>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</si>
  <si>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</si>
  <si>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</si>
  <si>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</si>
  <si>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</si>
  <si>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</si>
  <si>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</si>
  <si>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</si>
  <si>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</si>
  <si>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</si>
  <si>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</si>
  <si>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</si>
  <si>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</si>
  <si>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SAMPLE-CMP-006.SAMPLE-O-010</t>
  </si>
  <si>
    <t xml:space="preserve">SAMPLE-CMP-006.SAMPLE-O-007</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</si>
  <si>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</si>
  <si>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</si>
  <si>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</si>
  <si>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</si>
  <si>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</si>
  <si>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</si>
  <si>
    <t xml:space="preserve">SAMPLE-CMP-007.SAMPLE-O-004</t>
  </si>
  <si>
    <t xml:space="preserve">SAMPLE-CMP-007.SAMPLE-O-002</t>
  </si>
  <si>
    <t xml:space="preserve">SAMPLE-CMP-007.SAMPLE-O-003</t>
  </si>
  <si>
    <t xml:space="preserve">SAMPLE-CMP-007.SAMPLE-O-008</t>
  </si>
  <si>
    <t xml:space="preserve">SAMPLE-CMP-007.SAMPLE-O-007</t>
  </si>
  <si>
    <t xml:space="preserve">SAMPLE-CMP-007.SAMPLE-O-005</t>
  </si>
  <si>
    <t xml:space="preserve">SAMPLE-CMP-007.SAMPLE-O-009</t>
  </si>
  <si>
    <t xml:space="preserve">SAMPLE-CMP-007.SAMPLE-O-001</t>
  </si>
  <si>
    <t xml:space="preserve">SAMPLE-CMP-007.SAMPLE-O-010</t>
  </si>
  <si>
    <t xml:space="preserve">SAMPLE-CMP-007.SAMPLE-O-006</t>
  </si>
  <si>
    <t xml:space="preserve">SAMPLE-CMP-008.SAMPLE-O-002</t>
  </si>
  <si>
    <t xml:space="preserve">SAMPLE-CMP-008.SAMPLE-O-007</t>
  </si>
  <si>
    <t xml:space="preserve">SAMPLE-CMP-008.SAMPLE-O-001</t>
  </si>
  <si>
    <t xml:space="preserve">SAMPLE-CMP-008.SAMPLE-O-008</t>
  </si>
  <si>
    <t xml:space="preserve">SAMPLE-CMP-008.SAMPLE-O-006</t>
  </si>
  <si>
    <t xml:space="preserve">SAMPLE-CMP-008.SAMPLE-O-003</t>
  </si>
  <si>
    <t xml:space="preserve">SAMPLE-CMP-008.SAMPLE-O-010</t>
  </si>
  <si>
    <t xml:space="preserve">SAMPLE-CMP-008.SAMPLE-O-009</t>
  </si>
  <si>
    <t xml:space="preserve">SAMPLE-CMP-008.SAMPLE-O-004</t>
  </si>
  <si>
    <t xml:space="preserve">SAMPLE-CMP-008.SAMPLE-O-005</t>
  </si>
  <si>
    <t xml:space="preserve">SAMPLE never saw them</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</si>
</sst>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46478</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done</v>
      </c>
      <c r="G33" s="11" t="str">
        <f aca="false">IF(INDEX(drops!$A$2:$A$21,2)="","",INDEX(drops!$Y$2:$Y$21,2))</f>
        <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done</v>
      </c>
      <c r="G34" s="11" t="str">
        <f aca="false">IF(INDEX(drops!$A$2:$A$21,3)="","",INDEX(drops!$Y$2:$Y$21,3))</f>
        <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20.5</v>
      </c>
      <c r="O34" s="12" t="n">
        <f aca="false">IF(INDEX(drops!$A$2:$A$21,3)="","",INDEX(drops!$AJ$2:$AJ$21,3))</f>
        <v>970</v>
      </c>
      <c r="P34" s="12" t="n">
        <f aca="false">IF(INDEX(drops!$A$2:$A$21,3)="","",INDEX(drops!$AK$2:$AK$21,3))</f>
        <v>47.32</v>
      </c>
      <c r="Q34" s="14" t="n">
        <f aca="false">IF(INDEX(drops!$A$2:$A$21,3)="","",INDEX(drops!$AL$2:$AL$21,3))</f>
        <v>1</v>
      </c>
      <c r="R34" s="10" t="n">
        <f aca="false">IF(INDEX(drops!$A$2:$A$21,3)="","",INDEX(drops!$AM$2:$AM$21,3))</f>
        <v>5</v>
      </c>
      <c r="S34" s="10" t="n">
        <f aca="false">IF(INDEX(drops!$A$2:$A$21,3)="","",INDEX(drops!$AN$2:$AN$21,3))</f>
        <v>0</v>
      </c>
      <c r="T34" s="10" t="n">
        <f aca="false">IF(INDEX(drops!$A$2:$A$21,3)="","",INDEX(drops!$AO$2:$AO$21,3))</f>
        <v>1</v>
      </c>
    </row>
    <row r="35" customFormat="false" ht="15" hidden="false" customHeight="false" outlineLevel="0" collapsed="false">
      <c r="A35" s="0" t="str">
        <f aca="false">IF(INDEX(drops!$A$2:$A$21,4)="","",INDEX(drops!$A$2:$A$21,4))</f>
        <v>SAMPLE-DRP-004</v>
      </c>
      <c r="B35" s="11" t="n">
        <f aca="false">IF(INDEX(drops!$A$2:$A$21,4)="","",INDEX(drops!$B$2:$B$21,4))</f>
        <v>46469</v>
      </c>
      <c r="C35" s="0" t="str">
        <f aca="false">IF(INDEX(drops!$A$2:$A$21,4)="","",INDEX(drops!$C$2:$C$21,4))</f>
        <v>direct-ship</v>
      </c>
      <c r="D35" s="0" t="str">
        <f aca="false">IF(INDEX(drops!$A$2:$A$21,4)="","",INDEX(drops!$D$2:$D$21,4))</f>
        <v>confirmed</v>
      </c>
      <c r="E35" s="0" t="str">
        <f aca="false">IF(INDEX(drops!$A$2:$A$21,4)="","",INDEX(drops!$I$2:$I$21,4))</f>
        <v>OK</v>
      </c>
      <c r="F35" s="0" t="str">
        <f aca="false">IF(INDEX(drops!$A$2:$A$21,4)="","",INDEX(drops!$X$2:$X$21,4))</f>
        <v>T+7 report and office summaries</v>
      </c>
      <c r="G35" s="11" t="n">
        <f aca="false">IF(INDEX(drops!$A$2:$A$21,4)="","",INDEX(drops!$Y$2:$Y$21,4))</f>
        <v>46478</v>
      </c>
      <c r="H35" s="10" t="n">
        <f aca="false">IF(INDEX(drops!$A$2:$A$21,4)="","",INDEX(drops!$AA$2:$AA$21,4))</f>
        <v>10</v>
      </c>
      <c r="I35" s="10" t="n">
        <f aca="false">IF(INDEX(drops!$A$2:$A$21,4)="","",INDEX(drops!$Z$2:$Z$21,4))</f>
        <v>2</v>
      </c>
      <c r="J35" s="10" t="n">
        <f aca="false">IF(INDEX(drops!$A$2:$A$21,4)="","",INDEX(drops!$AB$2:$AB$21,4))</f>
        <v>1030</v>
      </c>
      <c r="K35" s="12" t="n">
        <f aca="false">IF(INDEX(drops!$A$2:$A$21,4)="","",INDEX(drops!$AC$2:$AC$21,4))</f>
        <v>2550</v>
      </c>
      <c r="L35" s="12" t="n">
        <f aca="false">IF(INDEX(drops!$A$2:$A$21,4)="","",INDEX(drops!$AG$2:$AG$21,4))</f>
        <v>205</v>
      </c>
      <c r="M35" s="12" t="n">
        <f aca="false">IF(INDEX(drops!$A$2:$A$21,4)="","",INDEX(drops!$AH$2:$AH$21,4))</f>
        <v>20.5</v>
      </c>
      <c r="N35" s="13" t="n">
        <f aca="false">IF(INDEX(drops!$A$2:$A$21,4)="","",INDEX(drops!$AI$2:$AI$21,4))</f>
        <v>16.5</v>
      </c>
      <c r="O35" s="12" t="n">
        <f aca="false">IF(INDEX(drops!$A$2:$A$21,4)="","",INDEX(drops!$AJ$2:$AJ$21,4))</f>
        <v>2345</v>
      </c>
      <c r="P35" s="12" t="n">
        <f aca="false">IF(INDEX(drops!$A$2:$A$21,4)="","",INDEX(drops!$AK$2:$AK$21,4))</f>
        <v>142.12</v>
      </c>
      <c r="Q35" s="14" t="n">
        <f aca="false">IF(INDEX(drops!$A$2:$A$21,4)="","",INDEX(drops!$AL$2:$AL$21,4))</f>
        <v>1</v>
      </c>
      <c r="R35" s="10" t="n">
        <f aca="false">IF(INDEX(drops!$A$2:$A$21,4)="","",INDEX(drops!$AM$2:$AM$21,4))</f>
        <v>4</v>
      </c>
      <c r="S35" s="10" t="n">
        <f aca="false">IF(INDEX(drops!$A$2:$A$21,4)="","",INDEX(drops!$AN$2:$AN$21,4))</f>
        <v>0</v>
      </c>
      <c r="T35" s="10" t="n">
        <f aca="false">IF(INDEX(drops!$A$2:$A$21,4)="","",INDEX(drops!$AO$2:$AO$21,4))</f>
        <v>0</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17</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8</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21</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12</v>
      </c>
      <c r="M55" s="10" t="n">
        <f aca="false">IF(INDEX(campaigns!$A$2:$A$51,6)="","",INDEX(campaigns!$CG$2:$CG$51,6))</f>
        <v>408</v>
      </c>
      <c r="N55" s="10" t="n">
        <f aca="false">IF(INDEX(campaigns!$A$2:$A$51,6)="","",INDEX(campaigns!$CH$2:$CH$51,6))</f>
        <v>62</v>
      </c>
      <c r="O55" s="10" t="n">
        <f aca="false">IF(INDEX(campaigns!$A$2:$A$51,6)="","",INDEX(campaigns!$CI$2:$CI$51,6))</f>
        <v>5</v>
      </c>
      <c r="P55" s="10" t="n">
        <f aca="false">IF(INDEX(campaigns!$A$2:$A$51,6)="","",INDEX(campaigns!$CK$2:$CK$51,6))</f>
        <v>49</v>
      </c>
      <c r="Q55" s="13" t="n">
        <f aca="false">IF(INDEX(campaigns!$A$2:$A$51,6)="","",INDEX(campaigns!$CP$2:$CP$51,6))</f>
        <v>4.4</v>
      </c>
      <c r="R55" s="10" t="n">
        <f aca="false">IF(INDEX(campaigns!$A$2:$A$51,6)="","",INDEX(campaigns!$CX$2:$CX$51,6))</f>
        <v>71</v>
      </c>
      <c r="S55" s="10" t="n">
        <f aca="false">IF(INDEX(campaigns!$A$2:$A$51,6)="","",INDEX(campaigns!$CZ$2:$CZ$51,6))</f>
        <v>13</v>
      </c>
      <c r="T55" s="12" t="n">
        <f aca="false">IF(INDEX(campaigns!$A$2:$A$51,6)="","",INDEX(campaigns!$DC$2:$DC$51,6))</f>
        <v>1350</v>
      </c>
      <c r="U55" s="12" t="n">
        <f aca="false">IF(INDEX(campaigns!$A$2:$A$51,6)="","",INDEX(campaigns!$DM$2:$DM$51,6))</f>
        <v>47.32</v>
      </c>
      <c r="V55" s="0" t="str">
        <f aca="false">IF(INDEX(campaigns!$A$2:$A$51,6)="","",INDEX(campaigns!$DS$2:$DS$51,6))</f>
        <v>pass</v>
      </c>
      <c r="W55" s="0" t="str">
        <f aca="false">IF(INDEX(campaigns!$A$2:$A$51,6)="","",INDEX(campaigns!$DT$2:$DT$51,6))</f>
        <v>pass</v>
      </c>
      <c r="X55" s="0" t="str">
        <f aca="false">IF(INDEX(campaigns!$A$2:$A$51,6)="","",INDEX(campaigns!$DU$2:$DU$51,6))</f>
        <v>pass</v>
      </c>
      <c r="Y55" s="0" t="str">
        <f aca="false">IF(INDEX(campaigns!$A$2:$A$51,6)="","",INDEX(campaigns!$AV$2:$AV$51,6))</f>
        <v>yes</v>
      </c>
      <c r="Z55" s="0" t="str">
        <f aca="false">IF(INDEX(campaigns!$A$2:$A$51,6)="","",INDEX(campaigns!$DV$2:$DV$51,6))</f>
        <v/>
      </c>
    </row>
    <row r="56" customFormat="false" ht="15" hidden="false" customHeight="false" outlineLevel="0" collapsed="false">
      <c r="A56" s="0" t="str">
        <f aca="false">IF(INDEX(campaigns!$A$2:$A$51,7)="","",INDEX(campaigns!$A$2:$A$51,7))</f>
        <v>SAMPLE-CMP-007</v>
      </c>
      <c r="B56" s="0" t="str">
        <f aca="false">IF(INDEX(campaigns!$A$2:$A$51,7)="","",INDEX(campaigns!$BE$2:$BE$51,7))</f>
        <v>SAMPLE Brightside</v>
      </c>
      <c r="C56" s="11" t="n">
        <f aca="false">IF(INDEX(campaigns!$A$2:$A$51,7)="","",INDEX(campaigns!$BG$2:$BG$51,7))</f>
        <v>46469</v>
      </c>
      <c r="D56" s="0" t="str">
        <f aca="false">IF(INDEX(campaigns!$A$2:$A$51,7)="","",INDEX(campaigns!$D$2:$D$51,7))</f>
        <v>founding</v>
      </c>
      <c r="E56" s="0" t="str">
        <f aca="false">IF(INDEX(campaigns!$A$2:$A$51,7)="","",INDEX(campaigns!$BW$2:$BW$51,7))</f>
        <v>RELEASED 2027-03-01: ship by Tue 2027-03-09 (latest Tue 2027-03-09)</v>
      </c>
      <c r="F56" s="10" t="n">
        <f aca="false">IF(INDEX(campaigns!$A$2:$A$51,7)="","",INDEX(campaigns!$BO$2:$BO$51,7))</f>
        <v>10</v>
      </c>
      <c r="G56" s="10" t="n">
        <f aca="false">IF(INDEX(campaigns!$A$2:$A$51,7)="","",INDEX(campaigns!$BP$2:$BP$51,7))</f>
        <v>10</v>
      </c>
      <c r="H56" s="10" t="n">
        <f aca="false">IF(INDEX(campaigns!$A$2:$A$51,7)="","",INDEX(campaigns!$F$2:$F$51,7))</f>
        <v>10</v>
      </c>
      <c r="I56" s="10" t="n">
        <f aca="false">IF(INDEX(campaigns!$A$2:$A$51,7)="","",INDEX(campaigns!$CB$2:$CB$51,7))</f>
        <v>491</v>
      </c>
      <c r="J56" s="10" t="n">
        <f aca="false">IF(INDEX(campaigns!$A$2:$A$51,7)="","",INDEX(campaigns!$CD$2:$CD$51,7))</f>
        <v>491</v>
      </c>
      <c r="K56" s="14" t="n">
        <f aca="false">IF(INDEX(campaigns!$A$2:$A$51,7)="","",INDEX(campaigns!$CE$2:$CE$51,7))</f>
        <v>1</v>
      </c>
      <c r="L56" s="10" t="n">
        <f aca="false">IF(INDEX(campaigns!$A$2:$A$51,7)="","",INDEX(campaigns!$CF$2:$CF$51,7))</f>
        <v>20</v>
      </c>
      <c r="M56" s="10" t="n">
        <f aca="false">IF(INDEX(campaigns!$A$2:$A$51,7)="","",INDEX(campaigns!$CG$2:$CG$51,7))</f>
        <v>474</v>
      </c>
      <c r="N56" s="10" t="n">
        <f aca="false">IF(INDEX(campaigns!$A$2:$A$51,7)="","",INDEX(campaigns!$CH$2:$CH$51,7))</f>
        <v>66</v>
      </c>
      <c r="O56" s="10" t="n">
        <f aca="false">IF(INDEX(campaigns!$A$2:$A$51,7)="","",INDEX(campaigns!$CI$2:$CI$51,7))</f>
        <v>4</v>
      </c>
      <c r="P56" s="10" t="n">
        <f aca="false">IF(INDEX(campaigns!$A$2:$A$51,7)="","",INDEX(campaigns!$CK$2:$CK$51,7))</f>
        <v>48</v>
      </c>
      <c r="Q56" s="13" t="n">
        <f aca="false">IF(INDEX(campaigns!$A$2:$A$51,7)="","",INDEX(campaigns!$CP$2:$CP$51,7))</f>
        <v>4.2</v>
      </c>
      <c r="R56" s="10" t="n">
        <f aca="false">IF(INDEX(campaigns!$A$2:$A$51,7)="","",INDEX(campaigns!$CX$2:$CX$51,7))</f>
        <v>81</v>
      </c>
      <c r="S56" s="10" t="n">
        <f aca="false">IF(INDEX(campaigns!$A$2:$A$51,7)="","",INDEX(campaigns!$CZ$2:$CZ$51,7))</f>
        <v>5</v>
      </c>
      <c r="T56" s="12" t="n">
        <f aca="false">IF(INDEX(campaigns!$A$2:$A$51,7)="","",INDEX(campaigns!$DC$2:$DC$51,7))</f>
        <v>1200</v>
      </c>
      <c r="U56" s="12" t="n">
        <f aca="false">IF(INDEX(campaigns!$A$2:$A$51,7)="","",INDEX(campaigns!$DM$2:$DM$51,7))</f>
        <v>133.03</v>
      </c>
      <c r="V56" s="0" t="str">
        <f aca="false">IF(INDEX(campaigns!$A$2:$A$51,7)="","",INDEX(campaigns!$DS$2:$DS$51,7))</f>
        <v>pass</v>
      </c>
      <c r="W56" s="0" t="str">
        <f aca="false">IF(INDEX(campaigns!$A$2:$A$51,7)="","",INDEX(campaigns!$DT$2:$DT$51,7))</f>
        <v>miss</v>
      </c>
      <c r="X56" s="0" t="str">
        <f aca="false">IF(INDEX(campaigns!$A$2:$A$51,7)="","",INDEX(campaigns!$DU$2:$DU$51,7))</f>
        <v>pass</v>
      </c>
      <c r="Y56" s="10" t="n">
        <f aca="false">IF(INDEX(campaigns!$A$2:$A$51,7)="","",INDEX(campaigns!$AV$2:$AV$51,7))</f>
        <v>0</v>
      </c>
      <c r="Z56" s="0" t="str">
        <f aca="false">IF(INDEX(campaigns!$A$2:$A$51,7)="","",INDEX(campaigns!$DV$2:$DV$51,7))</f>
        <v>info: brand insurance ends 2027-06-30: diary the renewal certificate; </v>
      </c>
    </row>
    <row r="57" customFormat="false" ht="15" hidden="false" customHeight="false" outlineLevel="0" collapsed="false">
      <c r="A57" s="0" t="str">
        <f aca="false">IF(INDEX(campaigns!$A$2:$A$51,8)="","",INDEX(campaigns!$A$2:$A$51,8))</f>
        <v>SAMPLE-CMP-008</v>
      </c>
      <c r="B57" s="0" t="str">
        <f aca="false">IF(INDEX(campaigns!$A$2:$A$51,8)="","",INDEX(campaigns!$BE$2:$BE$51,8))</f>
        <v>SAMPLE Tallgrass</v>
      </c>
      <c r="C57" s="11" t="n">
        <f aca="false">IF(INDEX(campaigns!$A$2:$A$51,8)="","",INDEX(campaigns!$BG$2:$BG$51,8))</f>
        <v>46469</v>
      </c>
      <c r="D57" s="0" t="str">
        <f aca="false">IF(INDEX(campaigns!$A$2:$A$51,8)="","",INDEX(campaigns!$D$2:$D$51,8))</f>
        <v>standard</v>
      </c>
      <c r="E57" s="0" t="str">
        <f aca="false">IF(INDEX(campaigns!$A$2:$A$51,8)="","",INDEX(campaigns!$BW$2:$BW$51,8))</f>
        <v>RELEASED 2027-02-26: ship by Tue 2027-03-09 (latest Tue 2027-03-09)</v>
      </c>
      <c r="F57" s="10" t="n">
        <f aca="false">IF(INDEX(campaigns!$A$2:$A$51,8)="","",INDEX(campaigns!$BO$2:$BO$51,8))</f>
        <v>10</v>
      </c>
      <c r="G57" s="10" t="n">
        <f aca="false">IF(INDEX(campaigns!$A$2:$A$51,8)="","",INDEX(campaigns!$BP$2:$BP$51,8))</f>
        <v>9</v>
      </c>
      <c r="H57" s="10" t="n">
        <f aca="false">IF(INDEX(campaigns!$A$2:$A$51,8)="","",INDEX(campaigns!$F$2:$F$51,8))</f>
        <v>10</v>
      </c>
      <c r="I57" s="10" t="n">
        <f aca="false">IF(INDEX(campaigns!$A$2:$A$51,8)="","",INDEX(campaigns!$CB$2:$CB$51,8))</f>
        <v>470</v>
      </c>
      <c r="J57" s="10" t="n">
        <f aca="false">IF(INDEX(campaigns!$A$2:$A$51,8)="","",INDEX(campaigns!$CD$2:$CD$51,8))</f>
        <v>470</v>
      </c>
      <c r="K57" s="14" t="n">
        <f aca="false">IF(INDEX(campaigns!$A$2:$A$51,8)="","",INDEX(campaigns!$CE$2:$CE$51,8))</f>
        <v>1</v>
      </c>
      <c r="L57" s="10" t="n">
        <f aca="false">IF(INDEX(campaigns!$A$2:$A$51,8)="","",INDEX(campaigns!$CF$2:$CF$51,8))</f>
        <v>6</v>
      </c>
      <c r="M57" s="10" t="n">
        <f aca="false">IF(INDEX(campaigns!$A$2:$A$51,8)="","",INDEX(campaigns!$CG$2:$CG$51,8))</f>
        <v>460</v>
      </c>
      <c r="N57" s="10" t="n">
        <f aca="false">IF(INDEX(campaigns!$A$2:$A$51,8)="","",INDEX(campaigns!$CH$2:$CH$51,8))</f>
        <v>61</v>
      </c>
      <c r="O57" s="10" t="n">
        <f aca="false">IF(INDEX(campaigns!$A$2:$A$51,8)="","",INDEX(campaigns!$CI$2:$CI$51,8))</f>
        <v>5</v>
      </c>
      <c r="P57" s="10" t="n">
        <f aca="false">IF(INDEX(campaigns!$A$2:$A$51,8)="","",INDEX(campaigns!$CK$2:$CK$51,8))</f>
        <v>44</v>
      </c>
      <c r="Q57" s="13" t="n">
        <f aca="false">IF(INDEX(campaigns!$A$2:$A$51,8)="","",INDEX(campaigns!$CP$2:$CP$51,8))</f>
        <v>4.3</v>
      </c>
      <c r="R57" s="10" t="n">
        <f aca="false">IF(INDEX(campaigns!$A$2:$A$51,8)="","",INDEX(campaigns!$CX$2:$CX$51,8))</f>
        <v>75</v>
      </c>
      <c r="S57" s="10" t="n">
        <f aca="false">IF(INDEX(campaigns!$A$2:$A$51,8)="","",INDEX(campaigns!$CZ$2:$CZ$51,8))</f>
        <v>7</v>
      </c>
      <c r="T57" s="12" t="n">
        <f aca="false">IF(INDEX(campaigns!$A$2:$A$51,8)="","",INDEX(campaigns!$DC$2:$DC$51,8))</f>
        <v>1350</v>
      </c>
      <c r="U57" s="12" t="n">
        <f aca="false">IF(INDEX(campaigns!$A$2:$A$51,8)="","",INDEX(campaigns!$DM$2:$DM$51,8))</f>
        <v>151.21</v>
      </c>
      <c r="V57" s="0" t="str">
        <f aca="false">IF(INDEX(campaigns!$A$2:$A$51,8)="","",INDEX(campaigns!$DS$2:$DS$51,8))</f>
        <v>pass</v>
      </c>
      <c r="W57" s="0" t="str">
        <f aca="false">IF(INDEX(campaigns!$A$2:$A$51,8)="","",INDEX(campaigns!$DT$2:$DT$51,8))</f>
        <v>pass</v>
      </c>
      <c r="X57" s="0" t="str">
        <f aca="false">IF(INDEX(campaigns!$A$2:$A$51,8)="","",INDEX(campaigns!$DU$2:$DU$51,8))</f>
        <v>pass</v>
      </c>
      <c r="Y57" s="10" t="n">
        <f aca="false">IF(INDEX(campaigns!$A$2:$A$51,8)="","",INDEX(campaigns!$AV$2:$AV$51,8))</f>
        <v>0</v>
      </c>
      <c r="Z57" s="0" t="str">
        <f aca="false">IF(INDEX(campaigns!$A$2:$A$51,8)="","",INDEX(campaigns!$DV$2:$DV$51,8))</f>
        <v>info: 2 in-window answers from an office not on the drop (it said no, or turned the brand away at the door): not counted;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SAMPLE-DRP-004</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n">
        <f aca="false">IF(G84="","",SUMIFS(hours!$E$2:$E$1501,hours!$D$2:$D$1501,"brand_sales",hours!$B$2:$B$1501,G84))</f>
        <v>4</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40.5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n">
        <f aca="false">IF(G84="","",SUMIFS(hours!$E$2:$E$1501,hours!$D$2:$D$1501,"office_coordination",hours!$B$2:$B$1501,G84))</f>
        <v>1.5</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12.5</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n">
        <f aca="false">IF(G84="","",SUMIFS(hours!$E$2:$E$1501,hours!$D$2:$D$1501,"receiving_kitting",hours!$B$2:$B$1501,G84))</f>
        <v>2.5</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19</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n">
        <f aca="false">IF(G84="","",SUMIFS(hours!$E$2:$E$1501,hours!$D$2:$D$1501,"drop_day",hours!$B$2:$B$1501,G84))</f>
        <v>2</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12.5</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3</v>
      </c>
      <c r="G89" s="13" t="n">
        <f aca="false">IF(G84="","",SUMIFS(hours!$E$2:$E$1501,hours!$D$2:$D$1501,"checks_pickup",hours!$B$2:$B$1501,G84))</f>
        <v>2.5</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15</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2</v>
      </c>
      <c r="G90" s="13" t="n">
        <f aca="false">IF(G84="","",SUMIFS(hours!$E$2:$E$1501,hours!$D$2:$D$1501,"reporting_debriefs",hours!$B$2:$B$1501,G84))</f>
        <v>3</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6</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n">
        <f aca="false">IF(G84="","",SUMIFS(hours!$E$2:$E$1501,hours!$D$2:$D$1501,"admin_invoicing",hours!$B$2:$B$1501,G84))</f>
        <v>1</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161</v>
      </c>
      <c r="C92" s="13" t="n">
        <f aca="false">SUM(C85:C91)</f>
        <v>15</v>
      </c>
      <c r="D92" s="13" t="n">
        <f aca="false">IF(D84="","",SUM(D85:D91))</f>
        <v>57</v>
      </c>
      <c r="E92" s="13" t="n">
        <f aca="false">IF(E84="","",SUM(E85:E91))</f>
        <v>52</v>
      </c>
      <c r="F92" s="13" t="n">
        <f aca="false">IF(F84="","",SUM(F85:F91))</f>
        <v>20.5</v>
      </c>
      <c r="G92" s="13" t="n">
        <f aca="false">IF(G84="","",SUM(G85:G91))</f>
        <v>16.5</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46478</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done</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done</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20.5</v>
      </c>
      <c r="AJ4" s="32" t="n">
        <f aca="false">IF($A4="","",$AC4-SUMIFS(campaigns!$DG$2:$DG$51,campaigns!$B$2:$B$51,$A4)-$AG4)</f>
        <v>970</v>
      </c>
      <c r="AK4" s="32" t="n">
        <f aca="false">IF(OR($A4="",N($AI4)=0),"",ROUND($AJ4/$AI4,2))</f>
        <v>47.32</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5</v>
      </c>
      <c r="AN4" s="30" t="n">
        <f aca="false">IF(OR($A4="",$T4=""),"",COUNTIFS(campaigns!$B$2:$B$51,$A4,campaigns!$DU$2:$DU$51,"late"))</f>
        <v>0</v>
      </c>
      <c r="AO4" s="30" t="n">
        <f aca="false">IF($A4="","",COUNTIFS(campaigns!$B$2:$B$51,$A4,campaigns!$AV$2:$AV$51,"yes"))</f>
        <v>1</v>
      </c>
    </row>
    <row r="5" customFormat="false" ht="15" hidden="false" customHeight="false" outlineLevel="0" collapsed="false">
      <c r="A5" s="0" t="s">
        <v>353</v>
      </c>
      <c r="B5" s="11" t="n">
        <v>46469</v>
      </c>
      <c r="C5" s="10" t="s">
        <v>354</v>
      </c>
      <c r="D5" s="10" t="s">
        <v>339</v>
      </c>
      <c r="E5" s="10" t="s">
        <v>355</v>
      </c>
      <c r="G5" s="10" t="s">
        <v>356</v>
      </c>
      <c r="H5" s="10" t="s">
        <v>357</v>
      </c>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OK</v>
      </c>
      <c r="J5" s="30" t="str">
        <f aca="false">IF($B5="","",TEXT($B5,"ddd"))</f>
        <v>Tue</v>
      </c>
      <c r="K5" s="31" t="n">
        <f aca="false">IF($I5="OK",WORKDAY($B5,-10,calendar!$A$2:$A$80),"")</f>
        <v>46455</v>
      </c>
      <c r="L5" s="31" t="n">
        <f aca="false">IF($I5="OK",IF(SUMPRODUCT((calendar!$D$2:$D$20&lt;=$M5)*(calendar!$E$2:$E$20&gt;=$K5)*calendar!$D$2:$D$20)=0,$K5,MIN($K5,WORKDAY(SUMPRODUCT((calendar!$D$2:$D$20&lt;=$M5)*(calendar!$E$2:$E$20&gt;=$K5)*calendar!$D$2:$D$20)+5,-1,calendar!$A$2:$A$80))),"")</f>
        <v>46455</v>
      </c>
      <c r="M5" s="31" t="n">
        <f aca="false">IF($I5="OK",WORKDAY($B5,-5,calendar!$A$2:$A$80),"")</f>
        <v>46462</v>
      </c>
      <c r="N5" s="31" t="n">
        <f aca="false">IF($I5="OK",WORKDAY($B5,-3,calendar!$A$2:$A$80),"")</f>
        <v>46464</v>
      </c>
      <c r="O5" s="31" t="n">
        <f aca="false">IF($I5="OK",WORKDAY($B5,-1,calendar!$A$2:$A$80),"")</f>
        <v>46468</v>
      </c>
      <c r="P5" s="31" t="n">
        <f aca="false">IF($I5="OK",WORKDAY($B5,1,calendar!$A$2:$A$80),"")</f>
        <v>46470</v>
      </c>
      <c r="Q5" s="31" t="n">
        <f aca="false">IF($I5="OK",WORKDAY($B5,2,calendar!$A$2:$A$80),"")</f>
        <v>46471</v>
      </c>
      <c r="R5" s="31" t="n">
        <f aca="false">IF($I5="OK",WORKDAY($B5,4,calendar!$A$2:$A$80),"")</f>
        <v>46475</v>
      </c>
      <c r="S5" s="31" t="n">
        <f aca="false">IF($I5="OK",WORKDAY($B5,5,calendar!$A$2:$A$80),"")</f>
        <v>46476</v>
      </c>
      <c r="T5" s="31" t="n">
        <f aca="false">IF($I5="OK",WORKDAY($B5,7,calendar!$A$2:$A$80),"")</f>
        <v>46478</v>
      </c>
      <c r="U5" s="31" t="n">
        <f aca="false">IF($I5="OK",WORKDAY($B5,10,calendar!$A$2:$A$80),"")</f>
        <v>46483</v>
      </c>
      <c r="V5" s="31" t="n">
        <f aca="false">IF($I5="OK",WORKDAY($B5,14,calendar!$A$2:$A$80),"")</f>
        <v>46489</v>
      </c>
      <c r="W5" s="31" t="n">
        <f aca="false">IF($I5="OK",$B5+30,"")</f>
        <v>46499</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T+7 report and office summaries</v>
      </c>
      <c r="Y5" s="31" t="n">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46478</v>
      </c>
      <c r="Z5" s="30" t="n">
        <f aca="false">IF($A5="","",COUNTIF(campaigns!$B$2:$B$51,$A5))</f>
        <v>2</v>
      </c>
      <c r="AA5" s="30" t="n">
        <f aca="false">IF($A5="","",COUNTIF(stops!$A$2:$A$151,$A5))</f>
        <v>10</v>
      </c>
      <c r="AB5" s="30" t="n">
        <f aca="false">IF($A5="","",SUMIFS(approvals!$S$2:$S$251,approvals!$H$2:$H$251,$A5,approvals!$P$2:$P$251,"Y"))</f>
        <v>1030</v>
      </c>
      <c r="AC5" s="32" t="n">
        <f aca="false">IF($A5="","",SUMIFS(campaigns!$DC$2:$DC$51,campaigns!$B$2:$B$51,$A5))</f>
        <v>2550</v>
      </c>
      <c r="AD5" s="32" t="n">
        <f aca="false">IF($A5="","",SUMIFS(costs!$E$2:$E$301,costs!$B$2:$B$301,$A5,costs!$D$2:$D$301,"kit"))</f>
        <v>160</v>
      </c>
      <c r="AE5" s="32" t="n">
        <f aca="false">IF($A5="","",SUMIFS(costs!$E$2:$E$301,costs!$B$2:$B$301,$A5,costs!$D$2:$D$301,"transport"))</f>
        <v>0</v>
      </c>
      <c r="AF5" s="32" t="n">
        <f aca="false">IF($A5="","",SUMIFS(costs!$E$2:$E$301,costs!$B$2:$B$301,$A5,costs!$D$2:$D$301,"other_direct"))</f>
        <v>45</v>
      </c>
      <c r="AG5" s="32" t="n">
        <f aca="false">IF($A5="","",$AD5+$AE5+$AF5)</f>
        <v>205</v>
      </c>
      <c r="AH5" s="32" t="n">
        <f aca="false">IF(OR($A5="",N($AA5)=0),"",ROUND($AG5/$AA5,2))</f>
        <v>20.5</v>
      </c>
      <c r="AI5" s="33" t="n">
        <f aca="false">IF($A5="","",SUMIFS(hours!$E$2:$E$1501,hours!$B$2:$B$1501,$A5))</f>
        <v>16.5</v>
      </c>
      <c r="AJ5" s="32" t="n">
        <f aca="false">IF($A5="","",$AC5-SUMIFS(campaigns!$DG$2:$DG$51,campaigns!$B$2:$B$51,$A5)-$AG5)</f>
        <v>2345</v>
      </c>
      <c r="AK5" s="32" t="n">
        <f aca="false">IF(OR($A5="",N($AI5)=0),"",ROUND($AJ5/$AI5,2))</f>
        <v>142.12</v>
      </c>
      <c r="AL5" s="34" t="n">
        <f aca="false">IF(OR($A5="",SUMIFS(campaigns!$CB$2:$CB$51,campaigns!$B$2:$B$51,$A5)=0),"",SUMIFS(campaigns!$CD$2:$CD$51,campaigns!$B$2:$B$51,$A5)/SUMIFS(campaigns!$CB$2:$CB$51,campaigns!$B$2:$B$51,$A5))</f>
        <v>1</v>
      </c>
      <c r="AM5" s="30" t="n">
        <f aca="false">IF(OR($A5="",COUNTIFS(approvals!$H$2:$H$251,$A5,approvals!$Q$2:$Q$251,"Y")=0),"",SUMPRODUCT(MIN(approvals!$BB$2:$BB$251+(approvals!$H$2:$H$251&lt;&gt;$A5)*1000000)))</f>
        <v>4</v>
      </c>
      <c r="AN5" s="30" t="n">
        <f aca="false">IF(OR($A5="",$T5=""),"",COUNTIFS(campaigns!$B$2:$B$51,$A5,campaigns!$DU$2:$DU$51,"late"))</f>
        <v>0</v>
      </c>
      <c r="AO5" s="30" t="n">
        <f aca="false">IF($A5="","",COUNTIFS(campaigns!$B$2:$B$51,$A5,campaigns!$AV$2:$AV$51,"yes"))</f>
        <v>0</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358</v>
      </c>
      <c r="B1" s="28" t="s">
        <v>299</v>
      </c>
      <c r="C1" s="28" t="s">
        <v>359</v>
      </c>
      <c r="D1" s="28" t="s">
        <v>100</v>
      </c>
      <c r="E1" s="28" t="s">
        <v>360</v>
      </c>
      <c r="F1" s="28" t="s">
        <v>361</v>
      </c>
      <c r="G1" s="28" t="s">
        <v>362</v>
      </c>
      <c r="H1" s="28" t="s">
        <v>363</v>
      </c>
      <c r="I1" s="28" t="s">
        <v>364</v>
      </c>
      <c r="J1" s="28" t="s">
        <v>365</v>
      </c>
      <c r="K1" s="28" t="s">
        <v>366</v>
      </c>
      <c r="L1" s="28" t="s">
        <v>367</v>
      </c>
      <c r="M1" s="28" t="s">
        <v>368</v>
      </c>
      <c r="N1" s="28" t="s">
        <v>369</v>
      </c>
      <c r="O1" s="28" t="s">
        <v>370</v>
      </c>
      <c r="P1" s="28" t="s">
        <v>371</v>
      </c>
      <c r="Q1" s="28" t="s">
        <v>372</v>
      </c>
      <c r="R1" s="28" t="s">
        <v>373</v>
      </c>
      <c r="S1" s="28" t="s">
        <v>374</v>
      </c>
      <c r="T1" s="28" t="s">
        <v>375</v>
      </c>
      <c r="U1" s="28" t="s">
        <v>376</v>
      </c>
      <c r="V1" s="28" t="s">
        <v>377</v>
      </c>
      <c r="W1" s="28" t="s">
        <v>378</v>
      </c>
      <c r="X1" s="28" t="s">
        <v>379</v>
      </c>
      <c r="Y1" s="28" t="s">
        <v>380</v>
      </c>
      <c r="Z1" s="28" t="s">
        <v>381</v>
      </c>
      <c r="AA1" s="28" t="s">
        <v>382</v>
      </c>
      <c r="AB1" s="28" t="s">
        <v>383</v>
      </c>
      <c r="AC1" s="28" t="s">
        <v>384</v>
      </c>
      <c r="AD1" s="28" t="s">
        <v>385</v>
      </c>
      <c r="AE1" s="28" t="s">
        <v>386</v>
      </c>
      <c r="AF1" s="28" t="s">
        <v>387</v>
      </c>
      <c r="AG1" s="28" t="s">
        <v>388</v>
      </c>
      <c r="AH1" s="28" t="s">
        <v>389</v>
      </c>
      <c r="AI1" s="28" t="s">
        <v>390</v>
      </c>
      <c r="AJ1" s="28" t="s">
        <v>391</v>
      </c>
      <c r="AK1" s="28" t="s">
        <v>392</v>
      </c>
      <c r="AL1" s="28" t="s">
        <v>393</v>
      </c>
      <c r="AM1" s="28" t="s">
        <v>394</v>
      </c>
      <c r="AN1" s="28" t="s">
        <v>395</v>
      </c>
      <c r="AO1" s="28" t="s">
        <v>396</v>
      </c>
      <c r="AP1" s="28" t="s">
        <v>397</v>
      </c>
      <c r="AQ1" s="28" t="s">
        <v>398</v>
      </c>
      <c r="AR1" s="28" t="s">
        <v>399</v>
      </c>
      <c r="AS1" s="28" t="s">
        <v>400</v>
      </c>
      <c r="AT1" s="28" t="s">
        <v>401</v>
      </c>
      <c r="AU1" s="28" t="s">
        <v>402</v>
      </c>
      <c r="AV1" s="28" t="s">
        <v>403</v>
      </c>
      <c r="AW1" s="28" t="s">
        <v>404</v>
      </c>
      <c r="AX1" s="28" t="s">
        <v>405</v>
      </c>
      <c r="AY1" s="28" t="s">
        <v>406</v>
      </c>
      <c r="AZ1" s="28" t="s">
        <v>407</v>
      </c>
      <c r="BA1" s="28" t="s">
        <v>408</v>
      </c>
      <c r="BB1" s="28" t="s">
        <v>409</v>
      </c>
      <c r="BC1" s="28" t="s">
        <v>410</v>
      </c>
      <c r="BD1" s="28" t="s">
        <v>305</v>
      </c>
      <c r="BE1" s="29" t="s">
        <v>411</v>
      </c>
      <c r="BF1" s="29" t="s">
        <v>412</v>
      </c>
      <c r="BG1" s="29" t="s">
        <v>300</v>
      </c>
      <c r="BH1" s="29" t="s">
        <v>301</v>
      </c>
      <c r="BI1" s="29" t="s">
        <v>413</v>
      </c>
      <c r="BJ1" s="29" t="s">
        <v>414</v>
      </c>
      <c r="BK1" s="29" t="s">
        <v>415</v>
      </c>
      <c r="BL1" s="29" t="s">
        <v>416</v>
      </c>
      <c r="BM1" s="29" t="s">
        <v>309</v>
      </c>
      <c r="BN1" s="29" t="s">
        <v>417</v>
      </c>
      <c r="BO1" s="29" t="s">
        <v>418</v>
      </c>
      <c r="BP1" s="29" t="s">
        <v>419</v>
      </c>
      <c r="BQ1" s="29" t="s">
        <v>420</v>
      </c>
      <c r="BR1" s="29" t="s">
        <v>324</v>
      </c>
      <c r="BS1" s="29" t="s">
        <v>421</v>
      </c>
      <c r="BT1" s="29" t="s">
        <v>422</v>
      </c>
      <c r="BU1" s="29" t="s">
        <v>423</v>
      </c>
      <c r="BV1" s="29" t="s">
        <v>424</v>
      </c>
      <c r="BW1" s="29" t="s">
        <v>425</v>
      </c>
      <c r="BX1" s="29" t="s">
        <v>426</v>
      </c>
      <c r="BY1" s="29" t="s">
        <v>427</v>
      </c>
      <c r="BZ1" s="29" t="s">
        <v>428</v>
      </c>
      <c r="CA1" s="29" t="s">
        <v>429</v>
      </c>
      <c r="CB1" s="29" t="s">
        <v>430</v>
      </c>
      <c r="CC1" s="29" t="s">
        <v>431</v>
      </c>
      <c r="CD1" s="29" t="s">
        <v>432</v>
      </c>
      <c r="CE1" s="29" t="s">
        <v>433</v>
      </c>
      <c r="CF1" s="29" t="s">
        <v>434</v>
      </c>
      <c r="CG1" s="29" t="s">
        <v>435</v>
      </c>
      <c r="CH1" s="29" t="s">
        <v>436</v>
      </c>
      <c r="CI1" s="29" t="s">
        <v>437</v>
      </c>
      <c r="CJ1" s="29" t="s">
        <v>438</v>
      </c>
      <c r="CK1" s="29" t="s">
        <v>439</v>
      </c>
      <c r="CL1" s="29" t="s">
        <v>440</v>
      </c>
      <c r="CM1" s="29" t="s">
        <v>441</v>
      </c>
      <c r="CN1" s="29" t="s">
        <v>442</v>
      </c>
      <c r="CO1" s="29" t="s">
        <v>443</v>
      </c>
      <c r="CP1" s="29" t="s">
        <v>444</v>
      </c>
      <c r="CQ1" s="29" t="s">
        <v>445</v>
      </c>
      <c r="CR1" s="29" t="s">
        <v>446</v>
      </c>
      <c r="CS1" s="29" t="s">
        <v>447</v>
      </c>
      <c r="CT1" s="29" t="s">
        <v>448</v>
      </c>
      <c r="CU1" s="29" t="s">
        <v>449</v>
      </c>
      <c r="CV1" s="29" t="s">
        <v>450</v>
      </c>
      <c r="CW1" s="29" t="s">
        <v>451</v>
      </c>
      <c r="CX1" s="29" t="s">
        <v>452</v>
      </c>
      <c r="CY1" s="29" t="s">
        <v>453</v>
      </c>
      <c r="CZ1" s="29" t="s">
        <v>454</v>
      </c>
      <c r="DA1" s="29" t="s">
        <v>455</v>
      </c>
      <c r="DB1" s="29" t="s">
        <v>456</v>
      </c>
      <c r="DC1" s="29" t="s">
        <v>325</v>
      </c>
      <c r="DD1" s="29" t="s">
        <v>457</v>
      </c>
      <c r="DE1" s="29" t="s">
        <v>458</v>
      </c>
      <c r="DF1" s="29" t="s">
        <v>459</v>
      </c>
      <c r="DG1" s="29" t="s">
        <v>460</v>
      </c>
      <c r="DH1" s="29" t="s">
        <v>329</v>
      </c>
      <c r="DI1" s="29" t="s">
        <v>461</v>
      </c>
      <c r="DJ1" s="29" t="s">
        <v>462</v>
      </c>
      <c r="DK1" s="29" t="s">
        <v>463</v>
      </c>
      <c r="DL1" s="29" t="s">
        <v>332</v>
      </c>
      <c r="DM1" s="29" t="s">
        <v>333</v>
      </c>
      <c r="DN1" s="29" t="s">
        <v>464</v>
      </c>
      <c r="DO1" s="29" t="s">
        <v>465</v>
      </c>
      <c r="DP1" s="29" t="s">
        <v>466</v>
      </c>
      <c r="DQ1" s="29" t="s">
        <v>467</v>
      </c>
      <c r="DR1" s="29" t="s">
        <v>468</v>
      </c>
      <c r="DS1" s="29" t="s">
        <v>469</v>
      </c>
      <c r="DT1" s="29" t="s">
        <v>470</v>
      </c>
      <c r="DU1" s="29" t="s">
        <v>471</v>
      </c>
      <c r="DV1" s="29" t="s">
        <v>120</v>
      </c>
    </row>
    <row r="2" customFormat="false" ht="41.75" hidden="false" customHeight="false" outlineLevel="0" collapsed="false">
      <c r="A2" s="0" t="s">
        <v>472</v>
      </c>
      <c r="B2" s="0" t="s">
        <v>337</v>
      </c>
      <c r="C2" s="0" t="s">
        <v>473</v>
      </c>
      <c r="D2" s="10" t="s">
        <v>474</v>
      </c>
      <c r="F2" s="0" t="n">
        <v>5</v>
      </c>
      <c r="G2" s="12"/>
      <c r="H2" s="11" t="n">
        <v>46363</v>
      </c>
      <c r="I2" s="10" t="s">
        <v>475</v>
      </c>
      <c r="J2" s="10" t="s">
        <v>476</v>
      </c>
      <c r="L2" s="10" t="s">
        <v>477</v>
      </c>
      <c r="M2" s="10" t="s">
        <v>478</v>
      </c>
      <c r="N2" s="10" t="s">
        <v>479</v>
      </c>
      <c r="O2" s="10" t="s">
        <v>480</v>
      </c>
      <c r="U2" s="10" t="s">
        <v>481</v>
      </c>
      <c r="V2" s="10" t="s">
        <v>482</v>
      </c>
      <c r="W2" s="10" t="s">
        <v>483</v>
      </c>
      <c r="X2" s="10" t="s">
        <v>484</v>
      </c>
      <c r="Y2" s="10" t="s">
        <v>485</v>
      </c>
      <c r="Z2" s="10" t="s">
        <v>486</v>
      </c>
      <c r="AA2" s="10" t="s">
        <v>487</v>
      </c>
      <c r="AB2" s="11" t="n">
        <v>46370</v>
      </c>
      <c r="AC2" s="11" t="n">
        <v>46370</v>
      </c>
      <c r="AD2" s="11" t="n">
        <v>46370</v>
      </c>
      <c r="AF2" s="11" t="n">
        <v>46377</v>
      </c>
      <c r="AG2" s="11" t="n">
        <v>46374</v>
      </c>
      <c r="AH2" s="0" t="n">
        <v>275</v>
      </c>
      <c r="AI2" s="10" t="s">
        <v>488</v>
      </c>
      <c r="AJ2" s="10" t="s">
        <v>489</v>
      </c>
      <c r="AK2" s="10" t="s">
        <v>490</v>
      </c>
      <c r="AL2" s="10" t="s">
        <v>491</v>
      </c>
      <c r="AM2" s="10" t="s">
        <v>492</v>
      </c>
      <c r="AN2" s="10" t="s">
        <v>493</v>
      </c>
      <c r="AO2" s="2" t="s">
        <v>494</v>
      </c>
      <c r="AP2" s="10" t="s">
        <v>495</v>
      </c>
      <c r="AT2" s="11" t="n">
        <v>46409</v>
      </c>
      <c r="AU2" s="11" t="n">
        <v>46414</v>
      </c>
      <c r="AV2" s="10" t="s">
        <v>496</v>
      </c>
      <c r="AW2" s="10" t="s">
        <v>486</v>
      </c>
      <c r="AX2" s="10" t="s">
        <v>497</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498</v>
      </c>
      <c r="B3" s="0" t="s">
        <v>337</v>
      </c>
      <c r="C3" s="0" t="s">
        <v>499</v>
      </c>
      <c r="D3" s="10" t="s">
        <v>474</v>
      </c>
      <c r="F3" s="0" t="n">
        <v>5</v>
      </c>
      <c r="G3" s="12"/>
      <c r="H3" s="11" t="n">
        <v>46364</v>
      </c>
      <c r="I3" s="10" t="s">
        <v>475</v>
      </c>
      <c r="J3" s="10" t="s">
        <v>500</v>
      </c>
      <c r="K3" s="0" t="n">
        <v>24</v>
      </c>
      <c r="L3" s="10" t="s">
        <v>501</v>
      </c>
      <c r="M3" s="10" t="s">
        <v>502</v>
      </c>
      <c r="N3" s="10" t="s">
        <v>503</v>
      </c>
      <c r="U3" s="10" t="s">
        <v>504</v>
      </c>
      <c r="V3" s="10" t="s">
        <v>505</v>
      </c>
      <c r="W3" s="10" t="s">
        <v>483</v>
      </c>
      <c r="Y3" s="10" t="s">
        <v>506</v>
      </c>
      <c r="Z3" s="10" t="s">
        <v>507</v>
      </c>
      <c r="AB3" s="11" t="n">
        <v>46371</v>
      </c>
      <c r="AC3" s="11" t="n">
        <v>46370</v>
      </c>
      <c r="AD3" s="11" t="n">
        <v>46370</v>
      </c>
      <c r="AF3" s="11" t="n">
        <v>46377</v>
      </c>
      <c r="AG3" s="11" t="n">
        <v>46374</v>
      </c>
      <c r="AH3" s="0" t="n">
        <v>275</v>
      </c>
      <c r="AI3" s="10" t="s">
        <v>508</v>
      </c>
      <c r="AJ3" s="10" t="s">
        <v>509</v>
      </c>
      <c r="AL3" s="10" t="s">
        <v>510</v>
      </c>
      <c r="AM3" s="10" t="s">
        <v>511</v>
      </c>
      <c r="AN3" s="10" t="s">
        <v>512</v>
      </c>
      <c r="AO3" s="2" t="s">
        <v>513</v>
      </c>
      <c r="AP3" s="10" t="s">
        <v>514</v>
      </c>
      <c r="AT3" s="11" t="n">
        <v>46409</v>
      </c>
      <c r="AU3" s="11" t="n">
        <v>46414</v>
      </c>
      <c r="AV3" s="10" t="s">
        <v>145</v>
      </c>
      <c r="AW3" s="10" t="s">
        <v>507</v>
      </c>
      <c r="AX3" s="10" t="s">
        <v>515</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516</v>
      </c>
      <c r="B4" s="0" t="s">
        <v>344</v>
      </c>
      <c r="C4" s="0" t="s">
        <v>517</v>
      </c>
      <c r="D4" s="10" t="s">
        <v>518</v>
      </c>
      <c r="F4" s="0" t="n">
        <v>10</v>
      </c>
      <c r="G4" s="12"/>
      <c r="H4" s="11" t="n">
        <v>46391</v>
      </c>
      <c r="I4" s="10" t="s">
        <v>475</v>
      </c>
      <c r="J4" s="10" t="s">
        <v>519</v>
      </c>
      <c r="L4" s="10" t="s">
        <v>520</v>
      </c>
      <c r="M4" s="10" t="s">
        <v>478</v>
      </c>
      <c r="N4" s="10" t="s">
        <v>521</v>
      </c>
      <c r="O4" s="10" t="s">
        <v>522</v>
      </c>
      <c r="U4" s="10" t="s">
        <v>481</v>
      </c>
      <c r="V4" s="10" t="s">
        <v>523</v>
      </c>
      <c r="W4" s="10" t="s">
        <v>483</v>
      </c>
      <c r="Y4" s="10" t="s">
        <v>485</v>
      </c>
      <c r="Z4" s="10" t="s">
        <v>507</v>
      </c>
      <c r="AB4" s="11" t="n">
        <v>46394</v>
      </c>
      <c r="AC4" s="11" t="n">
        <v>46394</v>
      </c>
      <c r="AD4" s="11" t="n">
        <v>46394</v>
      </c>
      <c r="AF4" s="11" t="n">
        <v>46416</v>
      </c>
      <c r="AG4" s="11" t="n">
        <v>46402</v>
      </c>
      <c r="AH4" s="0" t="n">
        <v>567</v>
      </c>
      <c r="AI4" s="10" t="s">
        <v>524</v>
      </c>
      <c r="AJ4" s="10" t="s">
        <v>525</v>
      </c>
      <c r="AL4" s="10" t="s">
        <v>526</v>
      </c>
      <c r="AM4" s="10" t="s">
        <v>527</v>
      </c>
      <c r="AN4" s="10" t="s">
        <v>528</v>
      </c>
      <c r="AO4" s="2" t="s">
        <v>529</v>
      </c>
      <c r="AP4" s="10" t="s">
        <v>530</v>
      </c>
      <c r="AT4" s="11" t="n">
        <v>46437</v>
      </c>
      <c r="AU4" s="11" t="n">
        <v>46442</v>
      </c>
      <c r="AV4" s="10" t="s">
        <v>496</v>
      </c>
      <c r="AW4" s="10" t="s">
        <v>486</v>
      </c>
      <c r="AX4" s="10" t="s">
        <v>531</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17</v>
      </c>
      <c r="DA4" s="31" t="n">
        <f aca="false">IF($A4="","",IFERROR(1/(1/SUMPRODUCT(MAX((redemptions!$A$2:$A$121=$A4)*redemptions!$B$2:$B$121))),""))</f>
        <v>46457</v>
      </c>
      <c r="DB4" s="30" t="n">
        <f aca="false">IF($A4="","",IF(COUNTIFS(redemptions!$A$2:$A$121,$A4,redemptions!$H$2:$H$121,"Y")=0,"",SUMIFS(redemptions!$C$2:$C$121,redemptions!$A$2:$A$121,$A4,redemptions!$B$2:$B$121,SUMPRODUCT(MIN((redemptions!$A$2:$A$121=$A4)*(redemptions!$H$2:$H$121="Y")*redemptions!$B$2:$B$121+((redemptions!$A$2:$A$121&lt;&gt;$A4)+(redemptions!$H$2:$H$121&lt;&gt;"Y")&gt;0)*1000000)))))</f>
        <v>17</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532</v>
      </c>
      <c r="B5" s="0" t="s">
        <v>344</v>
      </c>
      <c r="C5" s="0" t="s">
        <v>533</v>
      </c>
      <c r="D5" s="10" t="s">
        <v>518</v>
      </c>
      <c r="F5" s="0" t="n">
        <v>10</v>
      </c>
      <c r="G5" s="12"/>
      <c r="H5" s="11" t="n">
        <v>46393</v>
      </c>
      <c r="I5" s="10" t="s">
        <v>475</v>
      </c>
      <c r="J5" s="10" t="s">
        <v>534</v>
      </c>
      <c r="L5" s="10" t="s">
        <v>535</v>
      </c>
      <c r="M5" s="10" t="s">
        <v>502</v>
      </c>
      <c r="N5" s="10" t="s">
        <v>536</v>
      </c>
      <c r="O5" s="10" t="s">
        <v>537</v>
      </c>
      <c r="U5" s="10" t="s">
        <v>504</v>
      </c>
      <c r="V5" s="10" t="s">
        <v>538</v>
      </c>
      <c r="W5" s="10" t="s">
        <v>483</v>
      </c>
      <c r="Y5" s="10" t="s">
        <v>506</v>
      </c>
      <c r="Z5" s="10" t="s">
        <v>486</v>
      </c>
      <c r="AA5" s="10" t="s">
        <v>539</v>
      </c>
      <c r="AB5" s="11" t="n">
        <v>46398</v>
      </c>
      <c r="AC5" s="11" t="n">
        <v>46398</v>
      </c>
      <c r="AD5" s="11" t="n">
        <v>46398</v>
      </c>
      <c r="AF5" s="11" t="n">
        <v>46416</v>
      </c>
      <c r="AG5" s="11" t="n">
        <v>46402</v>
      </c>
      <c r="AH5" s="0" t="n">
        <v>501</v>
      </c>
      <c r="AI5" s="10" t="s">
        <v>540</v>
      </c>
      <c r="AJ5" s="10" t="s">
        <v>541</v>
      </c>
      <c r="AK5" s="10" t="s">
        <v>542</v>
      </c>
      <c r="AL5" s="10" t="s">
        <v>543</v>
      </c>
      <c r="AM5" s="10" t="s">
        <v>544</v>
      </c>
      <c r="AN5" s="10" t="s">
        <v>545</v>
      </c>
      <c r="AO5" s="2" t="s">
        <v>546</v>
      </c>
      <c r="AP5" s="10" t="s">
        <v>547</v>
      </c>
      <c r="AT5" s="11" t="n">
        <v>46437</v>
      </c>
      <c r="AU5" s="11" t="n">
        <v>46442</v>
      </c>
      <c r="AV5" s="10" t="s">
        <v>145</v>
      </c>
      <c r="AW5" s="10" t="s">
        <v>548</v>
      </c>
      <c r="AY5" s="11" t="n">
        <v>46435</v>
      </c>
      <c r="AZ5" s="0" t="n">
        <v>4</v>
      </c>
      <c r="BA5" s="11" t="n">
        <v>46435</v>
      </c>
      <c r="BB5" s="11" t="n">
        <v>46465</v>
      </c>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8</v>
      </c>
      <c r="DA5" s="31" t="n">
        <f aca="false">IF($A5="","",IFERROR(1/(1/SUMPRODUCT(MAX((redemptions!$A$2:$A$121=$A5)*redemptions!$B$2:$B$121))),""))</f>
        <v>46457</v>
      </c>
      <c r="DB5" s="30" t="n">
        <f aca="false">IF($A5="","",IF(COUNTIFS(redemptions!$A$2:$A$121,$A5,redemptions!$H$2:$H$121,"Y")=0,"",SUMIFS(redemptions!$C$2:$C$121,redemptions!$A$2:$A$121,$A5,redemptions!$B$2:$B$121,SUMPRODUCT(MIN((redemptions!$A$2:$A$121=$A5)*(redemptions!$H$2:$H$121="Y")*redemptions!$B$2:$B$121+((redemptions!$A$2:$A$121&lt;&gt;$A5)+(redemptions!$H$2:$H$121&lt;&gt;"Y")&gt;0)*1000000)))))</f>
        <v>8</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549</v>
      </c>
      <c r="B6" s="0" t="s">
        <v>344</v>
      </c>
      <c r="C6" s="0" t="s">
        <v>550</v>
      </c>
      <c r="D6" s="10" t="s">
        <v>518</v>
      </c>
      <c r="F6" s="0" t="n">
        <v>10</v>
      </c>
      <c r="G6" s="12"/>
      <c r="H6" s="11" t="n">
        <v>46395</v>
      </c>
      <c r="I6" s="10" t="s">
        <v>475</v>
      </c>
      <c r="J6" s="10" t="s">
        <v>551</v>
      </c>
      <c r="K6" s="0" t="n">
        <v>24</v>
      </c>
      <c r="L6" s="10" t="s">
        <v>552</v>
      </c>
      <c r="M6" s="10" t="s">
        <v>553</v>
      </c>
      <c r="N6" s="10" t="s">
        <v>554</v>
      </c>
      <c r="U6" s="10" t="s">
        <v>481</v>
      </c>
      <c r="V6" s="10" t="s">
        <v>555</v>
      </c>
      <c r="W6" s="10" t="s">
        <v>483</v>
      </c>
      <c r="Y6" s="10" t="s">
        <v>485</v>
      </c>
      <c r="Z6" s="10" t="s">
        <v>507</v>
      </c>
      <c r="AB6" s="11" t="n">
        <v>46399</v>
      </c>
      <c r="AC6" s="11" t="n">
        <v>46399</v>
      </c>
      <c r="AD6" s="11" t="n">
        <v>46399</v>
      </c>
      <c r="AF6" s="11" t="n">
        <v>46416</v>
      </c>
      <c r="AG6" s="11" t="n">
        <v>46402</v>
      </c>
      <c r="AH6" s="0" t="n">
        <v>567</v>
      </c>
      <c r="AI6" s="10" t="s">
        <v>556</v>
      </c>
      <c r="AJ6" s="10" t="s">
        <v>557</v>
      </c>
      <c r="AL6" s="10" t="s">
        <v>558</v>
      </c>
      <c r="AM6" s="10" t="s">
        <v>559</v>
      </c>
      <c r="AN6" s="10" t="s">
        <v>560</v>
      </c>
      <c r="AO6" s="2" t="s">
        <v>561</v>
      </c>
      <c r="AP6" s="10" t="s">
        <v>562</v>
      </c>
      <c r="AT6" s="11" t="n">
        <v>46437</v>
      </c>
      <c r="AU6" s="11" t="n">
        <v>46442</v>
      </c>
      <c r="AV6" s="10" t="s">
        <v>496</v>
      </c>
      <c r="AW6" s="10" t="s">
        <v>548</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21</v>
      </c>
      <c r="DA6" s="31" t="n">
        <f aca="false">IF($A6="","",IFERROR(1/(1/SUMPRODUCT(MAX((redemptions!$A$2:$A$121=$A6)*redemptions!$B$2:$B$121))),""))</f>
        <v>46457</v>
      </c>
      <c r="DB6" s="30" t="n">
        <f aca="false">IF($A6="","",IF(COUNTIFS(redemptions!$A$2:$A$121,$A6,redemptions!$H$2:$H$121,"Y")=0,"",SUMIFS(redemptions!$C$2:$C$121,redemptions!$A$2:$A$121,$A6,redemptions!$B$2:$B$121,SUMPRODUCT(MIN((redemptions!$A$2:$A$121=$A6)*(redemptions!$H$2:$H$121="Y")*redemptions!$B$2:$B$121+((redemptions!$A$2:$A$121&lt;&gt;$A6)+(redemptions!$H$2:$H$121&lt;&gt;"Y")&gt;0)*1000000)))))</f>
        <v>21</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41.75" hidden="false" customHeight="false" outlineLevel="0" collapsed="false">
      <c r="A7" s="0" t="s">
        <v>563</v>
      </c>
      <c r="B7" s="0" t="s">
        <v>349</v>
      </c>
      <c r="C7" s="0" t="s">
        <v>564</v>
      </c>
      <c r="D7" s="10" t="s">
        <v>518</v>
      </c>
      <c r="F7" s="0" t="n">
        <v>10</v>
      </c>
      <c r="G7" s="12"/>
      <c r="H7" s="11" t="n">
        <v>46412</v>
      </c>
      <c r="I7" s="10" t="s">
        <v>475</v>
      </c>
      <c r="J7" s="10" t="s">
        <v>565</v>
      </c>
      <c r="L7" s="10" t="s">
        <v>566</v>
      </c>
      <c r="M7" s="10" t="s">
        <v>553</v>
      </c>
      <c r="N7" s="10" t="s">
        <v>567</v>
      </c>
      <c r="U7" s="10" t="s">
        <v>481</v>
      </c>
      <c r="V7" s="10" t="s">
        <v>568</v>
      </c>
      <c r="W7" s="10" t="s">
        <v>483</v>
      </c>
      <c r="Y7" s="10" t="s">
        <v>485</v>
      </c>
      <c r="Z7" s="10" t="s">
        <v>507</v>
      </c>
      <c r="AB7" s="11" t="n">
        <v>46415</v>
      </c>
      <c r="AC7" s="11" t="n">
        <v>46415</v>
      </c>
      <c r="AD7" s="11" t="n">
        <v>46415</v>
      </c>
      <c r="AF7" s="11" t="n">
        <v>46434</v>
      </c>
      <c r="AG7" s="11" t="n">
        <v>46415</v>
      </c>
      <c r="AH7" s="0" t="n">
        <v>567</v>
      </c>
      <c r="AI7" s="10" t="s">
        <v>569</v>
      </c>
      <c r="AJ7" s="10" t="s">
        <v>570</v>
      </c>
      <c r="AL7" s="10" t="s">
        <v>571</v>
      </c>
      <c r="AM7" s="10" t="s">
        <v>572</v>
      </c>
      <c r="AN7" s="10" t="s">
        <v>573</v>
      </c>
      <c r="AO7" s="2" t="s">
        <v>574</v>
      </c>
      <c r="AP7" s="10" t="s">
        <v>575</v>
      </c>
      <c r="AT7" s="11" t="n">
        <v>46450</v>
      </c>
      <c r="AU7" s="11" t="n">
        <v>46455</v>
      </c>
      <c r="AV7" s="10" t="s">
        <v>496</v>
      </c>
      <c r="AW7" s="10" t="s">
        <v>548</v>
      </c>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0</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12</v>
      </c>
      <c r="CG7" s="30" t="n">
        <f aca="false">IF($A7="","",IF(COUNTIFS(approvals!$A$2:$A$251,$A7,approvals!$Q$2:$Q$251,"Y",approvals!$AG$2:$AG$251,"")&gt;0,"",SUMIFS(approvals!$AG$2:$AG$251,approvals!$A$2:$A$251,$A7,approvals!$Q$2:$Q$251,"Y")))</f>
        <v>408</v>
      </c>
      <c r="CH7" s="30" t="n">
        <f aca="false">IF($A7="","",SUMIFS(approvals!$AL$2:$AL$251,approvals!$A$2:$A$251,$A7,approvals!$Q$2:$Q$251,"Y"))</f>
        <v>62</v>
      </c>
      <c r="CI7" s="30" t="n">
        <f aca="false">IF($A7="","",IF(N($BP7)=0,"",SUMPRODUCT(MIN(approvals!$BB$2:$BB$251+(approvals!$A$2:$A$251&lt;&gt;$A7)*1000000))))</f>
        <v>5</v>
      </c>
      <c r="CJ7" s="30" t="n">
        <f aca="false">IF($A7="","",COUNTIFS(approvals!$A$2:$A$251,$A7,approvals!$Q$2:$Q$251,"Y",approvals!$AL$2:$AL$251,"&lt;"&amp;config!$B$30))</f>
        <v>0</v>
      </c>
      <c r="CK7" s="30" t="n">
        <f aca="false">IF($A7="","",SUMIFS(approvals!$AM$2:$AM$251,approvals!$A$2:$A$251,$A7,approvals!$Q$2:$Q$251,"Y"))</f>
        <v>49</v>
      </c>
      <c r="CL7" s="30" t="n">
        <f aca="false">IF($A7="","",SUMIFS(approvals!$AQ$2:$AQ$251,approvals!$A$2:$A$251,$A7,approvals!$Q$2:$Q$251,"Y"))</f>
        <v>5</v>
      </c>
      <c r="CM7" s="30" t="n">
        <f aca="false">IF($A7="","",SUMIFS(approvals!$AR$2:$AR$251,approvals!$A$2:$A$251,$A7,approvals!$Q$2:$Q$251,"Y"))</f>
        <v>3</v>
      </c>
      <c r="CN7" s="30" t="n">
        <f aca="false">IF($A7="","",SUMIFS(approvals!$AS$2:$AS$251,approvals!$A$2:$A$251,$A7,approvals!$Q$2:$Q$251,"Y"))</f>
        <v>5</v>
      </c>
      <c r="CO7" s="30" t="n">
        <f aca="false">IF($A7="","",SUMIFS(approvals!$AT$2:$AT$251,approvals!$A$2:$A$251,$A7,approvals!$Q$2:$Q$251,"Y"))</f>
        <v>49</v>
      </c>
      <c r="CP7" s="33" t="n">
        <f aca="false">IF($A7="","",IF(N($CO7)=0,"",ROUND(SUMIFS(approvals!$AU$2:$AU$251,approvals!$A$2:$A$251,$A7,approvals!$Q$2:$Q$251,"Y")/$CO7,1)))</f>
        <v>4.4</v>
      </c>
      <c r="CQ7" s="30" t="n">
        <f aca="false">IF($A7="","",SUMIFS(approvals!$AV$2:$AV$251,approvals!$A$2:$A$251,$A7,approvals!$Q$2:$Q$251,"Y"))</f>
        <v>12</v>
      </c>
      <c r="CR7" s="30" t="n">
        <f aca="false">IF($A7="","",SUMIFS(approvals!$AW$2:$AW$251,approvals!$A$2:$A$251,$A7,approvals!$Q$2:$Q$251,"Y"))</f>
        <v>22</v>
      </c>
      <c r="CS7" s="30" t="n">
        <f aca="false">IF($A7="","",SUMIFS(approvals!$AX$2:$AX$251,approvals!$A$2:$A$251,$A7,approvals!$Q$2:$Q$251,"Y"))</f>
        <v>15</v>
      </c>
      <c r="CT7" s="30" t="n">
        <f aca="false">IF($A7="","",SUMIFS(approvals!$AY$2:$AY$251,approvals!$A$2:$A$251,$A7,approvals!$Q$2:$Q$251,"Y"))</f>
        <v>25</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71</v>
      </c>
      <c r="CY7" s="30" t="n">
        <f aca="false">IF($A7="","",SUMIFS(approvals!$AO$2:$AO$251,approvals!$A$2:$A$251,$A7,approvals!$Q$2:$Q$251,"Y"))</f>
        <v>68</v>
      </c>
      <c r="CZ7" s="30" t="n">
        <f aca="false">IF($A7="","",IF($DA7="","",SUMIFS(redemptions!$C$2:$C$121,redemptions!$A$2:$A$121,$A7,redemptions!$B$2:$B$121,$DA7)))</f>
        <v>13</v>
      </c>
      <c r="DA7" s="31" t="n">
        <f aca="false">IF($A7="","",IFERROR(1/(1/SUMPRODUCT(MAX((redemptions!$A$2:$A$121=$A7)*redemptions!$B$2:$B$121))),""))</f>
        <v>46471</v>
      </c>
      <c r="DB7" s="30" t="n">
        <f aca="false">IF($A7="","",IF(COUNTIFS(redemptions!$A$2:$A$121,$A7,redemptions!$H$2:$H$121,"Y")=0,"",SUMIFS(redemptions!$C$2:$C$121,redemptions!$A$2:$A$121,$A7,redemptions!$B$2:$B$121,SUMPRODUCT(MIN((redemptions!$A$2:$A$121=$A7)*(redemptions!$H$2:$H$121="Y")*redemptions!$B$2:$B$121+((redemptions!$A$2:$A$121&lt;&gt;$A7)+(redemptions!$H$2:$H$121&lt;&gt;"Y")&gt;0)*1000000)))))</f>
        <v>13</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n">
        <f aca="false">IF($A7="","",IFERROR(1/(1/SUMPRODUCT(MAX((invoices!$B$2:$B$151=$A7)*((invoices!$C$2:$C$151="founding_full")+(invoices!$C$2:$C$151="standard_balance"))*invoices!$H$2:$H$151))),""))</f>
        <v>46444</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8</v>
      </c>
      <c r="DK7" s="33" t="n">
        <f aca="false">IF($A7="","",ROUND(IF(SUMIFS(campaigns!$BO$2:$BO$51,campaigns!$B$2:$B$51,$B7)=0,0,$BO7/SUMIFS(campaigns!$BO$2:$BO$51,campaigns!$B$2:$B$51,$B7))*(SUMIFS(hours!$E$2:$E$1501,hours!$B$2:$B$1501,$B7)-SUMPRODUCT((hours!$B$2:$B$1501=$B7)*(LEN(hours!$C$2:$C$1501)&gt;0)*hours!$E$2:$E$1501)),2))</f>
        <v>12.5</v>
      </c>
      <c r="DL7" s="32" t="n">
        <f aca="false">IF($A7="","",$DC7-$DG7-$DH7-$DI7)</f>
        <v>970</v>
      </c>
      <c r="DM7" s="32" t="n">
        <f aca="false">IF($A7="","",IF(N($DJ7)+N($DK7)=0,"",ROUND($DL7/($DJ7+$DK7),2)))</f>
        <v>47.32</v>
      </c>
      <c r="DN7" s="34" t="n">
        <f aca="false">IF($A7="","",IF(N($BP7)=0,"",COUNTIFS(approvals!$A$2:$A$251,$A7,approvals!$Q$2:$Q$251,"Y",approvals!$AK$2:$AK$251,"Y")/$BP7))</f>
        <v>1</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pass</v>
      </c>
      <c r="DU7" s="30" t="str">
        <f aca="true">IF($A7="","",IF($AT7="",IF($DP7="","",IF(IF(config!$B$37&lt;&gt;"",config!$B$37,TODAY())&gt;$DP7,"late","due")),IF($AT7&lt;=$DP7,"pass","late")))</f>
        <v>pass</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41.75" hidden="false" customHeight="false" outlineLevel="0" collapsed="false">
      <c r="A8" s="0" t="s">
        <v>576</v>
      </c>
      <c r="B8" s="0" t="s">
        <v>353</v>
      </c>
      <c r="C8" s="0" t="s">
        <v>473</v>
      </c>
      <c r="D8" s="10" t="s">
        <v>474</v>
      </c>
      <c r="E8" s="0" t="s">
        <v>486</v>
      </c>
      <c r="F8" s="0" t="n">
        <v>10</v>
      </c>
      <c r="G8" s="12"/>
      <c r="H8" s="11" t="n">
        <v>46442</v>
      </c>
      <c r="I8" s="10" t="s">
        <v>475</v>
      </c>
      <c r="J8" s="10" t="s">
        <v>476</v>
      </c>
      <c r="L8" s="10" t="s">
        <v>477</v>
      </c>
      <c r="M8" s="10" t="s">
        <v>478</v>
      </c>
      <c r="N8" s="10" t="s">
        <v>479</v>
      </c>
      <c r="O8" s="10" t="s">
        <v>480</v>
      </c>
      <c r="U8" s="10" t="s">
        <v>481</v>
      </c>
      <c r="V8" s="10" t="s">
        <v>482</v>
      </c>
      <c r="W8" s="10" t="s">
        <v>483</v>
      </c>
      <c r="X8" s="10" t="s">
        <v>484</v>
      </c>
      <c r="Y8" s="10" t="s">
        <v>485</v>
      </c>
      <c r="Z8" s="10" t="s">
        <v>507</v>
      </c>
      <c r="AB8" s="11" t="n">
        <v>46447</v>
      </c>
      <c r="AC8" s="11" t="n">
        <v>46447</v>
      </c>
      <c r="AD8" s="11" t="n">
        <v>46447</v>
      </c>
      <c r="AF8" s="11" t="n">
        <v>46462</v>
      </c>
      <c r="AG8" s="11" t="n">
        <v>46447</v>
      </c>
      <c r="AH8" s="0" t="n">
        <v>567</v>
      </c>
      <c r="AI8" s="10" t="s">
        <v>577</v>
      </c>
      <c r="AJ8" s="10" t="s">
        <v>578</v>
      </c>
      <c r="AL8" s="10" t="s">
        <v>579</v>
      </c>
      <c r="AM8" s="10" t="s">
        <v>580</v>
      </c>
      <c r="AN8" s="10" t="s">
        <v>581</v>
      </c>
      <c r="AO8" s="2" t="s">
        <v>582</v>
      </c>
      <c r="AP8" s="10" t="s">
        <v>583</v>
      </c>
      <c r="AT8" s="11" t="n">
        <v>46478</v>
      </c>
      <c r="AU8" s="11"/>
      <c r="AV8" s="10"/>
      <c r="AW8" s="10"/>
      <c r="AY8" s="11"/>
      <c r="BA8" s="11"/>
      <c r="BB8" s="11"/>
      <c r="BC8" s="11"/>
      <c r="BE8" s="30" t="str">
        <f aca="false">IF($A8="","",IFERROR(IF(INDEX(brands!$K$2:$K$41,MATCH($C8,brands!$A$2:$A$41,0))="","",INDEX(brands!$K$2:$K$41,MATCH($C8,brands!$A$2:$A$41,0))),""))</f>
        <v>SAMPLE Brightside</v>
      </c>
      <c r="BF8" s="30" t="str">
        <f aca="false">IF($A8="","",IFERROR(IF(INDEX(brands!$M$2:$M$41,MATCH($C8,brands!$A$2:$A$41,0))="","",INDEX(brands!$M$2:$M$41,MATCH($C8,brands!$A$2:$A$41,0))),""))</f>
        <v>chips-crisps</v>
      </c>
      <c r="BG8" s="31" t="n">
        <f aca="false">IF($A8="","",IF(IFERROR(IF(INDEX(drops!$I$2:$I$21,MATCH($B8,drops!$A$2:$A$21,0))="","",INDEX(drops!$I$2:$I$21,MATCH($B8,drops!$A$2:$A$21,0))),"")="OK",IFERROR(IF(INDEX(drops!$B$2:$B$21,MATCH($B8,drops!$A$2:$A$21,0))="","",INDEX(drops!$B$2:$B$21,MATCH($B8,drops!$A$2:$A$21,0))),""),""))</f>
        <v>46469</v>
      </c>
      <c r="BH8" s="30" t="str">
        <f aca="false">IF($A8="","",IFERROR(IF(INDEX(drops!$C$2:$C$21,MATCH($B8,drops!$A$2:$A$21,0))="","",INDEX(drops!$C$2:$C$21,MATCH($B8,drops!$A$2:$A$21,0))),""))</f>
        <v>direct-ship</v>
      </c>
      <c r="BI8" s="32" t="n">
        <f aca="false">IF($A8="","",IF($F8="","",IF($D8="founding",IF($E8="Y",config!$B$25*MIN($F8,config!$B$26)+config!$B$24*MAX(0,$F8-config!$B$26),config!$B$20+config!$B$24*MAX(0,$F8-config!$B$21)),IF($D8="standard",config!$B$22+config!$B$24*MAX(0,$F8-config!$B$23),""))))</f>
        <v>1200</v>
      </c>
      <c r="BJ8" s="32" t="n">
        <f aca="false">IF($A8="","",IF($G8&lt;&gt;"",$G8,$BI8))</f>
        <v>1200</v>
      </c>
      <c r="BK8" s="30" t="str">
        <f aca="false">IF($A8="","",IF($D8="founding","100% within "&amp;config!$B$27&amp;" business days of the invoice, before shipping",IF($D8="standard","50% on signing; 50% at placement confirmation (T+1)","")))</f>
        <v>100% within 5 business days of the invoice, before shipping</v>
      </c>
      <c r="BL8" s="31" t="n">
        <f aca="false">IF($A8="","",IFERROR(IF(INDEX(drops!$K$2:$K$21,MATCH($B8,drops!$A$2:$A$21,0))="","",INDEX(drops!$K$2:$K$21,MATCH($B8,drops!$A$2:$A$21,0))),""))</f>
        <v>46455</v>
      </c>
      <c r="BM8" s="31" t="n">
        <f aca="false">IF($A8="","",IFERROR(IF(INDEX(drops!$L$2:$L$21,MATCH($B8,drops!$A$2:$A$21,0))="","",INDEX(drops!$L$2:$L$21,MATCH($B8,drops!$A$2:$A$21,0))),""))</f>
        <v>46455</v>
      </c>
      <c r="BN8" s="30" t="n">
        <f aca="false">IF($A8="","",COUNTIF(approvals!$A$2:$A$251,$A8))</f>
        <v>10</v>
      </c>
      <c r="BO8" s="30" t="n">
        <f aca="false">IF($A8="","",COUNTIFS(approvals!$A$2:$A$251,$A8,approvals!$P$2:$P$251,"Y"))</f>
        <v>10</v>
      </c>
      <c r="BP8" s="30" t="n">
        <f aca="false">IF($A8="","",COUNTIFS(approvals!$A$2:$A$251,$A8,approvals!$Q$2:$Q$251,"Y"))</f>
        <v>10</v>
      </c>
      <c r="BQ8" s="30" t="n">
        <f aca="false">IF($A8="","",COUNTIFS(approvals!$A$2:$A$251,$A8,approvals!$P$2:$P$251,"pending"))</f>
        <v>0</v>
      </c>
      <c r="BR8" s="30" t="n">
        <f aca="false">IF($A8="","",SUMIFS(approvals!$S$2:$S$251,approvals!$A$2:$A$251,$A8,approvals!$P$2:$P$251,"Y"))</f>
        <v>515</v>
      </c>
      <c r="BS8" s="30" t="n">
        <f aca="false">IF($A8="","",ROUNDUP($BR8*config!$B$18,0))</f>
        <v>52</v>
      </c>
      <c r="BT8" s="30" t="n">
        <f aca="false">IF($A8="","",$BR8+$BS8)</f>
        <v>567</v>
      </c>
      <c r="BU8" s="32" t="n">
        <f aca="false">IF($A8="","",SUMIFS(invoices!$I$2:$I$151,invoices!$B$2:$B$151,$A8,invoices!$R$2:$R$151,"Y",invoices!$H$2:$H$151,"&gt;0"))</f>
        <v>1200</v>
      </c>
      <c r="BV8" s="32" t="n">
        <f aca="false">IF($A8="","",IF($BJ8="","",IF($D8="founding",$BJ8,ROUND($BJ8*config!$B$28,2))))</f>
        <v>1200</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RELEASED 2027-03-01: ship by Tue 2027-03-09 (latest Tue 2027-03-09)</v>
      </c>
      <c r="BX8" s="30" t="n">
        <f aca="false">IF($A8="","",SUMIFS(inventory!$G$2:$G$801,inventory!$C$2:$C$801,$A8,inventory!$E$2:$E$801,"received"))</f>
        <v>543</v>
      </c>
      <c r="BY8" s="30" t="n">
        <f aca="false">IF($A8="","",SUMIFS(inventory!$G$2:$G$801,inventory!$C$2:$C$801,$A8,inventory!$E$2:$E$801,"rejected"))</f>
        <v>0</v>
      </c>
      <c r="BZ8" s="30" t="n">
        <f aca="false">IF($A8="","",SUMIFS(inventory!$M$2:$M$801,inventory!$C$2:$C$801,$A8))</f>
        <v>0</v>
      </c>
      <c r="CA8" s="30" t="n">
        <f aca="false">IF($A8="","",SUMIFS(inventory!$O$2:$O$801,inventory!$C$2:$C$801,$A8))</f>
        <v>0</v>
      </c>
      <c r="CB8" s="30" t="n">
        <f aca="false">IF($A8="","",SUMIFS(approvals!$U$2:$U$251,approvals!$A$2:$A$251,$A8))</f>
        <v>491</v>
      </c>
      <c r="CC8" s="30" t="n">
        <f aca="false">IF($A8="","",SUMIFS(approvals!$AA$2:$AA$251,approvals!$A$2:$A$251,$A8))</f>
        <v>491</v>
      </c>
      <c r="CD8" s="30" t="n">
        <f aca="false">IF($A8="","",SUMIFS(approvals!$AA$2:$AA$251,approvals!$A$2:$A$251,$A8,approvals!$AB$2:$AB$251,"Y"))</f>
        <v>491</v>
      </c>
      <c r="CE8" s="34" t="n">
        <f aca="false">IF($A8="","",IF(N($CB8)=0,"",$CD8/$CB8))</f>
        <v>1</v>
      </c>
      <c r="CF8" s="30" t="n">
        <f aca="false">IF($A8="","",SUMIFS(approvals!$AD$2:$AD$251,approvals!$A$2:$A$251,$A8))</f>
        <v>20</v>
      </c>
      <c r="CG8" s="30" t="n">
        <f aca="false">IF($A8="","",IF(COUNTIFS(approvals!$A$2:$A$251,$A8,approvals!$Q$2:$Q$251,"Y",approvals!$AG$2:$AG$251,"")&gt;0,"",SUMIFS(approvals!$AG$2:$AG$251,approvals!$A$2:$A$251,$A8,approvals!$Q$2:$Q$251,"Y")))</f>
        <v>474</v>
      </c>
      <c r="CH8" s="30" t="n">
        <f aca="false">IF($A8="","",SUMIFS(approvals!$AL$2:$AL$251,approvals!$A$2:$A$251,$A8,approvals!$Q$2:$Q$251,"Y"))</f>
        <v>66</v>
      </c>
      <c r="CI8" s="30" t="n">
        <f aca="false">IF($A8="","",IF(N($BP8)=0,"",SUMPRODUCT(MIN(approvals!$BB$2:$BB$251+(approvals!$A$2:$A$251&lt;&gt;$A8)*1000000))))</f>
        <v>4</v>
      </c>
      <c r="CJ8" s="30" t="n">
        <f aca="false">IF($A8="","",COUNTIFS(approvals!$A$2:$A$251,$A8,approvals!$Q$2:$Q$251,"Y",approvals!$AL$2:$AL$251,"&lt;"&amp;config!$B$30))</f>
        <v>1</v>
      </c>
      <c r="CK8" s="30" t="n">
        <f aca="false">IF($A8="","",SUMIFS(approvals!$AM$2:$AM$251,approvals!$A$2:$A$251,$A8,approvals!$Q$2:$Q$251,"Y"))</f>
        <v>48</v>
      </c>
      <c r="CL8" s="30" t="n">
        <f aca="false">IF($A8="","",SUMIFS(approvals!$AQ$2:$AQ$251,approvals!$A$2:$A$251,$A8,approvals!$Q$2:$Q$251,"Y"))</f>
        <v>5</v>
      </c>
      <c r="CM8" s="30" t="n">
        <f aca="false">IF($A8="","",SUMIFS(approvals!$AR$2:$AR$251,approvals!$A$2:$A$251,$A8,approvals!$Q$2:$Q$251,"Y"))</f>
        <v>11</v>
      </c>
      <c r="CN8" s="30" t="n">
        <f aca="false">IF($A8="","",SUMIFS(approvals!$AS$2:$AS$251,approvals!$A$2:$A$251,$A8,approvals!$Q$2:$Q$251,"Y"))</f>
        <v>2</v>
      </c>
      <c r="CO8" s="30" t="n">
        <f aca="false">IF($A8="","",SUMIFS(approvals!$AT$2:$AT$251,approvals!$A$2:$A$251,$A8,approvals!$Q$2:$Q$251,"Y"))</f>
        <v>48</v>
      </c>
      <c r="CP8" s="33" t="n">
        <f aca="false">IF($A8="","",IF(N($CO8)=0,"",ROUND(SUMIFS(approvals!$AU$2:$AU$251,approvals!$A$2:$A$251,$A8,approvals!$Q$2:$Q$251,"Y")/$CO8,1)))</f>
        <v>4.2</v>
      </c>
      <c r="CQ8" s="30" t="n">
        <f aca="false">IF($A8="","",SUMIFS(approvals!$AV$2:$AV$251,approvals!$A$2:$A$251,$A8,approvals!$Q$2:$Q$251,"Y"))</f>
        <v>19</v>
      </c>
      <c r="CR8" s="30" t="n">
        <f aca="false">IF($A8="","",SUMIFS(approvals!$AW$2:$AW$251,approvals!$A$2:$A$251,$A8,approvals!$Q$2:$Q$251,"Y"))</f>
        <v>25</v>
      </c>
      <c r="CS8" s="30" t="n">
        <f aca="false">IF($A8="","",SUMIFS(approvals!$AX$2:$AX$251,approvals!$A$2:$A$251,$A8,approvals!$Q$2:$Q$251,"Y"))</f>
        <v>4</v>
      </c>
      <c r="CT8" s="30" t="n">
        <f aca="false">IF($A8="","",SUMIFS(approvals!$AY$2:$AY$251,approvals!$A$2:$A$251,$A8,approvals!$Q$2:$Q$251,"Y"))</f>
        <v>21</v>
      </c>
      <c r="CU8" s="30" t="n">
        <f aca="true">IF($A8="","",IF(OR($BG8="",$BC8&lt;&gt;""),"",IFERROR(COUNT(INDIRECT("'"&amp;$A8&amp;"'!$A$2:$A$501")),0)-IFERROR(COUNTIFS(INDIRECT("'"&amp;$A8&amp;"'!$A$2:$A$501"),"&gt;="&amp;$BG8,INDIRECT("'"&amp;$A8&amp;"'!$A$2:$A$501"),"&lt;"&amp;(IFERROR(IF(INDEX(drops!$R$2:$R$21,MATCH($B8,drops!$A$2:$A$21,0))="","",INDEX(drops!$R$2:$R$21,MATCH($B8,drops!$A$2:$A$21,0))),"")+1)),0)))</f>
        <v>0</v>
      </c>
      <c r="CV8" s="30" t="n">
        <f aca="true">IF($A8="","",IF(OR($BG8="",$BC8&lt;&gt;""),"",IFERROR(COUNTIFS(INDIRECT("'"&amp;$A8&amp;"'!$A$2:$A$501"),"&gt;="&amp;$BG8,INDIRECT("'"&amp;$A8&amp;"'!$A$2:$A$501"),"&lt;"&amp;(IFERROR(IF(INDEX(drops!$R$2:$R$21,MATCH($B8,drops!$A$2:$A$21,0))="","",INDEX(drops!$R$2:$R$21,MATCH($B8,drops!$A$2:$A$21,0))),"")+1)),0)-N($CH8)-N($CW8)))</f>
        <v>0</v>
      </c>
      <c r="CW8" s="30" t="n">
        <f aca="false">IF($A8="","",IF($BG8="","",SUMIFS(approvals!$AL$2:$AL$251,approvals!$A$2:$A$251,$A8,approvals!$Q$2:$Q$251,"&lt;&gt;Y")))</f>
        <v>0</v>
      </c>
      <c r="CX8" s="30" t="n">
        <f aca="false">IF($A8="","",SUMIFS(approvals!$AN$2:$AN$251,approvals!$A$2:$A$251,$A8,approvals!$Q$2:$Q$251,"Y"))</f>
        <v>81</v>
      </c>
      <c r="CY8" s="30" t="n">
        <f aca="false">IF($A8="","",SUMIFS(approvals!$AO$2:$AO$251,approvals!$A$2:$A$251,$A8,approvals!$Q$2:$Q$251,"Y"))</f>
        <v>71</v>
      </c>
      <c r="CZ8" s="30" t="n">
        <f aca="false">IF($A8="","",IF($DA8="","",SUMIFS(redemptions!$C$2:$C$121,redemptions!$A$2:$A$121,$A8,redemptions!$B$2:$B$121,$DA8)))</f>
        <v>5</v>
      </c>
      <c r="DA8" s="31" t="n">
        <f aca="false">IF($A8="","",IFERROR(1/(1/SUMPRODUCT(MAX((redemptions!$A$2:$A$121=$A8)*redemptions!$B$2:$B$121))),""))</f>
        <v>46477</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n">
        <f aca="false">IF($A8="","",SUMIFS(invoices!$E$2:$E$151,invoices!$B$2:$B$151,$A8))</f>
        <v>1200</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n">
        <f aca="false">IF($A8="","",IFERROR(1/(1/SUMPRODUCT(MAX((invoices!$B$2:$B$151=$A8)*((invoices!$C$2:$C$151="founding_full")+(invoices!$C$2:$C$151="standard_balance"))*invoices!$H$2:$H$151))),""))</f>
        <v>46447</v>
      </c>
      <c r="DG8" s="32" t="n">
        <f aca="false">IF($A8="","",SUMIFS(invoices!$L$2:$L$151,invoices!$B$2:$B$151,$A8))</f>
        <v>0</v>
      </c>
      <c r="DH8" s="32" t="n">
        <f aca="false">IF($A8="","",SUMIFS(costs!$E$2:$E$301,costs!$C$2:$C$301,$A8))</f>
        <v>80</v>
      </c>
      <c r="DI8" s="32" t="n">
        <f aca="false">IF($A8="","",ROUND(IF(SUMIFS(campaigns!$BO$2:$BO$51,campaigns!$B$2:$B$51,$B8)=0,0,$BO8/SUMIFS(campaigns!$BO$2:$BO$51,campaigns!$B$2:$B$51,$B8))*(SUMIFS(costs!$E$2:$E$301,costs!$B$2:$B$301,$B8)-SUMPRODUCT((costs!$B$2:$B$301=$B8)*(LEN(costs!$C$2:$C$301)&gt;0)*costs!$E$2:$E$301)),2))</f>
        <v>22.5</v>
      </c>
      <c r="DJ8" s="33" t="n">
        <f aca="false">IF($A8="","",SUMIFS(hours!$E$2:$E$1501,hours!$C$2:$C$1501,$A8))</f>
        <v>3.5</v>
      </c>
      <c r="DK8" s="33" t="n">
        <f aca="false">IF($A8="","",ROUND(IF(SUMIFS(campaigns!$BO$2:$BO$51,campaigns!$B$2:$B$51,$B8)=0,0,$BO8/SUMIFS(campaigns!$BO$2:$BO$51,campaigns!$B$2:$B$51,$B8))*(SUMIFS(hours!$E$2:$E$1501,hours!$B$2:$B$1501,$B8)-SUMPRODUCT((hours!$B$2:$B$1501=$B8)*(LEN(hours!$C$2:$C$1501)&gt;0)*hours!$E$2:$E$1501)),2))</f>
        <v>4.75</v>
      </c>
      <c r="DL8" s="32" t="n">
        <f aca="false">IF($A8="","",$DC8-$DG8-$DH8-$DI8)</f>
        <v>1097.5</v>
      </c>
      <c r="DM8" s="32" t="n">
        <f aca="false">IF($A8="","",IF(N($DJ8)+N($DK8)=0,"",ROUND($DL8/($DJ8+$DK8),2)))</f>
        <v>133.03</v>
      </c>
      <c r="DN8" s="34" t="n">
        <f aca="false">IF($A8="","",IF(N($BP8)=0,"",COUNTIFS(approvals!$A$2:$A$251,$A8,approvals!$Q$2:$Q$251,"Y",approvals!$AK$2:$AK$251,"Y")/$BP8))</f>
        <v>1</v>
      </c>
      <c r="DO8" s="33" t="n">
        <f aca="false">IF($A8="","",IF(COUNTIFS(approvals!$A$2:$A$251,$A8,approvals!$AC$2:$AC$251,"&gt;=0")=0,"",ROUND(SUMIFS(approvals!$AC$2:$AC$251,approvals!$A$2:$A$251,$A8)/COUNTIFS(approvals!$A$2:$A$251,$A8,approvals!$AC$2:$AC$251,"&gt;=0"),1)))</f>
        <v>2.5</v>
      </c>
      <c r="DP8" s="31" t="n">
        <f aca="false">IF($A8="","",IFERROR(IF(INDEX(drops!$T$2:$T$21,MATCH($B8,drops!$A$2:$A$21,0))="","",INDEX(drops!$T$2:$T$21,MATCH($B8,drops!$A$2:$A$21,0))),""))</f>
        <v>46478</v>
      </c>
      <c r="DQ8" s="31" t="n">
        <f aca="false">IF($A8="","",IFERROR(IF(INDEX(drops!$U$2:$U$21,MATCH($B8,drops!$A$2:$A$21,0))="","",INDEX(drops!$U$2:$U$21,MATCH($B8,drops!$A$2:$A$21,0))),""))</f>
        <v>46483</v>
      </c>
      <c r="DR8" s="31" t="n">
        <f aca="false">IF($A8="","",IFERROR(IF(INDEX(drops!$W$2:$W$21,MATCH($B8,drops!$A$2:$A$21,0))="","",INDEX(drops!$W$2:$W$21,MATCH($B8,drops!$A$2:$A$21,0))),""))</f>
        <v>46499</v>
      </c>
      <c r="DS8" s="30" t="str">
        <f aca="false">IF($A8="","",IF($CE8="","",IF($CE8&gt;=config!$B$31,"pass","miss")))</f>
        <v>pass</v>
      </c>
      <c r="DT8" s="30" t="str">
        <f aca="false">IF($A8="","",IF($CI8="","",IF($CI8&gt;=config!$B$30,"pass","miss")))</f>
        <v>miss</v>
      </c>
      <c r="DU8" s="30" t="str">
        <f aca="true">IF($A8="","",IF($AT8="",IF($DP8="","",IF(IF(config!$B$37&lt;&gt;"",config!$B$37,TODAY())&gt;$DP8,"late","due")),IF($AT8&lt;=$DP8,"pass","late")))</f>
        <v>pass</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info: brand insurance ends 2027-06-30: diary the renewal certificate; </v>
      </c>
    </row>
    <row r="9" customFormat="false" ht="41.75" hidden="false" customHeight="false" outlineLevel="0" collapsed="false">
      <c r="A9" s="0" t="s">
        <v>584</v>
      </c>
      <c r="B9" s="0" t="s">
        <v>353</v>
      </c>
      <c r="C9" s="0" t="s">
        <v>517</v>
      </c>
      <c r="D9" s="10" t="s">
        <v>518</v>
      </c>
      <c r="F9" s="0" t="n">
        <v>10</v>
      </c>
      <c r="G9" s="12"/>
      <c r="H9" s="11" t="n">
        <v>46442</v>
      </c>
      <c r="I9" s="10" t="s">
        <v>475</v>
      </c>
      <c r="J9" s="10" t="s">
        <v>519</v>
      </c>
      <c r="L9" s="10" t="s">
        <v>520</v>
      </c>
      <c r="M9" s="10" t="s">
        <v>478</v>
      </c>
      <c r="N9" s="10" t="s">
        <v>521</v>
      </c>
      <c r="O9" s="10" t="s">
        <v>522</v>
      </c>
      <c r="U9" s="10" t="s">
        <v>481</v>
      </c>
      <c r="V9" s="10" t="s">
        <v>523</v>
      </c>
      <c r="W9" s="10" t="s">
        <v>483</v>
      </c>
      <c r="Y9" s="10" t="s">
        <v>485</v>
      </c>
      <c r="Z9" s="10" t="s">
        <v>507</v>
      </c>
      <c r="AB9" s="11" t="n">
        <v>46444</v>
      </c>
      <c r="AC9" s="11" t="n">
        <v>46444</v>
      </c>
      <c r="AD9" s="11" t="n">
        <v>46444</v>
      </c>
      <c r="AF9" s="11" t="n">
        <v>46462</v>
      </c>
      <c r="AG9" s="11" t="n">
        <v>46444</v>
      </c>
      <c r="AH9" s="0" t="n">
        <v>567</v>
      </c>
      <c r="AI9" s="10" t="s">
        <v>585</v>
      </c>
      <c r="AJ9" s="10" t="s">
        <v>586</v>
      </c>
      <c r="AL9" s="10" t="s">
        <v>587</v>
      </c>
      <c r="AM9" s="10" t="s">
        <v>588</v>
      </c>
      <c r="AN9" s="10" t="s">
        <v>589</v>
      </c>
      <c r="AO9" s="2" t="s">
        <v>590</v>
      </c>
      <c r="AP9" s="10" t="s">
        <v>591</v>
      </c>
      <c r="AT9" s="11" t="n">
        <v>46478</v>
      </c>
      <c r="AU9" s="11"/>
      <c r="AV9" s="10"/>
      <c r="AW9" s="10"/>
      <c r="AY9" s="11"/>
      <c r="BA9" s="11"/>
      <c r="BB9" s="11"/>
      <c r="BC9" s="11"/>
      <c r="BE9" s="30" t="str">
        <f aca="false">IF($A9="","",IFERROR(IF(INDEX(brands!$K$2:$K$41,MATCH($C9,brands!$A$2:$A$41,0))="","",INDEX(brands!$K$2:$K$41,MATCH($C9,brands!$A$2:$A$41,0))),""))</f>
        <v>SAMPLE Tallgrass</v>
      </c>
      <c r="BF9" s="30" t="str">
        <f aca="false">IF($A9="","",IFERROR(IF(INDEX(brands!$M$2:$M$41,MATCH($C9,brands!$A$2:$A$41,0))="","",INDEX(brands!$M$2:$M$41,MATCH($C9,brands!$A$2:$A$41,0))),""))</f>
        <v>bars</v>
      </c>
      <c r="BG9" s="31" t="n">
        <f aca="false">IF($A9="","",IF(IFERROR(IF(INDEX(drops!$I$2:$I$21,MATCH($B9,drops!$A$2:$A$21,0))="","",INDEX(drops!$I$2:$I$21,MATCH($B9,drops!$A$2:$A$21,0))),"")="OK",IFERROR(IF(INDEX(drops!$B$2:$B$21,MATCH($B9,drops!$A$2:$A$21,0))="","",INDEX(drops!$B$2:$B$21,MATCH($B9,drops!$A$2:$A$21,0))),""),""))</f>
        <v>46469</v>
      </c>
      <c r="BH9" s="30" t="str">
        <f aca="false">IF($A9="","",IFERROR(IF(INDEX(drops!$C$2:$C$21,MATCH($B9,drops!$A$2:$A$21,0))="","",INDEX(drops!$C$2:$C$21,MATCH($B9,drops!$A$2:$A$21,0))),""))</f>
        <v>direct-ship</v>
      </c>
      <c r="BI9" s="32" t="n">
        <f aca="false">IF($A9="","",IF($F9="","",IF($D9="founding",IF($E9="Y",config!$B$25*MIN($F9,config!$B$26)+config!$B$24*MAX(0,$F9-config!$B$26),config!$B$20+config!$B$24*MAX(0,$F9-config!$B$21)),IF($D9="standard",config!$B$22+config!$B$24*MAX(0,$F9-config!$B$23),""))))</f>
        <v>1500</v>
      </c>
      <c r="BJ9" s="32" t="n">
        <f aca="false">IF($A9="","",IF($G9&lt;&gt;"",$G9,$BI9))</f>
        <v>1500</v>
      </c>
      <c r="BK9" s="30" t="str">
        <f aca="false">IF($A9="","",IF($D9="founding","100% within "&amp;config!$B$27&amp;" business days of the invoice, before shipping",IF($D9="standard","50% on signing; 50% at placement confirmation (T+1)","")))</f>
        <v>50% on signing; 50% at placement confirmation (T+1)</v>
      </c>
      <c r="BL9" s="31" t="n">
        <f aca="false">IF($A9="","",IFERROR(IF(INDEX(drops!$K$2:$K$21,MATCH($B9,drops!$A$2:$A$21,0))="","",INDEX(drops!$K$2:$K$21,MATCH($B9,drops!$A$2:$A$21,0))),""))</f>
        <v>46455</v>
      </c>
      <c r="BM9" s="31" t="n">
        <f aca="false">IF($A9="","",IFERROR(IF(INDEX(drops!$L$2:$L$21,MATCH($B9,drops!$A$2:$A$21,0))="","",INDEX(drops!$L$2:$L$21,MATCH($B9,drops!$A$2:$A$21,0))),""))</f>
        <v>46455</v>
      </c>
      <c r="BN9" s="30" t="n">
        <f aca="false">IF($A9="","",COUNTIF(approvals!$A$2:$A$251,$A9))</f>
        <v>10</v>
      </c>
      <c r="BO9" s="30" t="n">
        <f aca="false">IF($A9="","",COUNTIFS(approvals!$A$2:$A$251,$A9,approvals!$P$2:$P$251,"Y"))</f>
        <v>10</v>
      </c>
      <c r="BP9" s="30" t="n">
        <f aca="false">IF($A9="","",COUNTIFS(approvals!$A$2:$A$251,$A9,approvals!$Q$2:$Q$251,"Y"))</f>
        <v>9</v>
      </c>
      <c r="BQ9" s="30" t="n">
        <f aca="false">IF($A9="","",COUNTIFS(approvals!$A$2:$A$251,$A9,approvals!$P$2:$P$251,"pending"))</f>
        <v>0</v>
      </c>
      <c r="BR9" s="30" t="n">
        <f aca="false">IF($A9="","",SUMIFS(approvals!$S$2:$S$251,approvals!$A$2:$A$251,$A9,approvals!$P$2:$P$251,"Y"))</f>
        <v>515</v>
      </c>
      <c r="BS9" s="30" t="n">
        <f aca="false">IF($A9="","",ROUNDUP($BR9*config!$B$18,0))</f>
        <v>52</v>
      </c>
      <c r="BT9" s="30" t="n">
        <f aca="false">IF($A9="","",$BR9+$BS9)</f>
        <v>567</v>
      </c>
      <c r="BU9" s="32" t="n">
        <f aca="false">IF($A9="","",SUMIFS(invoices!$I$2:$I$151,invoices!$B$2:$B$151,$A9,invoices!$R$2:$R$151,"Y",invoices!$H$2:$H$151,"&gt;0"))</f>
        <v>750</v>
      </c>
      <c r="BV9" s="32" t="n">
        <f aca="false">IF($A9="","",IF($BJ9="","",IF($D9="founding",$BJ9,ROUND($BJ9*config!$B$28,2))))</f>
        <v>750</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RELEASED 2027-02-26: ship by Tue 2027-03-09 (latest Tue 2027-03-09)</v>
      </c>
      <c r="BX9" s="30" t="n">
        <f aca="false">IF($A9="","",SUMIFS(inventory!$G$2:$G$801,inventory!$C$2:$C$801,$A9,inventory!$E$2:$E$801,"received"))</f>
        <v>522</v>
      </c>
      <c r="BY9" s="30" t="n">
        <f aca="false">IF($A9="","",SUMIFS(inventory!$G$2:$G$801,inventory!$C$2:$C$801,$A9,inventory!$E$2:$E$801,"rejected"))</f>
        <v>0</v>
      </c>
      <c r="BZ9" s="30" t="n">
        <f aca="false">IF($A9="","",SUMIFS(inventory!$M$2:$M$801,inventory!$C$2:$C$801,$A9))</f>
        <v>0</v>
      </c>
      <c r="CA9" s="30" t="n">
        <f aca="false">IF($A9="","",SUMIFS(inventory!$O$2:$O$801,inventory!$C$2:$C$801,$A9))</f>
        <v>0</v>
      </c>
      <c r="CB9" s="30" t="n">
        <f aca="false">IF($A9="","",SUMIFS(approvals!$U$2:$U$251,approvals!$A$2:$A$251,$A9))</f>
        <v>470</v>
      </c>
      <c r="CC9" s="30" t="n">
        <f aca="false">IF($A9="","",SUMIFS(approvals!$AA$2:$AA$251,approvals!$A$2:$A$251,$A9))</f>
        <v>470</v>
      </c>
      <c r="CD9" s="30" t="n">
        <f aca="false">IF($A9="","",SUMIFS(approvals!$AA$2:$AA$251,approvals!$A$2:$A$251,$A9,approvals!$AB$2:$AB$251,"Y"))</f>
        <v>470</v>
      </c>
      <c r="CE9" s="34" t="n">
        <f aca="false">IF($A9="","",IF(N($CB9)=0,"",$CD9/$CB9))</f>
        <v>1</v>
      </c>
      <c r="CF9" s="30" t="n">
        <f aca="false">IF($A9="","",SUMIFS(approvals!$AD$2:$AD$251,approvals!$A$2:$A$251,$A9))</f>
        <v>6</v>
      </c>
      <c r="CG9" s="30" t="n">
        <f aca="false">IF($A9="","",IF(COUNTIFS(approvals!$A$2:$A$251,$A9,approvals!$Q$2:$Q$251,"Y",approvals!$AG$2:$AG$251,"")&gt;0,"",SUMIFS(approvals!$AG$2:$AG$251,approvals!$A$2:$A$251,$A9,approvals!$Q$2:$Q$251,"Y")))</f>
        <v>460</v>
      </c>
      <c r="CH9" s="30" t="n">
        <f aca="false">IF($A9="","",SUMIFS(approvals!$AL$2:$AL$251,approvals!$A$2:$A$251,$A9,approvals!$Q$2:$Q$251,"Y"))</f>
        <v>61</v>
      </c>
      <c r="CI9" s="30" t="n">
        <f aca="false">IF($A9="","",IF(N($BP9)=0,"",SUMPRODUCT(MIN(approvals!$BB$2:$BB$251+(approvals!$A$2:$A$251&lt;&gt;$A9)*1000000))))</f>
        <v>5</v>
      </c>
      <c r="CJ9" s="30" t="n">
        <f aca="false">IF($A9="","",COUNTIFS(approvals!$A$2:$A$251,$A9,approvals!$Q$2:$Q$251,"Y",approvals!$AL$2:$AL$251,"&lt;"&amp;config!$B$30))</f>
        <v>0</v>
      </c>
      <c r="CK9" s="30" t="n">
        <f aca="false">IF($A9="","",SUMIFS(approvals!$AM$2:$AM$251,approvals!$A$2:$A$251,$A9,approvals!$Q$2:$Q$251,"Y"))</f>
        <v>44</v>
      </c>
      <c r="CL9" s="30" t="n">
        <f aca="false">IF($A9="","",SUMIFS(approvals!$AQ$2:$AQ$251,approvals!$A$2:$A$251,$A9,approvals!$Q$2:$Q$251,"Y"))</f>
        <v>5</v>
      </c>
      <c r="CM9" s="30" t="n">
        <f aca="false">IF($A9="","",SUMIFS(approvals!$AR$2:$AR$251,approvals!$A$2:$A$251,$A9,approvals!$Q$2:$Q$251,"Y"))</f>
        <v>7</v>
      </c>
      <c r="CN9" s="30" t="n">
        <f aca="false">IF($A9="","",SUMIFS(approvals!$AS$2:$AS$251,approvals!$A$2:$A$251,$A9,approvals!$Q$2:$Q$251,"Y"))</f>
        <v>5</v>
      </c>
      <c r="CO9" s="30" t="n">
        <f aca="false">IF($A9="","",SUMIFS(approvals!$AT$2:$AT$251,approvals!$A$2:$A$251,$A9,approvals!$Q$2:$Q$251,"Y"))</f>
        <v>44</v>
      </c>
      <c r="CP9" s="33" t="n">
        <f aca="false">IF($A9="","",IF(N($CO9)=0,"",ROUND(SUMIFS(approvals!$AU$2:$AU$251,approvals!$A$2:$A$251,$A9,approvals!$Q$2:$Q$251,"Y")/$CO9,1)))</f>
        <v>4.3</v>
      </c>
      <c r="CQ9" s="30" t="n">
        <f aca="false">IF($A9="","",SUMIFS(approvals!$AV$2:$AV$251,approvals!$A$2:$A$251,$A9,approvals!$Q$2:$Q$251,"Y"))</f>
        <v>11</v>
      </c>
      <c r="CR9" s="30" t="n">
        <f aca="false">IF($A9="","",SUMIFS(approvals!$AW$2:$AW$251,approvals!$A$2:$A$251,$A9,approvals!$Q$2:$Q$251,"Y"))</f>
        <v>21</v>
      </c>
      <c r="CS9" s="30" t="n">
        <f aca="false">IF($A9="","",SUMIFS(approvals!$AX$2:$AX$251,approvals!$A$2:$A$251,$A9,approvals!$Q$2:$Q$251,"Y"))</f>
        <v>12</v>
      </c>
      <c r="CT9" s="30" t="n">
        <f aca="false">IF($A9="","",SUMIFS(approvals!$AY$2:$AY$251,approvals!$A$2:$A$251,$A9,approvals!$Q$2:$Q$251,"Y"))</f>
        <v>18</v>
      </c>
      <c r="CU9" s="30" t="n">
        <f aca="true">IF($A9="","",IF(OR($BG9="",$BC9&lt;&gt;""),"",IFERROR(COUNT(INDIRECT("'"&amp;$A9&amp;"'!$A$2:$A$501")),0)-IFERROR(COUNTIFS(INDIRECT("'"&amp;$A9&amp;"'!$A$2:$A$501"),"&gt;="&amp;$BG9,INDIRECT("'"&amp;$A9&amp;"'!$A$2:$A$501"),"&lt;"&amp;(IFERROR(IF(INDEX(drops!$R$2:$R$21,MATCH($B9,drops!$A$2:$A$21,0))="","",INDEX(drops!$R$2:$R$21,MATCH($B9,drops!$A$2:$A$21,0))),"")+1)),0)))</f>
        <v>0</v>
      </c>
      <c r="CV9" s="30" t="n">
        <f aca="true">IF($A9="","",IF(OR($BG9="",$BC9&lt;&gt;""),"",IFERROR(COUNTIFS(INDIRECT("'"&amp;$A9&amp;"'!$A$2:$A$501"),"&gt;="&amp;$BG9,INDIRECT("'"&amp;$A9&amp;"'!$A$2:$A$501"),"&lt;"&amp;(IFERROR(IF(INDEX(drops!$R$2:$R$21,MATCH($B9,drops!$A$2:$A$21,0))="","",INDEX(drops!$R$2:$R$21,MATCH($B9,drops!$A$2:$A$21,0))),"")+1)),0)-N($CH9)-N($CW9)))</f>
        <v>0</v>
      </c>
      <c r="CW9" s="30" t="n">
        <f aca="false">IF($A9="","",IF($BG9="","",SUMIFS(approvals!$AL$2:$AL$251,approvals!$A$2:$A$251,$A9,approvals!$Q$2:$Q$251,"&lt;&gt;Y")))</f>
        <v>2</v>
      </c>
      <c r="CX9" s="30" t="n">
        <f aca="false">IF($A9="","",SUMIFS(approvals!$AN$2:$AN$251,approvals!$A$2:$A$251,$A9,approvals!$Q$2:$Q$251,"Y"))</f>
        <v>75</v>
      </c>
      <c r="CY9" s="30" t="n">
        <f aca="false">IF($A9="","",SUMIFS(approvals!$AO$2:$AO$251,approvals!$A$2:$A$251,$A9,approvals!$Q$2:$Q$251,"Y"))</f>
        <v>62</v>
      </c>
      <c r="CZ9" s="30" t="n">
        <f aca="false">IF($A9="","",IF($DA9="","",SUMIFS(redemptions!$C$2:$C$121,redemptions!$A$2:$A$121,$A9,redemptions!$B$2:$B$121,$DA9)))</f>
        <v>7</v>
      </c>
      <c r="DA9" s="31" t="n">
        <f aca="false">IF($A9="","",IFERROR(1/(1/SUMPRODUCT(MAX((redemptions!$A$2:$A$121=$A9)*redemptions!$B$2:$B$121))),""))</f>
        <v>46477</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n">
        <f aca="false">IF($A9="","",SUMIFS(invoices!$E$2:$E$151,invoices!$B$2:$B$151,$A9))</f>
        <v>1350</v>
      </c>
      <c r="DD9" s="32" t="n">
        <f aca="false">IF($A9="","",IF(COUNTIFS(invoices!$B$2:$B$151,$A9,invoices!$C$2:$C$151,"standard_deposit",invoices!$H$2:$H$151,"&gt;0")=0,"",SUMIFS(invoices!$I$2:$I$151,invoices!$B$2:$B$151,$A9,invoices!$C$2:$C$151,"standard_deposit")))</f>
        <v>750</v>
      </c>
      <c r="DE9" s="31" t="n">
        <f aca="false">IF($A9="","",IFERROR(1/(1/SUMPRODUCT(MAX((invoices!$B$2:$B$151=$A9)*(invoices!$C$2:$C$151="standard_deposit")*invoices!$H$2:$H$151))),""))</f>
        <v>46444</v>
      </c>
      <c r="DF9" s="31" t="n">
        <f aca="false">IF($A9="","",IFERROR(1/(1/SUMPRODUCT(MAX((invoices!$B$2:$B$151=$A9)*((invoices!$C$2:$C$151="founding_full")+(invoices!$C$2:$C$151="standard_balance"))*invoices!$H$2:$H$151))),""))</f>
        <v>46475</v>
      </c>
      <c r="DG9" s="32" t="n">
        <f aca="false">IF($A9="","",SUMIFS(invoices!$L$2:$L$151,invoices!$B$2:$B$151,$A9))</f>
        <v>0</v>
      </c>
      <c r="DH9" s="32" t="n">
        <f aca="false">IF($A9="","",SUMIFS(costs!$E$2:$E$301,costs!$C$2:$C$301,$A9))</f>
        <v>80</v>
      </c>
      <c r="DI9" s="32" t="n">
        <f aca="false">IF($A9="","",ROUND(IF(SUMIFS(campaigns!$BO$2:$BO$51,campaigns!$B$2:$B$51,$B9)=0,0,$BO9/SUMIFS(campaigns!$BO$2:$BO$51,campaigns!$B$2:$B$51,$B9))*(SUMIFS(costs!$E$2:$E$301,costs!$B$2:$B$301,$B9)-SUMPRODUCT((costs!$B$2:$B$301=$B9)*(LEN(costs!$C$2:$C$301)&gt;0)*costs!$E$2:$E$301)),2))</f>
        <v>22.5</v>
      </c>
      <c r="DJ9" s="33" t="n">
        <f aca="false">IF($A9="","",SUMIFS(hours!$E$2:$E$1501,hours!$C$2:$C$1501,$A9))</f>
        <v>3.5</v>
      </c>
      <c r="DK9" s="33" t="n">
        <f aca="false">IF($A9="","",ROUND(IF(SUMIFS(campaigns!$BO$2:$BO$51,campaigns!$B$2:$B$51,$B9)=0,0,$BO9/SUMIFS(campaigns!$BO$2:$BO$51,campaigns!$B$2:$B$51,$B9))*(SUMIFS(hours!$E$2:$E$1501,hours!$B$2:$B$1501,$B9)-SUMPRODUCT((hours!$B$2:$B$1501=$B9)*(LEN(hours!$C$2:$C$1501)&gt;0)*hours!$E$2:$E$1501)),2))</f>
        <v>4.75</v>
      </c>
      <c r="DL9" s="32" t="n">
        <f aca="false">IF($A9="","",$DC9-$DG9-$DH9-$DI9)</f>
        <v>1247.5</v>
      </c>
      <c r="DM9" s="32" t="n">
        <f aca="false">IF($A9="","",IF(N($DJ9)+N($DK9)=0,"",ROUND($DL9/($DJ9+$DK9),2)))</f>
        <v>151.21</v>
      </c>
      <c r="DN9" s="34" t="n">
        <f aca="false">IF($A9="","",IF(N($BP9)=0,"",COUNTIFS(approvals!$A$2:$A$251,$A9,approvals!$Q$2:$Q$251,"Y",approvals!$AK$2:$AK$251,"Y")/$BP9))</f>
        <v>1</v>
      </c>
      <c r="DO9" s="33" t="n">
        <f aca="false">IF($A9="","",IF(COUNTIFS(approvals!$A$2:$A$251,$A9,approvals!$AC$2:$AC$251,"&gt;=0")=0,"",ROUND(SUMIFS(approvals!$AC$2:$AC$251,approvals!$A$2:$A$251,$A9)/COUNTIFS(approvals!$A$2:$A$251,$A9,approvals!$AC$2:$AC$251,"&gt;=0"),1)))</f>
        <v>2.5</v>
      </c>
      <c r="DP9" s="31" t="n">
        <f aca="false">IF($A9="","",IFERROR(IF(INDEX(drops!$T$2:$T$21,MATCH($B9,drops!$A$2:$A$21,0))="","",INDEX(drops!$T$2:$T$21,MATCH($B9,drops!$A$2:$A$21,0))),""))</f>
        <v>46478</v>
      </c>
      <c r="DQ9" s="31" t="n">
        <f aca="false">IF($A9="","",IFERROR(IF(INDEX(drops!$U$2:$U$21,MATCH($B9,drops!$A$2:$A$21,0))="","",INDEX(drops!$U$2:$U$21,MATCH($B9,drops!$A$2:$A$21,0))),""))</f>
        <v>46483</v>
      </c>
      <c r="DR9" s="31" t="n">
        <f aca="false">IF($A9="","",IFERROR(IF(INDEX(drops!$W$2:$W$21,MATCH($B9,drops!$A$2:$A$21,0))="","",INDEX(drops!$W$2:$W$21,MATCH($B9,drops!$A$2:$A$21,0))),""))</f>
        <v>46499</v>
      </c>
      <c r="DS9" s="30" t="str">
        <f aca="false">IF($A9="","",IF($CE9="","",IF($CE9&gt;=config!$B$31,"pass","miss")))</f>
        <v>pass</v>
      </c>
      <c r="DT9" s="30" t="str">
        <f aca="false">IF($A9="","",IF($CI9="","",IF($CI9&gt;=config!$B$30,"pass","miss")))</f>
        <v>pass</v>
      </c>
      <c r="DU9" s="30" t="str">
        <f aca="true">IF($A9="","",IF($AT9="",IF($DP9="","",IF(IF(config!$B$37&lt;&gt;"",config!$B$37,TODAY())&gt;$DP9,"late","due")),IF($AT9&lt;=$DP9,"pass","late")))</f>
        <v>pass</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info: 2 in-window answers from an office not on the drop (it said no, or turned the brand away at the door): not counted;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359</v>
      </c>
      <c r="B1" s="28" t="s">
        <v>592</v>
      </c>
      <c r="C1" s="28" t="s">
        <v>593</v>
      </c>
      <c r="D1" s="28" t="s">
        <v>594</v>
      </c>
      <c r="E1" s="28" t="s">
        <v>595</v>
      </c>
      <c r="F1" s="28" t="s">
        <v>596</v>
      </c>
      <c r="G1" s="28" t="s">
        <v>597</v>
      </c>
      <c r="H1" s="28" t="s">
        <v>598</v>
      </c>
      <c r="I1" s="28" t="s">
        <v>79</v>
      </c>
      <c r="J1" s="28" t="s">
        <v>305</v>
      </c>
      <c r="K1" s="29" t="s">
        <v>411</v>
      </c>
      <c r="L1" s="29" t="s">
        <v>599</v>
      </c>
      <c r="M1" s="29" t="s">
        <v>412</v>
      </c>
      <c r="N1" s="29" t="s">
        <v>365</v>
      </c>
      <c r="O1" s="29" t="s">
        <v>600</v>
      </c>
      <c r="P1" s="29" t="s">
        <v>601</v>
      </c>
      <c r="Q1" s="29" t="s">
        <v>602</v>
      </c>
      <c r="R1" s="29" t="s">
        <v>603</v>
      </c>
      <c r="S1" s="29" t="s">
        <v>604</v>
      </c>
      <c r="T1" s="29" t="s">
        <v>605</v>
      </c>
      <c r="U1" s="29" t="s">
        <v>606</v>
      </c>
      <c r="V1" s="29" t="s">
        <v>607</v>
      </c>
      <c r="W1" s="29" t="s">
        <v>608</v>
      </c>
      <c r="X1" s="29" t="s">
        <v>609</v>
      </c>
      <c r="Y1" s="29" t="s">
        <v>610</v>
      </c>
      <c r="Z1" s="29" t="s">
        <v>611</v>
      </c>
      <c r="AA1" s="29" t="s">
        <v>612</v>
      </c>
      <c r="AB1" s="29" t="s">
        <v>613</v>
      </c>
      <c r="AC1" s="29" t="s">
        <v>614</v>
      </c>
      <c r="AD1" s="29" t="s">
        <v>615</v>
      </c>
      <c r="AE1" s="29" t="s">
        <v>616</v>
      </c>
      <c r="AF1" s="29" t="s">
        <v>617</v>
      </c>
      <c r="AG1" s="29" t="s">
        <v>618</v>
      </c>
      <c r="AH1" s="29" t="s">
        <v>323</v>
      </c>
      <c r="AI1" s="29" t="s">
        <v>619</v>
      </c>
      <c r="AJ1" s="29" t="s">
        <v>620</v>
      </c>
    </row>
    <row r="2" customFormat="false" ht="15" hidden="false" customHeight="false" outlineLevel="0" collapsed="false">
      <c r="A2" s="0" t="s">
        <v>473</v>
      </c>
      <c r="B2" s="35" t="s">
        <v>621</v>
      </c>
      <c r="C2" s="10" t="s">
        <v>622</v>
      </c>
      <c r="D2" s="10" t="s">
        <v>623</v>
      </c>
      <c r="E2" s="10" t="s">
        <v>624</v>
      </c>
      <c r="F2" s="10" t="s">
        <v>625</v>
      </c>
      <c r="G2" s="10" t="s">
        <v>486</v>
      </c>
      <c r="H2" s="11" t="n">
        <v>46568</v>
      </c>
      <c r="I2" s="10" t="s">
        <v>626</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2</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499</v>
      </c>
      <c r="B3" s="35" t="s">
        <v>627</v>
      </c>
      <c r="C3" s="10" t="s">
        <v>628</v>
      </c>
      <c r="D3" s="10" t="s">
        <v>623</v>
      </c>
      <c r="E3" s="10" t="s">
        <v>629</v>
      </c>
      <c r="F3" s="10" t="s">
        <v>625</v>
      </c>
      <c r="G3" s="10" t="s">
        <v>486</v>
      </c>
      <c r="H3" s="11" t="n">
        <v>46843</v>
      </c>
      <c r="I3" s="10" t="s">
        <v>626</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517</v>
      </c>
      <c r="B4" s="35" t="s">
        <v>630</v>
      </c>
      <c r="C4" s="10" t="s">
        <v>631</v>
      </c>
      <c r="D4" s="10" t="s">
        <v>623</v>
      </c>
      <c r="E4" s="10" t="s">
        <v>632</v>
      </c>
      <c r="F4" s="10" t="s">
        <v>625</v>
      </c>
      <c r="G4" s="10" t="s">
        <v>486</v>
      </c>
      <c r="H4" s="11" t="n">
        <v>46843</v>
      </c>
      <c r="I4" s="10" t="s">
        <v>626</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2</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533</v>
      </c>
      <c r="B5" s="35" t="s">
        <v>633</v>
      </c>
      <c r="C5" s="10" t="s">
        <v>634</v>
      </c>
      <c r="D5" s="10" t="s">
        <v>623</v>
      </c>
      <c r="E5" s="10" t="s">
        <v>635</v>
      </c>
      <c r="F5" s="10" t="s">
        <v>625</v>
      </c>
      <c r="G5" s="10" t="s">
        <v>486</v>
      </c>
      <c r="H5" s="11" t="n">
        <v>46843</v>
      </c>
      <c r="I5" s="10" t="s">
        <v>626</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550</v>
      </c>
      <c r="B6" s="35" t="s">
        <v>636</v>
      </c>
      <c r="C6" s="10" t="s">
        <v>637</v>
      </c>
      <c r="D6" s="10" t="s">
        <v>623</v>
      </c>
      <c r="E6" s="10" t="s">
        <v>638</v>
      </c>
      <c r="F6" s="10" t="s">
        <v>625</v>
      </c>
      <c r="G6" s="10" t="s">
        <v>486</v>
      </c>
      <c r="H6" s="11" t="n">
        <v>46843</v>
      </c>
      <c r="I6" s="10" t="s">
        <v>626</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564</v>
      </c>
      <c r="B7" s="35" t="s">
        <v>639</v>
      </c>
      <c r="C7" s="10" t="s">
        <v>640</v>
      </c>
      <c r="D7" s="10" t="s">
        <v>623</v>
      </c>
      <c r="E7" s="10" t="s">
        <v>641</v>
      </c>
      <c r="F7" s="10" t="s">
        <v>625</v>
      </c>
      <c r="G7" s="10" t="s">
        <v>486</v>
      </c>
      <c r="H7" s="11" t="n">
        <v>46843</v>
      </c>
      <c r="I7" s="10" t="s">
        <v>626</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642</v>
      </c>
      <c r="B1" s="28" t="s">
        <v>643</v>
      </c>
      <c r="C1" s="28" t="s">
        <v>644</v>
      </c>
      <c r="D1" s="28" t="s">
        <v>645</v>
      </c>
      <c r="E1" s="28" t="s">
        <v>646</v>
      </c>
      <c r="F1" s="28" t="s">
        <v>647</v>
      </c>
      <c r="G1" s="28" t="s">
        <v>648</v>
      </c>
      <c r="H1" s="28" t="s">
        <v>649</v>
      </c>
      <c r="I1" s="28" t="s">
        <v>650</v>
      </c>
      <c r="J1" s="28" t="s">
        <v>651</v>
      </c>
      <c r="K1" s="28" t="s">
        <v>79</v>
      </c>
      <c r="L1" s="28" t="s">
        <v>652</v>
      </c>
      <c r="M1" s="28" t="s">
        <v>305</v>
      </c>
      <c r="N1" s="28" t="s">
        <v>653</v>
      </c>
      <c r="O1" s="29" t="s">
        <v>138</v>
      </c>
      <c r="P1" s="29" t="s">
        <v>654</v>
      </c>
      <c r="Q1" s="29" t="s">
        <v>655</v>
      </c>
      <c r="R1" s="29" t="s">
        <v>656</v>
      </c>
      <c r="S1" s="29" t="s">
        <v>601</v>
      </c>
      <c r="T1" s="29" t="s">
        <v>604</v>
      </c>
      <c r="U1" s="29" t="s">
        <v>603</v>
      </c>
      <c r="V1" s="29" t="s">
        <v>657</v>
      </c>
      <c r="W1" s="29" t="s">
        <v>658</v>
      </c>
      <c r="X1" s="29" t="s">
        <v>659</v>
      </c>
      <c r="Y1" s="29" t="s">
        <v>660</v>
      </c>
      <c r="Z1" s="29" t="s">
        <v>661</v>
      </c>
      <c r="AA1" s="29" t="s">
        <v>662</v>
      </c>
      <c r="AB1" s="29" t="s">
        <v>663</v>
      </c>
      <c r="AC1" s="29" t="s">
        <v>664</v>
      </c>
      <c r="AD1" s="29" t="s">
        <v>665</v>
      </c>
      <c r="AE1" s="29" t="s">
        <v>363</v>
      </c>
      <c r="AF1" s="29" t="s">
        <v>666</v>
      </c>
      <c r="AG1" s="29" t="s">
        <v>667</v>
      </c>
      <c r="AH1" s="29" t="s">
        <v>668</v>
      </c>
      <c r="AI1" s="29" t="s">
        <v>669</v>
      </c>
      <c r="AJ1" s="29" t="s">
        <v>670</v>
      </c>
      <c r="AK1" s="29" t="s">
        <v>671</v>
      </c>
      <c r="AL1" s="29" t="s">
        <v>672</v>
      </c>
      <c r="AM1" s="29" t="s">
        <v>673</v>
      </c>
      <c r="AN1" s="29" t="s">
        <v>674</v>
      </c>
      <c r="AO1" s="29" t="s">
        <v>675</v>
      </c>
      <c r="AP1" s="29" t="s">
        <v>676</v>
      </c>
      <c r="AQ1" s="29" t="s">
        <v>677</v>
      </c>
      <c r="AR1" s="29" t="s">
        <v>120</v>
      </c>
    </row>
    <row r="2" customFormat="false" ht="15" hidden="false" customHeight="false" outlineLevel="0" collapsed="false">
      <c r="A2" s="0" t="s">
        <v>678</v>
      </c>
      <c r="C2" s="36" t="n">
        <v>40.7398</v>
      </c>
      <c r="D2" s="36" t="n">
        <v>-73.9893</v>
      </c>
      <c r="G2" s="10" t="s">
        <v>507</v>
      </c>
      <c r="H2" s="10" t="s">
        <v>679</v>
      </c>
      <c r="I2" s="10" t="s">
        <v>680</v>
      </c>
      <c r="J2" s="11"/>
      <c r="K2" s="10" t="s">
        <v>626</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4</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681</v>
      </c>
      <c r="C3" s="36" t="n">
        <v>40.7411</v>
      </c>
      <c r="D3" s="36" t="n">
        <v>-73.9874</v>
      </c>
      <c r="G3" s="10" t="s">
        <v>486</v>
      </c>
      <c r="H3" s="10" t="s">
        <v>682</v>
      </c>
      <c r="I3" s="10" t="s">
        <v>680</v>
      </c>
      <c r="J3" s="11"/>
      <c r="K3" s="10" t="s">
        <v>626</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4</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683</v>
      </c>
      <c r="C4" s="36" t="n">
        <v>40.7389</v>
      </c>
      <c r="D4" s="36" t="n">
        <v>-73.9917</v>
      </c>
      <c r="G4" s="10" t="s">
        <v>507</v>
      </c>
      <c r="H4" s="10" t="s">
        <v>684</v>
      </c>
      <c r="I4" s="10" t="s">
        <v>685</v>
      </c>
      <c r="J4" s="11" t="n">
        <v>46379</v>
      </c>
      <c r="K4" s="10" t="s">
        <v>626</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4</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686</v>
      </c>
      <c r="C5" s="36" t="n">
        <v>40.7376</v>
      </c>
      <c r="D5" s="36" t="n">
        <v>-73.9879</v>
      </c>
      <c r="G5" s="10" t="s">
        <v>486</v>
      </c>
      <c r="H5" s="10" t="s">
        <v>687</v>
      </c>
      <c r="I5" s="10" t="s">
        <v>680</v>
      </c>
      <c r="J5" s="11"/>
      <c r="K5" s="10" t="s">
        <v>626</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4</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688</v>
      </c>
      <c r="C6" s="36" t="n">
        <v>40.7425</v>
      </c>
      <c r="D6" s="36" t="n">
        <v>-73.9901</v>
      </c>
      <c r="G6" s="10" t="s">
        <v>486</v>
      </c>
      <c r="H6" s="10" t="s">
        <v>689</v>
      </c>
      <c r="I6" s="10" t="s">
        <v>685</v>
      </c>
      <c r="J6" s="11" t="n">
        <v>46379</v>
      </c>
      <c r="K6" s="10" t="s">
        <v>626</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4</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690</v>
      </c>
      <c r="C7" s="36" t="n">
        <v>40.7433</v>
      </c>
      <c r="D7" s="36" t="n">
        <v>-73.9878</v>
      </c>
      <c r="G7" s="10" t="s">
        <v>507</v>
      </c>
      <c r="H7" s="10" t="s">
        <v>691</v>
      </c>
      <c r="I7" s="10" t="s">
        <v>680</v>
      </c>
      <c r="J7" s="11"/>
      <c r="K7" s="10" t="s">
        <v>626</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3</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692</v>
      </c>
      <c r="C8" s="36" t="n">
        <v>40.7402</v>
      </c>
      <c r="D8" s="36" t="n">
        <v>-73.9851</v>
      </c>
      <c r="G8" s="10" t="s">
        <v>486</v>
      </c>
      <c r="H8" s="10" t="s">
        <v>693</v>
      </c>
      <c r="I8" s="10" t="s">
        <v>680</v>
      </c>
      <c r="J8" s="11"/>
      <c r="K8" s="10" t="s">
        <v>626</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3</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694</v>
      </c>
      <c r="C9" s="36" t="n">
        <v>40.7417</v>
      </c>
      <c r="D9" s="36" t="n">
        <v>-73.9925</v>
      </c>
      <c r="G9" s="10" t="s">
        <v>486</v>
      </c>
      <c r="H9" s="10" t="s">
        <v>695</v>
      </c>
      <c r="I9" s="10" t="s">
        <v>685</v>
      </c>
      <c r="J9" s="11" t="n">
        <v>46416</v>
      </c>
      <c r="K9" s="10" t="s">
        <v>626</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3</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696</v>
      </c>
      <c r="C10" s="36" t="n">
        <v>40.7381</v>
      </c>
      <c r="D10" s="36" t="n">
        <v>-73.9937</v>
      </c>
      <c r="G10" s="10" t="s">
        <v>507</v>
      </c>
      <c r="H10" s="10" t="s">
        <v>697</v>
      </c>
      <c r="I10" s="10" t="s">
        <v>680</v>
      </c>
      <c r="J10" s="11"/>
      <c r="K10" s="10" t="s">
        <v>626</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3</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698</v>
      </c>
      <c r="C11" s="36" t="n">
        <v>40.7369</v>
      </c>
      <c r="D11" s="36" t="n">
        <v>-73.9906</v>
      </c>
      <c r="G11" s="10" t="s">
        <v>507</v>
      </c>
      <c r="H11" s="10" t="s">
        <v>699</v>
      </c>
      <c r="I11" s="10" t="s">
        <v>680</v>
      </c>
      <c r="J11" s="11"/>
      <c r="K11" s="10" t="s">
        <v>626</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3</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358</v>
      </c>
      <c r="B1" s="28" t="s">
        <v>642</v>
      </c>
      <c r="C1" s="28" t="s">
        <v>700</v>
      </c>
      <c r="D1" s="28" t="s">
        <v>701</v>
      </c>
      <c r="E1" s="28" t="s">
        <v>702</v>
      </c>
      <c r="F1" s="28" t="s">
        <v>703</v>
      </c>
      <c r="G1" s="28" t="s">
        <v>704</v>
      </c>
      <c r="H1" s="29" t="s">
        <v>299</v>
      </c>
      <c r="I1" s="29" t="s">
        <v>300</v>
      </c>
      <c r="J1" s="29" t="s">
        <v>411</v>
      </c>
      <c r="K1" s="29" t="s">
        <v>138</v>
      </c>
      <c r="L1" s="29" t="s">
        <v>705</v>
      </c>
      <c r="M1" s="29" t="s">
        <v>706</v>
      </c>
      <c r="N1" s="29" t="s">
        <v>707</v>
      </c>
      <c r="O1" s="29" t="s">
        <v>708</v>
      </c>
      <c r="P1" s="29" t="s">
        <v>709</v>
      </c>
      <c r="Q1" s="29" t="s">
        <v>710</v>
      </c>
      <c r="R1" s="29" t="s">
        <v>711</v>
      </c>
      <c r="S1" s="29" t="s">
        <v>324</v>
      </c>
      <c r="T1" s="29" t="s">
        <v>712</v>
      </c>
      <c r="U1" s="29" t="s">
        <v>430</v>
      </c>
      <c r="V1" s="29" t="s">
        <v>713</v>
      </c>
      <c r="W1" s="29" t="s">
        <v>714</v>
      </c>
      <c r="X1" s="29" t="s">
        <v>715</v>
      </c>
      <c r="Y1" s="29" t="s">
        <v>716</v>
      </c>
      <c r="Z1" s="29" t="s">
        <v>717</v>
      </c>
      <c r="AA1" s="29" t="s">
        <v>431</v>
      </c>
      <c r="AB1" s="29" t="s">
        <v>718</v>
      </c>
      <c r="AC1" s="29" t="s">
        <v>719</v>
      </c>
      <c r="AD1" s="29" t="s">
        <v>434</v>
      </c>
      <c r="AE1" s="29" t="s">
        <v>720</v>
      </c>
      <c r="AF1" s="29" t="s">
        <v>721</v>
      </c>
      <c r="AG1" s="29" t="s">
        <v>435</v>
      </c>
      <c r="AH1" s="29" t="s">
        <v>722</v>
      </c>
      <c r="AI1" s="29" t="s">
        <v>723</v>
      </c>
      <c r="AJ1" s="29" t="s">
        <v>724</v>
      </c>
      <c r="AK1" s="29" t="s">
        <v>725</v>
      </c>
      <c r="AL1" s="29" t="s">
        <v>436</v>
      </c>
      <c r="AM1" s="29" t="s">
        <v>726</v>
      </c>
      <c r="AN1" s="29" t="s">
        <v>452</v>
      </c>
      <c r="AO1" s="29" t="s">
        <v>453</v>
      </c>
      <c r="AP1" s="29" t="s">
        <v>120</v>
      </c>
      <c r="AQ1" s="29" t="s">
        <v>440</v>
      </c>
      <c r="AR1" s="29" t="s">
        <v>441</v>
      </c>
      <c r="AS1" s="29" t="s">
        <v>442</v>
      </c>
      <c r="AT1" s="29" t="s">
        <v>727</v>
      </c>
      <c r="AU1" s="29" t="s">
        <v>728</v>
      </c>
      <c r="AV1" s="29" t="s">
        <v>729</v>
      </c>
      <c r="AW1" s="29" t="s">
        <v>730</v>
      </c>
      <c r="AX1" s="29" t="s">
        <v>731</v>
      </c>
      <c r="AY1" s="29" t="s">
        <v>147</v>
      </c>
      <c r="AZ1" s="29" t="s">
        <v>732</v>
      </c>
      <c r="BA1" s="29" t="s">
        <v>733</v>
      </c>
      <c r="BB1" s="29" t="s">
        <v>734</v>
      </c>
      <c r="BC1" s="29" t="s">
        <v>735</v>
      </c>
      <c r="BD1" s="29" t="s">
        <v>736</v>
      </c>
    </row>
    <row r="2" customFormat="false" ht="15" hidden="false" customHeight="false" outlineLevel="0" collapsed="false">
      <c r="A2" s="0" t="s">
        <v>472</v>
      </c>
      <c r="B2" s="0" t="s">
        <v>678</v>
      </c>
      <c r="C2" s="11" t="n">
        <v>46370</v>
      </c>
      <c r="D2" s="10" t="s">
        <v>496</v>
      </c>
      <c r="E2" s="11" t="n">
        <v>46372</v>
      </c>
      <c r="F2" s="10" t="s">
        <v>737</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472</v>
      </c>
      <c r="B3" s="0" t="s">
        <v>681</v>
      </c>
      <c r="C3" s="11" t="n">
        <v>46370</v>
      </c>
      <c r="D3" s="10" t="s">
        <v>496</v>
      </c>
      <c r="E3" s="11" t="n">
        <v>46372</v>
      </c>
      <c r="F3" s="10" t="s">
        <v>737</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472</v>
      </c>
      <c r="B4" s="0" t="s">
        <v>683</v>
      </c>
      <c r="C4" s="11" t="n">
        <v>46370</v>
      </c>
      <c r="D4" s="10" t="s">
        <v>496</v>
      </c>
      <c r="E4" s="11" t="n">
        <v>46372</v>
      </c>
      <c r="F4" s="10" t="s">
        <v>737</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472</v>
      </c>
      <c r="B5" s="0" t="s">
        <v>686</v>
      </c>
      <c r="C5" s="11" t="n">
        <v>46370</v>
      </c>
      <c r="D5" s="10" t="s">
        <v>496</v>
      </c>
      <c r="E5" s="11" t="n">
        <v>46374</v>
      </c>
      <c r="F5" s="10" t="s">
        <v>737</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472</v>
      </c>
      <c r="B6" s="0" t="s">
        <v>688</v>
      </c>
      <c r="C6" s="11" t="n">
        <v>46370</v>
      </c>
      <c r="D6" s="10" t="s">
        <v>496</v>
      </c>
      <c r="E6" s="11" t="n">
        <v>46372</v>
      </c>
      <c r="F6" s="10" t="s">
        <v>737</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498</v>
      </c>
      <c r="B7" s="0" t="s">
        <v>678</v>
      </c>
      <c r="C7" s="11" t="n">
        <v>46370</v>
      </c>
      <c r="D7" s="10" t="s">
        <v>496</v>
      </c>
      <c r="E7" s="11" t="n">
        <v>46372</v>
      </c>
      <c r="F7" s="10" t="s">
        <v>737</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498</v>
      </c>
      <c r="B8" s="0" t="s">
        <v>681</v>
      </c>
      <c r="C8" s="11" t="n">
        <v>46370</v>
      </c>
      <c r="D8" s="10" t="s">
        <v>496</v>
      </c>
      <c r="E8" s="11" t="n">
        <v>46372</v>
      </c>
      <c r="F8" s="10" t="s">
        <v>737</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498</v>
      </c>
      <c r="B9" s="0" t="s">
        <v>683</v>
      </c>
      <c r="C9" s="11" t="n">
        <v>46370</v>
      </c>
      <c r="D9" s="10" t="s">
        <v>496</v>
      </c>
      <c r="E9" s="11" t="n">
        <v>46372</v>
      </c>
      <c r="F9" s="10" t="s">
        <v>737</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498</v>
      </c>
      <c r="B10" s="0" t="s">
        <v>686</v>
      </c>
      <c r="C10" s="11" t="n">
        <v>46370</v>
      </c>
      <c r="D10" s="10" t="s">
        <v>496</v>
      </c>
      <c r="E10" s="11" t="n">
        <v>46374</v>
      </c>
      <c r="F10" s="10" t="s">
        <v>737</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498</v>
      </c>
      <c r="B11" s="0" t="s">
        <v>688</v>
      </c>
      <c r="C11" s="11" t="n">
        <v>46370</v>
      </c>
      <c r="D11" s="10" t="s">
        <v>496</v>
      </c>
      <c r="E11" s="11" t="n">
        <v>46372</v>
      </c>
      <c r="F11" s="10" t="s">
        <v>737</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516</v>
      </c>
      <c r="B12" s="0" t="s">
        <v>678</v>
      </c>
      <c r="C12" s="11" t="n">
        <v>46391</v>
      </c>
      <c r="D12" s="10" t="s">
        <v>496</v>
      </c>
      <c r="E12" s="11" t="n">
        <v>46392</v>
      </c>
      <c r="F12" s="10" t="s">
        <v>737</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516</v>
      </c>
      <c r="B13" s="0" t="s">
        <v>681</v>
      </c>
      <c r="C13" s="11" t="n">
        <v>46391</v>
      </c>
      <c r="D13" s="10" t="s">
        <v>496</v>
      </c>
      <c r="E13" s="11" t="n">
        <v>46393</v>
      </c>
      <c r="F13" s="10" t="s">
        <v>737</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516</v>
      </c>
      <c r="B14" s="0" t="s">
        <v>683</v>
      </c>
      <c r="C14" s="11" t="n">
        <v>46391</v>
      </c>
      <c r="D14" s="10" t="s">
        <v>496</v>
      </c>
      <c r="E14" s="11" t="n">
        <v>46394</v>
      </c>
      <c r="F14" s="10" t="s">
        <v>737</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516</v>
      </c>
      <c r="B15" s="0" t="s">
        <v>686</v>
      </c>
      <c r="C15" s="11" t="n">
        <v>46391</v>
      </c>
      <c r="D15" s="10" t="s">
        <v>496</v>
      </c>
      <c r="E15" s="11" t="n">
        <v>46392</v>
      </c>
      <c r="F15" s="10" t="s">
        <v>737</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516</v>
      </c>
      <c r="B16" s="0" t="s">
        <v>688</v>
      </c>
      <c r="C16" s="11" t="n">
        <v>46391</v>
      </c>
      <c r="D16" s="10" t="s">
        <v>496</v>
      </c>
      <c r="E16" s="11" t="n">
        <v>46393</v>
      </c>
      <c r="F16" s="10" t="s">
        <v>737</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516</v>
      </c>
      <c r="B17" s="0" t="s">
        <v>690</v>
      </c>
      <c r="C17" s="11" t="n">
        <v>46392</v>
      </c>
      <c r="D17" s="10" t="s">
        <v>496</v>
      </c>
      <c r="E17" s="11" t="n">
        <v>46395</v>
      </c>
      <c r="F17" s="10" t="s">
        <v>737</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516</v>
      </c>
      <c r="B18" s="0" t="s">
        <v>692</v>
      </c>
      <c r="C18" s="11" t="n">
        <v>46393</v>
      </c>
      <c r="D18" s="10" t="s">
        <v>496</v>
      </c>
      <c r="E18" s="11" t="n">
        <v>46394</v>
      </c>
      <c r="F18" s="10" t="s">
        <v>737</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516</v>
      </c>
      <c r="B19" s="0" t="s">
        <v>694</v>
      </c>
      <c r="C19" s="11" t="n">
        <v>46394</v>
      </c>
      <c r="D19" s="10" t="s">
        <v>496</v>
      </c>
      <c r="E19" s="11" t="n">
        <v>46396</v>
      </c>
      <c r="F19" s="10" t="s">
        <v>737</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516</v>
      </c>
      <c r="B20" s="0" t="s">
        <v>696</v>
      </c>
      <c r="C20" s="11" t="n">
        <v>46395</v>
      </c>
      <c r="D20" s="10" t="s">
        <v>496</v>
      </c>
      <c r="E20" s="11" t="n">
        <v>46398</v>
      </c>
      <c r="F20" s="10" t="s">
        <v>737</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516</v>
      </c>
      <c r="B21" s="0" t="s">
        <v>698</v>
      </c>
      <c r="C21" s="11" t="n">
        <v>46400</v>
      </c>
      <c r="D21" s="10" t="s">
        <v>496</v>
      </c>
      <c r="E21" s="11" t="n">
        <v>46401</v>
      </c>
      <c r="F21" s="10" t="s">
        <v>737</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532</v>
      </c>
      <c r="B22" s="0" t="s">
        <v>678</v>
      </c>
      <c r="C22" s="11" t="n">
        <v>46393</v>
      </c>
      <c r="D22" s="10" t="s">
        <v>496</v>
      </c>
      <c r="E22" s="11" t="n">
        <v>46394</v>
      </c>
      <c r="F22" s="10" t="s">
        <v>737</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532</v>
      </c>
      <c r="B23" s="0" t="s">
        <v>681</v>
      </c>
      <c r="C23" s="11" t="n">
        <v>46393</v>
      </c>
      <c r="D23" s="10" t="s">
        <v>496</v>
      </c>
      <c r="E23" s="11" t="n">
        <v>46395</v>
      </c>
      <c r="F23" s="10" t="s">
        <v>737</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532</v>
      </c>
      <c r="B24" s="0" t="s">
        <v>683</v>
      </c>
      <c r="C24" s="11" t="n">
        <v>46393</v>
      </c>
      <c r="D24" s="10" t="s">
        <v>496</v>
      </c>
      <c r="E24" s="11" t="n">
        <v>46396</v>
      </c>
      <c r="F24" s="10" t="s">
        <v>737</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532</v>
      </c>
      <c r="B25" s="0" t="s">
        <v>686</v>
      </c>
      <c r="C25" s="11" t="n">
        <v>46393</v>
      </c>
      <c r="D25" s="10" t="s">
        <v>496</v>
      </c>
      <c r="E25" s="11" t="n">
        <v>46394</v>
      </c>
      <c r="F25" s="10" t="s">
        <v>737</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532</v>
      </c>
      <c r="B26" s="0" t="s">
        <v>688</v>
      </c>
      <c r="C26" s="11" t="n">
        <v>46393</v>
      </c>
      <c r="D26" s="10" t="s">
        <v>496</v>
      </c>
      <c r="E26" s="11" t="n">
        <v>46395</v>
      </c>
      <c r="F26" s="10" t="s">
        <v>737</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532</v>
      </c>
      <c r="B27" s="0" t="s">
        <v>690</v>
      </c>
      <c r="C27" s="11" t="n">
        <v>46393</v>
      </c>
      <c r="D27" s="10" t="s">
        <v>496</v>
      </c>
      <c r="E27" s="11" t="n">
        <v>46396</v>
      </c>
      <c r="F27" s="10" t="s">
        <v>737</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532</v>
      </c>
      <c r="B28" s="0" t="s">
        <v>692</v>
      </c>
      <c r="C28" s="11" t="n">
        <v>46393</v>
      </c>
      <c r="D28" s="10" t="s">
        <v>146</v>
      </c>
      <c r="E28" s="11" t="n">
        <v>46395</v>
      </c>
      <c r="F28" s="10" t="s">
        <v>737</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532</v>
      </c>
      <c r="B29" s="0" t="s">
        <v>694</v>
      </c>
      <c r="C29" s="11" t="n">
        <v>46394</v>
      </c>
      <c r="D29" s="10" t="s">
        <v>496</v>
      </c>
      <c r="E29" s="11" t="n">
        <v>46396</v>
      </c>
      <c r="F29" s="10" t="s">
        <v>737</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532</v>
      </c>
      <c r="B30" s="0" t="s">
        <v>696</v>
      </c>
      <c r="C30" s="11" t="n">
        <v>46395</v>
      </c>
      <c r="D30" s="10" t="s">
        <v>496</v>
      </c>
      <c r="E30" s="11" t="n">
        <v>46398</v>
      </c>
      <c r="F30" s="10" t="s">
        <v>737</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532</v>
      </c>
      <c r="B31" s="0" t="s">
        <v>698</v>
      </c>
      <c r="C31" s="11" t="n">
        <v>46400</v>
      </c>
      <c r="D31" s="10" t="s">
        <v>496</v>
      </c>
      <c r="E31" s="11" t="n">
        <v>46401</v>
      </c>
      <c r="F31" s="10" t="s">
        <v>737</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549</v>
      </c>
      <c r="B32" s="0" t="s">
        <v>678</v>
      </c>
      <c r="C32" s="11" t="n">
        <v>46395</v>
      </c>
      <c r="D32" s="10" t="s">
        <v>496</v>
      </c>
      <c r="E32" s="11" t="n">
        <v>46396</v>
      </c>
      <c r="F32" s="10" t="s">
        <v>737</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549</v>
      </c>
      <c r="B33" s="0" t="s">
        <v>681</v>
      </c>
      <c r="C33" s="11" t="n">
        <v>46395</v>
      </c>
      <c r="D33" s="10" t="s">
        <v>496</v>
      </c>
      <c r="E33" s="11" t="n">
        <v>46397</v>
      </c>
      <c r="F33" s="10" t="s">
        <v>737</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549</v>
      </c>
      <c r="B34" s="0" t="s">
        <v>683</v>
      </c>
      <c r="C34" s="11" t="n">
        <v>46395</v>
      </c>
      <c r="D34" s="10" t="s">
        <v>496</v>
      </c>
      <c r="E34" s="11" t="n">
        <v>46398</v>
      </c>
      <c r="F34" s="10" t="s">
        <v>737</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549</v>
      </c>
      <c r="B35" s="0" t="s">
        <v>686</v>
      </c>
      <c r="C35" s="11" t="n">
        <v>46395</v>
      </c>
      <c r="D35" s="10" t="s">
        <v>496</v>
      </c>
      <c r="E35" s="11" t="n">
        <v>46396</v>
      </c>
      <c r="F35" s="10" t="s">
        <v>737</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549</v>
      </c>
      <c r="B36" s="0" t="s">
        <v>688</v>
      </c>
      <c r="C36" s="11" t="n">
        <v>46395</v>
      </c>
      <c r="D36" s="10" t="s">
        <v>496</v>
      </c>
      <c r="E36" s="11" t="n">
        <v>46397</v>
      </c>
      <c r="F36" s="10" t="s">
        <v>737</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549</v>
      </c>
      <c r="B37" s="0" t="s">
        <v>690</v>
      </c>
      <c r="C37" s="11" t="n">
        <v>46395</v>
      </c>
      <c r="D37" s="10" t="s">
        <v>496</v>
      </c>
      <c r="E37" s="11" t="n">
        <v>46398</v>
      </c>
      <c r="F37" s="10" t="s">
        <v>737</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549</v>
      </c>
      <c r="B38" s="0" t="s">
        <v>692</v>
      </c>
      <c r="C38" s="11" t="n">
        <v>46395</v>
      </c>
      <c r="D38" s="10" t="s">
        <v>496</v>
      </c>
      <c r="E38" s="11" t="n">
        <v>46396</v>
      </c>
      <c r="F38" s="10" t="s">
        <v>737</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549</v>
      </c>
      <c r="B39" s="0" t="s">
        <v>694</v>
      </c>
      <c r="C39" s="11" t="n">
        <v>46395</v>
      </c>
      <c r="D39" s="10" t="s">
        <v>496</v>
      </c>
      <c r="E39" s="11" t="n">
        <v>46397</v>
      </c>
      <c r="F39" s="10" t="s">
        <v>737</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549</v>
      </c>
      <c r="B40" s="0" t="s">
        <v>696</v>
      </c>
      <c r="C40" s="11" t="n">
        <v>46395</v>
      </c>
      <c r="D40" s="10" t="s">
        <v>496</v>
      </c>
      <c r="E40" s="11" t="n">
        <v>46398</v>
      </c>
      <c r="F40" s="10" t="s">
        <v>737</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549</v>
      </c>
      <c r="B41" s="0" t="s">
        <v>698</v>
      </c>
      <c r="C41" s="11" t="n">
        <v>46400</v>
      </c>
      <c r="D41" s="10" t="s">
        <v>496</v>
      </c>
      <c r="E41" s="11" t="n">
        <v>46401</v>
      </c>
      <c r="F41" s="10" t="s">
        <v>737</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563</v>
      </c>
      <c r="B42" s="0" t="s">
        <v>678</v>
      </c>
      <c r="C42" s="11" t="n">
        <v>46412</v>
      </c>
      <c r="D42" s="10" t="s">
        <v>496</v>
      </c>
      <c r="E42" s="11" t="n">
        <v>46414</v>
      </c>
      <c r="F42" s="10" t="s">
        <v>737</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n">
        <f aca="false">IF($A42="","",IF(COUNTIFS(counts!$C$2:$C$701,$A42,counts!$D$2:$D$701,$B42,counts!$E$2:$E$701,"remaining_day3")=0,"",SUMIFS(counts!$F$2:$F$701,counts!$C$2:$C$701,$A42,counts!$D$2:$D$701,$B42,counts!$E$2:$E$701,"remaining_day3")))</f>
        <v>7</v>
      </c>
      <c r="AF42" s="30" t="n">
        <f aca="false">IF($A42="","",IF(COUNTIFS(counts!$C$2:$C$701,$A42,counts!$D$2:$D$701,$B42,counts!$E$2:$E$701,"remaining_day5")=0,"",SUMIFS(counts!$F$2:$F$701,counts!$C$2:$C$701,$A42,counts!$D$2:$D$701,$B42,counts!$E$2:$E$701,"remaining_day5")))</f>
        <v>1</v>
      </c>
      <c r="AG42" s="30" t="n">
        <f aca="false">IF(OR($A42="",$AF42=""),"",MAX(0,$AA42+$AD42-$AF42))</f>
        <v>34</v>
      </c>
      <c r="AH42" s="30" t="str">
        <f aca="false">IF(OR($A42="",$AI42=""),"",IFERROR(IF(INDEX(photos!$H$2:$H$701,MATCH($A42&amp;"|"&amp;$B42&amp;"|later|Y|"&amp;$AI42,photos!$S$2:$S$701,0))="","",INDEX(photos!$H$2:$H$701,MATCH($A42&amp;"|"&amp;$B42&amp;"|later|Y|"&amp;$AI42,photos!$S$2:$S$701,0))),""))</f>
        <v>SAMPLE-CMP-006_SAMPLE-O-001_later_2027-03-01.jpg</v>
      </c>
      <c r="AI42" s="31" t="n">
        <f aca="false">IF($A42="","",IFERROR(1/(1/SUMPRODUCT(MAX((photos!$B$2:$B$701=$A42)*(photos!$C$2:$C$701=$B42)*(photos!$D$2:$D$701="later")*(photos!$O$2:$O$701="Y")*photos!$E$2:$E$701))),""))</f>
        <v>46447</v>
      </c>
      <c r="AJ42" s="30" t="n">
        <f aca="false">IF(OR($A42="",$AI42="",$I42=""),"",NETWORKDAYS($I42,$AI42,calendar!$A$2:$A$80))</f>
        <v>5</v>
      </c>
      <c r="AK42" s="30" t="str">
        <f aca="false">IF($A42="","",IF(AND($X42&lt;&gt;"",$AH42&lt;&gt;""),"Y","N"))</f>
        <v>Y</v>
      </c>
      <c r="AL42" s="30" t="n">
        <f aca="true">IF(OR($A42="",$I42=""),"",IF($BC42="Y",SUMIFS(survey_frozen!$C$2:$C$251,survey_frozen!$P$2:$P$251,$A42&amp;"|"&amp;$B42),IFERROR(COUNTIFS(INDIRECT("'"&amp;$A42&amp;"'!$B$2:$B$501"),$T42,INDIRECT("'"&amp;$A42&amp;"'!$A$2:$A$501"),"&gt;="&amp;$I42,INDIRECT("'"&amp;$A42&amp;"'!$A$2:$A$501"),"&lt;"&amp;($BA42+1)),0)))</f>
        <v>9</v>
      </c>
      <c r="AM42" s="30" t="n">
        <f aca="true">IF(OR($A42="",$I42=""),"",IF($BC42="Y",SUMIFS(survey_frozen!$D$2:$D$251,survey_frozen!$P$2:$P$251,$A42&amp;"|"&amp;$B42),IFERROR(COUNTIFS(INDIRECT("'"&amp;$A42&amp;"'!$B$2:$B$501"),$T42,INDIRECT("'"&amp;$A42&amp;"'!$A$2:$A$501"),"&gt;="&amp;$I42,INDIRECT("'"&amp;$A42&amp;"'!$A$2:$A$501"),"&lt;"&amp;($BA42+1),INDIRECT("'"&amp;$A42&amp;"'!$C$2:$C$501"),"Yes"),0)))</f>
        <v>8</v>
      </c>
      <c r="AN42" s="30" t="n">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10</v>
      </c>
      <c r="AO42" s="30" t="n">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3</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8</v>
      </c>
      <c r="AU42" s="30" t="n">
        <f aca="true">IF(OR($A42="",$I42=""),"",IF($BC42="Y",SUMIFS(survey_frozen!$I$2:$I$251,survey_frozen!$P$2:$P$251,$A42&amp;"|"&amp;$B42),IFERROR(SUMIFS(INDIRECT("'"&amp;$A42&amp;"'!$D$2:$D$501"),INDIRECT("'"&amp;$A42&amp;"'!$B$2:$B$501"),$T42,INDIRECT("'"&amp;$A42&amp;"'!$A$2:$A$501"),"&gt;="&amp;$I42,INDIRECT("'"&amp;$A42&amp;"'!$A$2:$A$501"),"&lt;"&amp;($BA42+1)),0)))</f>
        <v>33</v>
      </c>
      <c r="AV42" s="30" t="n">
        <f aca="true">IF(OR($A42="",$I42=""),"",IF($BC42="Y",SUMIFS(survey_frozen!$J$2:$J$251,survey_frozen!$P$2:$P$251,$A42&amp;"|"&amp;$B42),IFERROR(COUNTIFS(INDIRECT("'"&amp;$A42&amp;"'!$B$2:$B$501"),$T42,INDIRECT("'"&amp;$A42&amp;"'!$A$2:$A$501"),"&gt;="&amp;$I42,INDIRECT("'"&amp;$A42&amp;"'!$A$2:$A$501"),"&lt;"&amp;($BA42+1),INDIRECT("'"&amp;$A42&amp;"'!$E$2:$E$501"),"Yes"),0)))</f>
        <v>4</v>
      </c>
      <c r="AW42" s="30" t="n">
        <f aca="true">IF(OR($A42="",$I42=""),"",IF($BC42="Y",SUMIFS(survey_frozen!$K$2:$K$251,survey_frozen!$P$2:$P$251,$A42&amp;"|"&amp;$B42),IFERROR(COUNTIFS(INDIRECT("'"&amp;$A42&amp;"'!$B$2:$B$501"),$T42,INDIRECT("'"&amp;$A42&amp;"'!$A$2:$A$501"),"&gt;="&amp;$I42,INDIRECT("'"&amp;$A42&amp;"'!$A$2:$A$501"),"&lt;"&amp;($BA42+1),INDIRECT("'"&amp;$A42&amp;"'!$E$2:$E$501"),"Maybe"),0)))</f>
        <v>3</v>
      </c>
      <c r="AX42" s="30" t="n">
        <f aca="true">IF(OR($A42="",$I42=""),"",IF($BC42="Y",SUMIFS(survey_frozen!$L$2:$L$251,survey_frozen!$P$2:$P$251,$A42&amp;"|"&amp;$B42),IFERROR(COUNTIFS(INDIRECT("'"&amp;$A42&amp;"'!$B$2:$B$501"),$T42,INDIRECT("'"&amp;$A42&amp;"'!$A$2:$A$501"),"&gt;="&amp;$I42,INDIRECT("'"&amp;$A42&amp;"'!$A$2:$A$501"),"&lt;"&amp;($BA42+1),INDIRECT("'"&amp;$A42&amp;"'!$E$2:$E$501"),"No"),0)))</f>
        <v>1</v>
      </c>
      <c r="AY42" s="30" t="n">
        <f aca="true">IF(OR($A42="",$I42=""),"",IF($BC42="Y",SUMIFS(survey_frozen!$M$2:$M$251,survey_frozen!$P$2:$P$251,$A42&amp;"|"&amp;$B42),IFERROR(COUNTIFS(INDIRECT("'"&amp;$A42&amp;"'!$B$2:$B$501"),$T42,INDIRECT("'"&amp;$A42&amp;"'!$A$2:$A$501"),"&gt;="&amp;$I42,INDIRECT("'"&amp;$A42&amp;"'!$A$2:$A$501"),"&lt;"&amp;($BA42+1),INDIRECT("'"&amp;$A42&amp;"'!$G$2:$G$501"),"&lt;&gt;"),0)))</f>
        <v>2</v>
      </c>
      <c r="AZ42" s="30" t="str">
        <f aca="false">IF($A42="","",$A42&amp;"|"&amp;$L42)</f>
        <v>SAMPLE-CMP-006|1</v>
      </c>
      <c r="BA42" s="31" t="n">
        <f aca="false">IF($A42="","",IFERROR(IF(INDEX(drops!$R$2:$R$21,MATCH($H42,drops!$A$2:$A$21,0))="","",INDEX(drops!$R$2:$R$21,MATCH($H42,drops!$A$2:$A$21,0))),""))</f>
        <v>46447</v>
      </c>
      <c r="BB42" s="30" t="n">
        <f aca="false">IF(OR($A42="",$Q42&lt;&gt;"Y"),1000000,N($AL42))</f>
        <v>9</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563</v>
      </c>
      <c r="B43" s="0" t="s">
        <v>681</v>
      </c>
      <c r="C43" s="11" t="n">
        <v>46412</v>
      </c>
      <c r="D43" s="10" t="s">
        <v>496</v>
      </c>
      <c r="E43" s="11" t="n">
        <v>46414</v>
      </c>
      <c r="F43" s="10" t="s">
        <v>737</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n">
        <f aca="false">IF($A43="","",IF(COUNTIFS(counts!$C$2:$C$701,$A43,counts!$D$2:$D$701,$B43,counts!$E$2:$E$701,"remaining_day3")=0,"",SUMIFS(counts!$F$2:$F$701,counts!$C$2:$C$701,$A43,counts!$D$2:$D$701,$B43,counts!$E$2:$E$701,"remaining_day3")))</f>
        <v>9</v>
      </c>
      <c r="AF43" s="30" t="n">
        <f aca="false">IF($A43="","",IF(COUNTIFS(counts!$C$2:$C$701,$A43,counts!$D$2:$D$701,$B43,counts!$E$2:$E$701,"remaining_day5")=0,"",SUMIFS(counts!$F$2:$F$701,counts!$C$2:$C$701,$A43,counts!$D$2:$D$701,$B43,counts!$E$2:$E$701,"remaining_day5")))</f>
        <v>2</v>
      </c>
      <c r="AG43" s="30" t="n">
        <f aca="false">IF(OR($A43="",$AF43=""),"",MAX(0,$AA43+$AD43-$AF43))</f>
        <v>33</v>
      </c>
      <c r="AH43" s="30" t="str">
        <f aca="false">IF(OR($A43="",$AI43=""),"",IFERROR(IF(INDEX(photos!$H$2:$H$701,MATCH($A43&amp;"|"&amp;$B43&amp;"|later|Y|"&amp;$AI43,photos!$S$2:$S$701,0))="","",INDEX(photos!$H$2:$H$701,MATCH($A43&amp;"|"&amp;$B43&amp;"|later|Y|"&amp;$AI43,photos!$S$2:$S$701,0))),""))</f>
        <v>SAMPLE-CMP-006_SAMPLE-O-002_later_2027-03-01.jpg</v>
      </c>
      <c r="AI43" s="31" t="n">
        <f aca="false">IF($A43="","",IFERROR(1/(1/SUMPRODUCT(MAX((photos!$B$2:$B$701=$A43)*(photos!$C$2:$C$701=$B43)*(photos!$D$2:$D$701="later")*(photos!$O$2:$O$701="Y")*photos!$E$2:$E$701))),""))</f>
        <v>46447</v>
      </c>
      <c r="AJ43" s="30" t="n">
        <f aca="false">IF(OR($A43="",$AI43="",$I43=""),"",NETWORKDAYS($I43,$AI43,calendar!$A$2:$A$80))</f>
        <v>5</v>
      </c>
      <c r="AK43" s="30" t="str">
        <f aca="false">IF($A43="","",IF(AND($X43&lt;&gt;"",$AH43&lt;&gt;""),"Y","N"))</f>
        <v>Y</v>
      </c>
      <c r="AL43" s="30" t="n">
        <f aca="true">IF(OR($A43="",$I43=""),"",IF($BC43="Y",SUMIFS(survey_frozen!$C$2:$C$251,survey_frozen!$P$2:$P$251,$A43&amp;"|"&amp;$B43),IFERROR(COUNTIFS(INDIRECT("'"&amp;$A43&amp;"'!$B$2:$B$501"),$T43,INDIRECT("'"&amp;$A43&amp;"'!$A$2:$A$501"),"&gt;="&amp;$I43,INDIRECT("'"&amp;$A43&amp;"'!$A$2:$A$501"),"&lt;"&amp;($BA43+1)),0)))</f>
        <v>6</v>
      </c>
      <c r="AM43" s="30" t="n">
        <f aca="true">IF(OR($A43="",$I43=""),"",IF($BC43="Y",SUMIFS(survey_frozen!$D$2:$D$251,survey_frozen!$P$2:$P$251,$A43&amp;"|"&amp;$B43),IFERROR(COUNTIFS(INDIRECT("'"&amp;$A43&amp;"'!$B$2:$B$501"),$T43,INDIRECT("'"&amp;$A43&amp;"'!$A$2:$A$501"),"&gt;="&amp;$I43,INDIRECT("'"&amp;$A43&amp;"'!$A$2:$A$501"),"&lt;"&amp;($BA43+1),INDIRECT("'"&amp;$A43&amp;"'!$C$2:$C$501"),"Yes"),0)))</f>
        <v>5</v>
      </c>
      <c r="AN43" s="30" t="n">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12</v>
      </c>
      <c r="AO43" s="30" t="n">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5</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1</v>
      </c>
      <c r="AT43" s="30" t="n">
        <f aca="true">IF(OR($A43="",$I43=""),"",IF($BC43="Y",SUMIFS(survey_frozen!$H$2:$H$251,survey_frozen!$P$2:$P$251,$A43&amp;"|"&amp;$B43),IFERROR(COUNTIFS(INDIRECT("'"&amp;$A43&amp;"'!$B$2:$B$501"),$T43,INDIRECT("'"&amp;$A43&amp;"'!$A$2:$A$501"),"&gt;="&amp;$I43,INDIRECT("'"&amp;$A43&amp;"'!$A$2:$A$501"),"&lt;"&amp;($BA43+1),INDIRECT("'"&amp;$A43&amp;"'!$D$2:$D$501"),"&gt;=1"),0)))</f>
        <v>5</v>
      </c>
      <c r="AU43" s="30" t="n">
        <f aca="true">IF(OR($A43="",$I43=""),"",IF($BC43="Y",SUMIFS(survey_frozen!$I$2:$I$251,survey_frozen!$P$2:$P$251,$A43&amp;"|"&amp;$B43),IFERROR(SUMIFS(INDIRECT("'"&amp;$A43&amp;"'!$D$2:$D$501"),INDIRECT("'"&amp;$A43&amp;"'!$B$2:$B$501"),$T43,INDIRECT("'"&amp;$A43&amp;"'!$A$2:$A$501"),"&gt;="&amp;$I43,INDIRECT("'"&amp;$A43&amp;"'!$A$2:$A$501"),"&lt;"&amp;($BA43+1)),0)))</f>
        <v>22</v>
      </c>
      <c r="AV43" s="30" t="n">
        <f aca="true">IF(OR($A43="",$I43=""),"",IF($BC43="Y",SUMIFS(survey_frozen!$J$2:$J$251,survey_frozen!$P$2:$P$251,$A43&amp;"|"&amp;$B43),IFERROR(COUNTIFS(INDIRECT("'"&amp;$A43&amp;"'!$B$2:$B$501"),$T43,INDIRECT("'"&amp;$A43&amp;"'!$A$2:$A$501"),"&gt;="&amp;$I43,INDIRECT("'"&amp;$A43&amp;"'!$A$2:$A$501"),"&lt;"&amp;($BA43+1),INDIRECT("'"&amp;$A43&amp;"'!$E$2:$E$501"),"Yes"),0)))</f>
        <v>2</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4</v>
      </c>
      <c r="AZ43" s="30" t="str">
        <f aca="false">IF($A43="","",$A43&amp;"|"&amp;$L43)</f>
        <v>SAMPLE-CMP-006|2</v>
      </c>
      <c r="BA43" s="31" t="n">
        <f aca="false">IF($A43="","",IFERROR(IF(INDEX(drops!$R$2:$R$21,MATCH($H43,drops!$A$2:$A$21,0))="","",INDEX(drops!$R$2:$R$21,MATCH($H43,drops!$A$2:$A$21,0))),""))</f>
        <v>46447</v>
      </c>
      <c r="BB43" s="30" t="n">
        <f aca="false">IF(OR($A43="",$Q43&lt;&gt;"Y"),1000000,N($AL43))</f>
        <v>6</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563</v>
      </c>
      <c r="B44" s="0" t="s">
        <v>683</v>
      </c>
      <c r="C44" s="11" t="n">
        <v>46412</v>
      </c>
      <c r="D44" s="10" t="s">
        <v>496</v>
      </c>
      <c r="E44" s="11" t="n">
        <v>46414</v>
      </c>
      <c r="F44" s="10" t="s">
        <v>737</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n">
        <f aca="false">IF($A44="","",IF(COUNTIFS(counts!$C$2:$C$701,$A44,counts!$D$2:$D$701,$B44,counts!$E$2:$E$701,"remaining_day3")=0,"",SUMIFS(counts!$F$2:$F$701,counts!$C$2:$C$701,$A44,counts!$D$2:$D$701,$B44,counts!$E$2:$E$701,"remaining_day3")))</f>
        <v>12</v>
      </c>
      <c r="AF44" s="30" t="n">
        <f aca="false">IF($A44="","",IF(COUNTIFS(counts!$C$2:$C$701,$A44,counts!$D$2:$D$701,$B44,counts!$E$2:$E$701,"remaining_day5")=0,"",SUMIFS(counts!$F$2:$F$701,counts!$C$2:$C$701,$A44,counts!$D$2:$D$701,$B44,counts!$E$2:$E$701,"remaining_day5")))</f>
        <v>4</v>
      </c>
      <c r="AG44" s="30" t="n">
        <f aca="false">IF(OR($A44="",$AF44=""),"",MAX(0,$AA44+$AD44-$AF44))</f>
        <v>41</v>
      </c>
      <c r="AH44" s="30" t="str">
        <f aca="false">IF(OR($A44="",$AI44=""),"",IFERROR(IF(INDEX(photos!$H$2:$H$701,MATCH($A44&amp;"|"&amp;$B44&amp;"|later|Y|"&amp;$AI44,photos!$S$2:$S$701,0))="","",INDEX(photos!$H$2:$H$701,MATCH($A44&amp;"|"&amp;$B44&amp;"|later|Y|"&amp;$AI44,photos!$S$2:$S$701,0))),""))</f>
        <v>SAMPLE-CMP-006_SAMPLE-O-003_later_2027-03-01.jpg</v>
      </c>
      <c r="AI44" s="31" t="n">
        <f aca="false">IF($A44="","",IFERROR(1/(1/SUMPRODUCT(MAX((photos!$B$2:$B$701=$A44)*(photos!$C$2:$C$701=$B44)*(photos!$D$2:$D$701="later")*(photos!$O$2:$O$701="Y")*photos!$E$2:$E$701))),""))</f>
        <v>46447</v>
      </c>
      <c r="AJ44" s="30" t="n">
        <f aca="false">IF(OR($A44="",$AI44="",$I44=""),"",NETWORKDAYS($I44,$AI44,calendar!$A$2:$A$80))</f>
        <v>5</v>
      </c>
      <c r="AK44" s="30" t="str">
        <f aca="false">IF($A44="","",IF(AND($X44&lt;&gt;"",$AH44&lt;&gt;""),"Y","N"))</f>
        <v>Y</v>
      </c>
      <c r="AL44" s="30" t="n">
        <f aca="true">IF(OR($A44="",$I44=""),"",IF($BC44="Y",SUMIFS(survey_frozen!$C$2:$C$251,survey_frozen!$P$2:$P$251,$A44&amp;"|"&amp;$B44),IFERROR(COUNTIFS(INDIRECT("'"&amp;$A44&amp;"'!$B$2:$B$501"),$T44,INDIRECT("'"&amp;$A44&amp;"'!$A$2:$A$501"),"&gt;="&amp;$I44,INDIRECT("'"&amp;$A44&amp;"'!$A$2:$A$501"),"&lt;"&amp;($BA44+1)),0)))</f>
        <v>8</v>
      </c>
      <c r="AM44" s="30" t="n">
        <f aca="true">IF(OR($A44="",$I44=""),"",IF($BC44="Y",SUMIFS(survey_frozen!$D$2:$D$251,survey_frozen!$P$2:$P$251,$A44&amp;"|"&amp;$B44),IFERROR(COUNTIFS(INDIRECT("'"&amp;$A44&amp;"'!$B$2:$B$501"),$T44,INDIRECT("'"&amp;$A44&amp;"'!$A$2:$A$501"),"&gt;="&amp;$I44,INDIRECT("'"&amp;$A44&amp;"'!$A$2:$A$501"),"&lt;"&amp;($BA44+1),INDIRECT("'"&amp;$A44&amp;"'!$C$2:$C$501"),"Yes"),0)))</f>
        <v>8</v>
      </c>
      <c r="AN44" s="30" t="n">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4</v>
      </c>
      <c r="AO44" s="30" t="n">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7</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8</v>
      </c>
      <c r="AU44" s="30" t="n">
        <f aca="true">IF(OR($A44="",$I44=""),"",IF($BC44="Y",SUMIFS(survey_frozen!$I$2:$I$251,survey_frozen!$P$2:$P$251,$A44&amp;"|"&amp;$B44),IFERROR(SUMIFS(INDIRECT("'"&amp;$A44&amp;"'!$D$2:$D$501"),INDIRECT("'"&amp;$A44&amp;"'!$B$2:$B$501"),$T44,INDIRECT("'"&amp;$A44&amp;"'!$A$2:$A$501"),"&gt;="&amp;$I44,INDIRECT("'"&amp;$A44&amp;"'!$A$2:$A$501"),"&lt;"&amp;($BA44+1)),0)))</f>
        <v>36</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5</v>
      </c>
      <c r="AX44" s="30" t="n">
        <f aca="true">IF(OR($A44="",$I44=""),"",IF($BC44="Y",SUMIFS(survey_frozen!$L$2:$L$251,survey_frozen!$P$2:$P$251,$A44&amp;"|"&amp;$B44),IFERROR(COUNTIFS(INDIRECT("'"&amp;$A44&amp;"'!$B$2:$B$501"),$T44,INDIRECT("'"&amp;$A44&amp;"'!$A$2:$A$501"),"&gt;="&amp;$I44,INDIRECT("'"&amp;$A44&amp;"'!$A$2:$A$501"),"&lt;"&amp;($BA44+1),INDIRECT("'"&amp;$A44&amp;"'!$E$2:$E$501"),"No"),0)))</f>
        <v>2</v>
      </c>
      <c r="AY44" s="30" t="n">
        <f aca="true">IF(OR($A44="",$I44=""),"",IF($BC44="Y",SUMIFS(survey_frozen!$M$2:$M$251,survey_frozen!$P$2:$P$251,$A44&amp;"|"&amp;$B44),IFERROR(COUNTIFS(INDIRECT("'"&amp;$A44&amp;"'!$B$2:$B$501"),$T44,INDIRECT("'"&amp;$A44&amp;"'!$A$2:$A$501"),"&gt;="&amp;$I44,INDIRECT("'"&amp;$A44&amp;"'!$A$2:$A$501"),"&lt;"&amp;($BA44+1),INDIRECT("'"&amp;$A44&amp;"'!$G$2:$G$501"),"&lt;&gt;"),0)))</f>
        <v>4</v>
      </c>
      <c r="AZ44" s="30" t="str">
        <f aca="false">IF($A44="","",$A44&amp;"|"&amp;$L44)</f>
        <v>SAMPLE-CMP-006|3</v>
      </c>
      <c r="BA44" s="31" t="n">
        <f aca="false">IF($A44="","",IFERROR(IF(INDEX(drops!$R$2:$R$21,MATCH($H44,drops!$A$2:$A$21,0))="","",INDEX(drops!$R$2:$R$21,MATCH($H44,drops!$A$2:$A$21,0))),""))</f>
        <v>46447</v>
      </c>
      <c r="BB44" s="30" t="n">
        <f aca="false">IF(OR($A44="",$Q44&lt;&gt;"Y"),1000000,N($AL44))</f>
        <v>8</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563</v>
      </c>
      <c r="B45" s="0" t="s">
        <v>686</v>
      </c>
      <c r="C45" s="11" t="n">
        <v>46412</v>
      </c>
      <c r="D45" s="10" t="s">
        <v>496</v>
      </c>
      <c r="E45" s="11" t="n">
        <v>46414</v>
      </c>
      <c r="F45" s="10" t="s">
        <v>737</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n">
        <f aca="false">IF($A45="","",IF(COUNTIFS(counts!$C$2:$C$701,$A45,counts!$D$2:$D$701,$B45,counts!$E$2:$E$701,"remaining_day3")=0,"",SUMIFS(counts!$F$2:$F$701,counts!$C$2:$C$701,$A45,counts!$D$2:$D$701,$B45,counts!$E$2:$E$701,"remaining_day3")))</f>
        <v>16</v>
      </c>
      <c r="AF45" s="30" t="n">
        <f aca="false">IF($A45="","",IF(COUNTIFS(counts!$C$2:$C$701,$A45,counts!$D$2:$D$701,$B45,counts!$E$2:$E$701,"remaining_day5")=0,"",SUMIFS(counts!$F$2:$F$701,counts!$C$2:$C$701,$A45,counts!$D$2:$D$701,$B45,counts!$E$2:$E$701,"remaining_day5")))</f>
        <v>5</v>
      </c>
      <c r="AG45" s="30" t="n">
        <f aca="false">IF(OR($A45="",$AF45=""),"",MAX(0,$AA45+$AD45-$AF45))</f>
        <v>40</v>
      </c>
      <c r="AH45" s="30" t="str">
        <f aca="false">IF(OR($A45="",$AI45=""),"",IFERROR(IF(INDEX(photos!$H$2:$H$701,MATCH($A45&amp;"|"&amp;$B45&amp;"|later|Y|"&amp;$AI45,photos!$S$2:$S$701,0))="","",INDEX(photos!$H$2:$H$701,MATCH($A45&amp;"|"&amp;$B45&amp;"|later|Y|"&amp;$AI45,photos!$S$2:$S$701,0))),""))</f>
        <v>SAMPLE-CMP-006_SAMPLE-O-004_later_2027-03-01.jpg</v>
      </c>
      <c r="AI45" s="31" t="n">
        <f aca="false">IF($A45="","",IFERROR(1/(1/SUMPRODUCT(MAX((photos!$B$2:$B$701=$A45)*(photos!$C$2:$C$701=$B45)*(photos!$D$2:$D$701="later")*(photos!$O$2:$O$701="Y")*photos!$E$2:$E$701))),""))</f>
        <v>46447</v>
      </c>
      <c r="AJ45" s="30" t="n">
        <f aca="false">IF(OR($A45="",$AI45="",$I45=""),"",NETWORKDAYS($I45,$AI45,calendar!$A$2:$A$80))</f>
        <v>5</v>
      </c>
      <c r="AK45" s="30" t="str">
        <f aca="false">IF($A45="","",IF(AND($X45&lt;&gt;"",$AH45&lt;&gt;""),"Y","N"))</f>
        <v>Y</v>
      </c>
      <c r="AL45" s="30" t="n">
        <f aca="true">IF(OR($A45="",$I45=""),"",IF($BC45="Y",SUMIFS(survey_frozen!$C$2:$C$251,survey_frozen!$P$2:$P$251,$A45&amp;"|"&amp;$B45),IFERROR(COUNTIFS(INDIRECT("'"&amp;$A45&amp;"'!$B$2:$B$501"),$T45,INDIRECT("'"&amp;$A45&amp;"'!$A$2:$A$501"),"&gt;="&amp;$I45,INDIRECT("'"&amp;$A45&amp;"'!$A$2:$A$501"),"&lt;"&amp;($BA45+1)),0)))</f>
        <v>5</v>
      </c>
      <c r="AM45" s="30" t="n">
        <f aca="true">IF(OR($A45="",$I45=""),"",IF($BC45="Y",SUMIFS(survey_frozen!$D$2:$D$251,survey_frozen!$P$2:$P$251,$A45&amp;"|"&amp;$B45),IFERROR(COUNTIFS(INDIRECT("'"&amp;$A45&amp;"'!$B$2:$B$501"),$T45,INDIRECT("'"&amp;$A45&amp;"'!$A$2:$A$501"),"&gt;="&amp;$I45,INDIRECT("'"&amp;$A45&amp;"'!$A$2:$A$501"),"&lt;"&amp;($BA45+1),INDIRECT("'"&amp;$A45&amp;"'!$C$2:$C$501"),"Yes"),0)))</f>
        <v>3</v>
      </c>
      <c r="AN45" s="30" t="n">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6</v>
      </c>
      <c r="AO45" s="30" t="n">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9</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3</v>
      </c>
      <c r="AU45" s="30" t="n">
        <f aca="true">IF(OR($A45="",$I45=""),"",IF($BC45="Y",SUMIFS(survey_frozen!$I$2:$I$251,survey_frozen!$P$2:$P$251,$A45&amp;"|"&amp;$B45),IFERROR(SUMIFS(INDIRECT("'"&amp;$A45&amp;"'!$D$2:$D$501"),INDIRECT("'"&amp;$A45&amp;"'!$B$2:$B$501"),$T45,INDIRECT("'"&amp;$A45&amp;"'!$A$2:$A$501"),"&gt;="&amp;$I45,INDIRECT("'"&amp;$A45&amp;"'!$A$2:$A$501"),"&lt;"&amp;($BA45+1)),0)))</f>
        <v>14</v>
      </c>
      <c r="AV45" s="30" t="n">
        <f aca="true">IF(OR($A45="",$I45=""),"",IF($BC45="Y",SUMIFS(survey_frozen!$J$2:$J$251,survey_frozen!$P$2:$P$251,$A45&amp;"|"&amp;$B45),IFERROR(COUNTIFS(INDIRECT("'"&amp;$A45&amp;"'!$B$2:$B$501"),$T45,INDIRECT("'"&amp;$A45&amp;"'!$A$2:$A$501"),"&gt;="&amp;$I45,INDIRECT("'"&amp;$A45&amp;"'!$A$2:$A$501"),"&lt;"&amp;($BA45+1),INDIRECT("'"&amp;$A45&amp;"'!$E$2:$E$501"),"Yes"),0)))</f>
        <v>1</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2</v>
      </c>
      <c r="AZ45" s="30" t="str">
        <f aca="false">IF($A45="","",$A45&amp;"|"&amp;$L45)</f>
        <v>SAMPLE-CMP-006|4</v>
      </c>
      <c r="BA45" s="31" t="n">
        <f aca="false">IF($A45="","",IFERROR(IF(INDEX(drops!$R$2:$R$21,MATCH($H45,drops!$A$2:$A$21,0))="","",INDEX(drops!$R$2:$R$21,MATCH($H45,drops!$A$2:$A$21,0))),""))</f>
        <v>46447</v>
      </c>
      <c r="BB45" s="30" t="n">
        <f aca="false">IF(OR($A45="",$Q45&lt;&gt;"Y"),1000000,N($AL45))</f>
        <v>5</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563</v>
      </c>
      <c r="B46" s="0" t="s">
        <v>688</v>
      </c>
      <c r="C46" s="11" t="n">
        <v>46412</v>
      </c>
      <c r="D46" s="10" t="s">
        <v>496</v>
      </c>
      <c r="E46" s="11" t="n">
        <v>46414</v>
      </c>
      <c r="F46" s="10" t="s">
        <v>737</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6</v>
      </c>
      <c r="AE46" s="30" t="n">
        <f aca="false">IF($A46="","",IF(COUNTIFS(counts!$C$2:$C$701,$A46,counts!$D$2:$D$701,$B46,counts!$E$2:$E$701,"remaining_day3")=0,"",SUMIFS(counts!$F$2:$F$701,counts!$C$2:$C$701,$A46,counts!$D$2:$D$701,$B46,counts!$E$2:$E$701,"remaining_day3")))</f>
        <v>31</v>
      </c>
      <c r="AF46" s="30" t="n">
        <f aca="false">IF($A46="","",IF(COUNTIFS(counts!$C$2:$C$701,$A46,counts!$D$2:$D$701,$B46,counts!$E$2:$E$701,"remaining_day5")=0,"",SUMIFS(counts!$F$2:$F$701,counts!$C$2:$C$701,$A46,counts!$D$2:$D$701,$B46,counts!$E$2:$E$701,"remaining_day5")))</f>
        <v>7</v>
      </c>
      <c r="AG46" s="30" t="n">
        <f aca="false">IF(OR($A46="",$AF46=""),"",MAX(0,$AA46+$AD46-$AF46))</f>
        <v>64</v>
      </c>
      <c r="AH46" s="30" t="str">
        <f aca="false">IF(OR($A46="",$AI46=""),"",IFERROR(IF(INDEX(photos!$H$2:$H$701,MATCH($A46&amp;"|"&amp;$B46&amp;"|later|Y|"&amp;$AI46,photos!$S$2:$S$701,0))="","",INDEX(photos!$H$2:$H$701,MATCH($A46&amp;"|"&amp;$B46&amp;"|later|Y|"&amp;$AI46,photos!$S$2:$S$701,0))),""))</f>
        <v>SAMPLE-CMP-006_SAMPLE-O-005_later_2027-03-01.jpg</v>
      </c>
      <c r="AI46" s="31" t="n">
        <f aca="false">IF($A46="","",IFERROR(1/(1/SUMPRODUCT(MAX((photos!$B$2:$B$701=$A46)*(photos!$C$2:$C$701=$B46)*(photos!$D$2:$D$701="later")*(photos!$O$2:$O$701="Y")*photos!$E$2:$E$701))),""))</f>
        <v>46447</v>
      </c>
      <c r="AJ46" s="30" t="n">
        <f aca="false">IF(OR($A46="",$AI46="",$I46=""),"",NETWORKDAYS($I46,$AI46,calendar!$A$2:$A$80))</f>
        <v>5</v>
      </c>
      <c r="AK46" s="30" t="str">
        <f aca="false">IF($A46="","",IF(AND($X46&lt;&gt;"",$AH46&lt;&gt;""),"Y","N"))</f>
        <v>Y</v>
      </c>
      <c r="AL46" s="30" t="n">
        <f aca="true">IF(OR($A46="",$I46=""),"",IF($BC46="Y",SUMIFS(survey_frozen!$C$2:$C$251,survey_frozen!$P$2:$P$251,$A46&amp;"|"&amp;$B46),IFERROR(COUNTIFS(INDIRECT("'"&amp;$A46&amp;"'!$B$2:$B$501"),$T46,INDIRECT("'"&amp;$A46&amp;"'!$A$2:$A$501"),"&gt;="&amp;$I46,INDIRECT("'"&amp;$A46&amp;"'!$A$2:$A$501"),"&lt;"&amp;($BA46+1)),0)))</f>
        <v>7</v>
      </c>
      <c r="AM46" s="30" t="n">
        <f aca="true">IF(OR($A46="",$I46=""),"",IF($BC46="Y",SUMIFS(survey_frozen!$D$2:$D$251,survey_frozen!$P$2:$P$251,$A46&amp;"|"&amp;$B46),IFERROR(COUNTIFS(INDIRECT("'"&amp;$A46&amp;"'!$B$2:$B$501"),$T46,INDIRECT("'"&amp;$A46&amp;"'!$A$2:$A$501"),"&gt;="&amp;$I46,INDIRECT("'"&amp;$A46&amp;"'!$A$2:$A$501"),"&lt;"&amp;($BA46+1),INDIRECT("'"&amp;$A46&amp;"'!$C$2:$C$501"),"Yes"),0)))</f>
        <v>6</v>
      </c>
      <c r="AN46" s="30" t="n">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8</v>
      </c>
      <c r="AO46" s="30" t="n">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11</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6</v>
      </c>
      <c r="AU46" s="30" t="n">
        <f aca="true">IF(OR($A46="",$I46=""),"",IF($BC46="Y",SUMIFS(survey_frozen!$I$2:$I$251,survey_frozen!$P$2:$P$251,$A46&amp;"|"&amp;$B46),IFERROR(SUMIFS(INDIRECT("'"&amp;$A46&amp;"'!$D$2:$D$501"),INDIRECT("'"&amp;$A46&amp;"'!$B$2:$B$501"),$T46,INDIRECT("'"&amp;$A46&amp;"'!$A$2:$A$501"),"&gt;="&amp;$I46,INDIRECT("'"&amp;$A46&amp;"'!$A$2:$A$501"),"&lt;"&amp;($BA46+1)),0)))</f>
        <v>26</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3</v>
      </c>
      <c r="AX46" s="30" t="n">
        <f aca="true">IF(OR($A46="",$I46=""),"",IF($BC46="Y",SUMIFS(survey_frozen!$L$2:$L$251,survey_frozen!$P$2:$P$251,$A46&amp;"|"&amp;$B46),IFERROR(COUNTIFS(INDIRECT("'"&amp;$A46&amp;"'!$B$2:$B$501"),$T46,INDIRECT("'"&amp;$A46&amp;"'!$A$2:$A$501"),"&gt;="&amp;$I46,INDIRECT("'"&amp;$A46&amp;"'!$A$2:$A$501"),"&lt;"&amp;($BA46+1),INDIRECT("'"&amp;$A46&amp;"'!$E$2:$E$501"),"No"),0)))</f>
        <v>2</v>
      </c>
      <c r="AY46" s="30" t="n">
        <f aca="true">IF(OR($A46="",$I46=""),"",IF($BC46="Y",SUMIFS(survey_frozen!$M$2:$M$251,survey_frozen!$P$2:$P$251,$A46&amp;"|"&amp;$B46),IFERROR(COUNTIFS(INDIRECT("'"&amp;$A46&amp;"'!$B$2:$B$501"),$T46,INDIRECT("'"&amp;$A46&amp;"'!$A$2:$A$501"),"&gt;="&amp;$I46,INDIRECT("'"&amp;$A46&amp;"'!$A$2:$A$501"),"&lt;"&amp;($BA46+1),INDIRECT("'"&amp;$A46&amp;"'!$G$2:$G$501"),"&lt;&gt;"),0)))</f>
        <v>3</v>
      </c>
      <c r="AZ46" s="30" t="str">
        <f aca="false">IF($A46="","",$A46&amp;"|"&amp;$L46)</f>
        <v>SAMPLE-CMP-006|5</v>
      </c>
      <c r="BA46" s="31" t="n">
        <f aca="false">IF($A46="","",IFERROR(IF(INDEX(drops!$R$2:$R$21,MATCH($H46,drops!$A$2:$A$21,0))="","",INDEX(drops!$R$2:$R$21,MATCH($H46,drops!$A$2:$A$21,0))),""))</f>
        <v>46447</v>
      </c>
      <c r="BB46" s="30" t="n">
        <f aca="false">IF(OR($A46="",$Q46&lt;&gt;"Y"),1000000,N($AL46))</f>
        <v>7</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563</v>
      </c>
      <c r="B47" s="0" t="s">
        <v>690</v>
      </c>
      <c r="C47" s="11" t="n">
        <v>46412</v>
      </c>
      <c r="D47" s="10" t="s">
        <v>496</v>
      </c>
      <c r="E47" s="11" t="n">
        <v>46414</v>
      </c>
      <c r="F47" s="10" t="s">
        <v>737</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n">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0</v>
      </c>
      <c r="AO47" s="30" t="n">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0</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563</v>
      </c>
      <c r="B48" s="0" t="s">
        <v>692</v>
      </c>
      <c r="C48" s="11" t="n">
        <v>46412</v>
      </c>
      <c r="D48" s="10" t="s">
        <v>496</v>
      </c>
      <c r="E48" s="11" t="n">
        <v>46414</v>
      </c>
      <c r="F48" s="10" t="s">
        <v>737</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n">
        <f aca="false">IF($A48="","",IF(COUNTIFS(counts!$C$2:$C$701,$A48,counts!$D$2:$D$701,$B48,counts!$E$2:$E$701,"remaining_day3")=0,"",SUMIFS(counts!$F$2:$F$701,counts!$C$2:$C$701,$A48,counts!$D$2:$D$701,$B48,counts!$E$2:$E$701,"remaining_day3")))</f>
        <v>18</v>
      </c>
      <c r="AF48" s="30" t="n">
        <f aca="false">IF($A48="","",IF(COUNTIFS(counts!$C$2:$C$701,$A48,counts!$D$2:$D$701,$B48,counts!$E$2:$E$701,"remaining_day5")=0,"",SUMIFS(counts!$F$2:$F$701,counts!$C$2:$C$701,$A48,counts!$D$2:$D$701,$B48,counts!$E$2:$E$701,"remaining_day5")))</f>
        <v>2</v>
      </c>
      <c r="AG48" s="30" t="n">
        <f aca="false">IF(OR($A48="",$AF48=""),"",MAX(0,$AA48+$AD48-$AF48))</f>
        <v>53</v>
      </c>
      <c r="AH48" s="30" t="str">
        <f aca="false">IF(OR($A48="",$AI48=""),"",IFERROR(IF(INDEX(photos!$H$2:$H$701,MATCH($A48&amp;"|"&amp;$B48&amp;"|later|Y|"&amp;$AI48,photos!$S$2:$S$701,0))="","",INDEX(photos!$H$2:$H$701,MATCH($A48&amp;"|"&amp;$B48&amp;"|later|Y|"&amp;$AI48,photos!$S$2:$S$701,0))),""))</f>
        <v>SAMPLE-CMP-006_SAMPLE-O-007_later_2027-03-01.jpg</v>
      </c>
      <c r="AI48" s="31" t="n">
        <f aca="false">IF($A48="","",IFERROR(1/(1/SUMPRODUCT(MAX((photos!$B$2:$B$701=$A48)*(photos!$C$2:$C$701=$B48)*(photos!$D$2:$D$701="later")*(photos!$O$2:$O$701="Y")*photos!$E$2:$E$701))),""))</f>
        <v>46447</v>
      </c>
      <c r="AJ48" s="30" t="n">
        <f aca="false">IF(OR($A48="",$AI48="",$I48=""),"",NETWORKDAYS($I48,$AI48,calendar!$A$2:$A$80))</f>
        <v>5</v>
      </c>
      <c r="AK48" s="30" t="str">
        <f aca="false">IF($A48="","",IF(AND($X48&lt;&gt;"",$AH48&lt;&gt;""),"Y","N"))</f>
        <v>Y</v>
      </c>
      <c r="AL48" s="30" t="n">
        <f aca="true">IF(OR($A48="",$I48=""),"",IF($BC48="Y",SUMIFS(survey_frozen!$C$2:$C$251,survey_frozen!$P$2:$P$251,$A48&amp;"|"&amp;$B48),IFERROR(COUNTIFS(INDIRECT("'"&amp;$A48&amp;"'!$B$2:$B$501"),$T48,INDIRECT("'"&amp;$A48&amp;"'!$A$2:$A$501"),"&gt;="&amp;$I48,INDIRECT("'"&amp;$A48&amp;"'!$A$2:$A$501"),"&lt;"&amp;($BA48+1)),0)))</f>
        <v>6</v>
      </c>
      <c r="AM48" s="30" t="n">
        <f aca="true">IF(OR($A48="",$I48=""),"",IF($BC48="Y",SUMIFS(survey_frozen!$D$2:$D$251,survey_frozen!$P$2:$P$251,$A48&amp;"|"&amp;$B48),IFERROR(COUNTIFS(INDIRECT("'"&amp;$A48&amp;"'!$B$2:$B$501"),$T48,INDIRECT("'"&amp;$A48&amp;"'!$A$2:$A$501"),"&gt;="&amp;$I48,INDIRECT("'"&amp;$A48&amp;"'!$A$2:$A$501"),"&lt;"&amp;($BA48+1),INDIRECT("'"&amp;$A48&amp;"'!$C$2:$C$501"),"Yes"),0)))</f>
        <v>4</v>
      </c>
      <c r="AN48" s="30" t="n">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12</v>
      </c>
      <c r="AO48" s="30" t="n">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5</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1</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4</v>
      </c>
      <c r="AU48" s="30" t="n">
        <f aca="true">IF(OR($A48="",$I48=""),"",IF($BC48="Y",SUMIFS(survey_frozen!$I$2:$I$251,survey_frozen!$P$2:$P$251,$A48&amp;"|"&amp;$B48),IFERROR(SUMIFS(INDIRECT("'"&amp;$A48&amp;"'!$D$2:$D$501"),INDIRECT("'"&amp;$A48&amp;"'!$B$2:$B$501"),$T48,INDIRECT("'"&amp;$A48&amp;"'!$A$2:$A$501"),"&gt;="&amp;$I48,INDIRECT("'"&amp;$A48&amp;"'!$A$2:$A$501"),"&lt;"&amp;($BA48+1)),0)))</f>
        <v>17</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2</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3</v>
      </c>
      <c r="AZ48" s="30" t="str">
        <f aca="false">IF($A48="","",$A48&amp;"|"&amp;$L48)</f>
        <v>SAMPLE-CMP-006|6</v>
      </c>
      <c r="BA48" s="31" t="n">
        <f aca="false">IF($A48="","",IFERROR(IF(INDEX(drops!$R$2:$R$21,MATCH($H48,drops!$A$2:$A$21,0))="","",INDEX(drops!$R$2:$R$21,MATCH($H48,drops!$A$2:$A$21,0))),""))</f>
        <v>46447</v>
      </c>
      <c r="BB48" s="30" t="n">
        <f aca="false">IF(OR($A48="",$Q48&lt;&gt;"Y"),1000000,N($AL48))</f>
        <v>6</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563</v>
      </c>
      <c r="B49" s="0" t="s">
        <v>694</v>
      </c>
      <c r="C49" s="11" t="n">
        <v>46412</v>
      </c>
      <c r="D49" s="10" t="s">
        <v>496</v>
      </c>
      <c r="E49" s="11" t="n">
        <v>46414</v>
      </c>
      <c r="F49" s="10" t="s">
        <v>737</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n">
        <f aca="false">IF($A49="","",IF(COUNTIFS(counts!$C$2:$C$701,$A49,counts!$D$2:$D$701,$B49,counts!$E$2:$E$701,"remaining_day3")=0,"",SUMIFS(counts!$F$2:$F$701,counts!$C$2:$C$701,$A49,counts!$D$2:$D$701,$B49,counts!$E$2:$E$701,"remaining_day3")))</f>
        <v>17</v>
      </c>
      <c r="AF49" s="30" t="n">
        <f aca="false">IF($A49="","",IF(COUNTIFS(counts!$C$2:$C$701,$A49,counts!$D$2:$D$701,$B49,counts!$E$2:$E$701,"remaining_day5")=0,"",SUMIFS(counts!$F$2:$F$701,counts!$C$2:$C$701,$A49,counts!$D$2:$D$701,$B49,counts!$E$2:$E$701,"remaining_day5")))</f>
        <v>2</v>
      </c>
      <c r="AG49" s="30" t="n">
        <f aca="false">IF(OR($A49="",$AF49=""),"",MAX(0,$AA49+$AD49-$AF49))</f>
        <v>38</v>
      </c>
      <c r="AH49" s="30" t="str">
        <f aca="false">IF(OR($A49="",$AI49=""),"",IFERROR(IF(INDEX(photos!$H$2:$H$701,MATCH($A49&amp;"|"&amp;$B49&amp;"|later|Y|"&amp;$AI49,photos!$S$2:$S$701,0))="","",INDEX(photos!$H$2:$H$701,MATCH($A49&amp;"|"&amp;$B49&amp;"|later|Y|"&amp;$AI49,photos!$S$2:$S$701,0))),""))</f>
        <v>SAMPLE-CMP-006_SAMPLE-O-008_later_2027-03-01.jpg</v>
      </c>
      <c r="AI49" s="31" t="n">
        <f aca="false">IF($A49="","",IFERROR(1/(1/SUMPRODUCT(MAX((photos!$B$2:$B$701=$A49)*(photos!$C$2:$C$701=$B49)*(photos!$D$2:$D$701="later")*(photos!$O$2:$O$701="Y")*photos!$E$2:$E$701))),""))</f>
        <v>46447</v>
      </c>
      <c r="AJ49" s="30" t="n">
        <f aca="false">IF(OR($A49="",$AI49="",$I49=""),"",NETWORKDAYS($I49,$AI49,calendar!$A$2:$A$80))</f>
        <v>5</v>
      </c>
      <c r="AK49" s="30" t="str">
        <f aca="false">IF($A49="","",IF(AND($X49&lt;&gt;"",$AH49&lt;&gt;""),"Y","N"))</f>
        <v>Y</v>
      </c>
      <c r="AL49" s="30" t="n">
        <f aca="true">IF(OR($A49="",$I49=""),"",IF($BC49="Y",SUMIFS(survey_frozen!$C$2:$C$251,survey_frozen!$P$2:$P$251,$A49&amp;"|"&amp;$B49),IFERROR(COUNTIFS(INDIRECT("'"&amp;$A49&amp;"'!$B$2:$B$501"),$T49,INDIRECT("'"&amp;$A49&amp;"'!$A$2:$A$501"),"&gt;="&amp;$I49,INDIRECT("'"&amp;$A49&amp;"'!$A$2:$A$501"),"&lt;"&amp;($BA49+1)),0)))</f>
        <v>8</v>
      </c>
      <c r="AM49" s="30" t="n">
        <f aca="true">IF(OR($A49="",$I49=""),"",IF($BC49="Y",SUMIFS(survey_frozen!$D$2:$D$251,survey_frozen!$P$2:$P$251,$A49&amp;"|"&amp;$B49),IFERROR(COUNTIFS(INDIRECT("'"&amp;$A49&amp;"'!$B$2:$B$501"),$T49,INDIRECT("'"&amp;$A49&amp;"'!$A$2:$A$501"),"&gt;="&amp;$I49,INDIRECT("'"&amp;$A49&amp;"'!$A$2:$A$501"),"&lt;"&amp;($BA49+1),INDIRECT("'"&amp;$A49&amp;"'!$C$2:$C$501"),"Yes"),0)))</f>
        <v>4</v>
      </c>
      <c r="AN49" s="30" t="n">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4</v>
      </c>
      <c r="AO49" s="30" t="n">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7</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3</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4</v>
      </c>
      <c r="AU49" s="30" t="n">
        <f aca="true">IF(OR($A49="",$I49=""),"",IF($BC49="Y",SUMIFS(survey_frozen!$I$2:$I$251,survey_frozen!$P$2:$P$251,$A49&amp;"|"&amp;$B49),IFERROR(SUMIFS(INDIRECT("'"&amp;$A49&amp;"'!$D$2:$D$501"),INDIRECT("'"&amp;$A49&amp;"'!$B$2:$B$501"),$T49,INDIRECT("'"&amp;$A49&amp;"'!$A$2:$A$501"),"&gt;="&amp;$I49,INDIRECT("'"&amp;$A49&amp;"'!$A$2:$A$501"),"&lt;"&amp;($BA49+1)),0)))</f>
        <v>17</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2</v>
      </c>
      <c r="AX49" s="30" t="n">
        <f aca="true">IF(OR($A49="",$I49=""),"",IF($BC49="Y",SUMIFS(survey_frozen!$L$2:$L$251,survey_frozen!$P$2:$P$251,$A49&amp;"|"&amp;$B49),IFERROR(COUNTIFS(INDIRECT("'"&amp;$A49&amp;"'!$B$2:$B$501"),$T49,INDIRECT("'"&amp;$A49&amp;"'!$A$2:$A$501"),"&gt;="&amp;$I49,INDIRECT("'"&amp;$A49&amp;"'!$A$2:$A$501"),"&lt;"&amp;($BA49+1),INDIRECT("'"&amp;$A49&amp;"'!$E$2:$E$501"),"No"),0)))</f>
        <v>1</v>
      </c>
      <c r="AY49" s="30" t="n">
        <f aca="true">IF(OR($A49="",$I49=""),"",IF($BC49="Y",SUMIFS(survey_frozen!$M$2:$M$251,survey_frozen!$P$2:$P$251,$A49&amp;"|"&amp;$B49),IFERROR(COUNTIFS(INDIRECT("'"&amp;$A49&amp;"'!$B$2:$B$501"),$T49,INDIRECT("'"&amp;$A49&amp;"'!$A$2:$A$501"),"&gt;="&amp;$I49,INDIRECT("'"&amp;$A49&amp;"'!$A$2:$A$501"),"&lt;"&amp;($BA49+1),INDIRECT("'"&amp;$A49&amp;"'!$G$2:$G$501"),"&lt;&gt;"),0)))</f>
        <v>3</v>
      </c>
      <c r="AZ49" s="30" t="str">
        <f aca="false">IF($A49="","",$A49&amp;"|"&amp;$L49)</f>
        <v>SAMPLE-CMP-006|7</v>
      </c>
      <c r="BA49" s="31" t="n">
        <f aca="false">IF($A49="","",IFERROR(IF(INDEX(drops!$R$2:$R$21,MATCH($H49,drops!$A$2:$A$21,0))="","",INDEX(drops!$R$2:$R$21,MATCH($H49,drops!$A$2:$A$21,0))),""))</f>
        <v>46447</v>
      </c>
      <c r="BB49" s="30" t="n">
        <f aca="false">IF(OR($A49="",$Q49&lt;&gt;"Y"),1000000,N($AL49))</f>
        <v>8</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563</v>
      </c>
      <c r="B50" s="0" t="s">
        <v>696</v>
      </c>
      <c r="C50" s="11" t="n">
        <v>46412</v>
      </c>
      <c r="D50" s="10" t="s">
        <v>496</v>
      </c>
      <c r="E50" s="11" t="n">
        <v>46414</v>
      </c>
      <c r="F50" s="10" t="s">
        <v>737</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6</v>
      </c>
      <c r="AE50" s="30" t="n">
        <f aca="false">IF($A50="","",IF(COUNTIFS(counts!$C$2:$C$701,$A50,counts!$D$2:$D$701,$B50,counts!$E$2:$E$701,"remaining_day3")=0,"",SUMIFS(counts!$F$2:$F$701,counts!$C$2:$C$701,$A50,counts!$D$2:$D$701,$B50,counts!$E$2:$E$701,"remaining_day3")))</f>
        <v>21</v>
      </c>
      <c r="AF50" s="30" t="n">
        <f aca="false">IF($A50="","",IF(COUNTIFS(counts!$C$2:$C$701,$A50,counts!$D$2:$D$701,$B50,counts!$E$2:$E$701,"remaining_day5")=0,"",SUMIFS(counts!$F$2:$F$701,counts!$C$2:$C$701,$A50,counts!$D$2:$D$701,$B50,counts!$E$2:$E$701,"remaining_day5")))</f>
        <v>3</v>
      </c>
      <c r="AG50" s="30" t="n">
        <f aca="false">IF(OR($A50="",$AF50=""),"",MAX(0,$AA50+$AD50-$AF50))</f>
        <v>73</v>
      </c>
      <c r="AH50" s="30" t="str">
        <f aca="false">IF(OR($A50="",$AI50=""),"",IFERROR(IF(INDEX(photos!$H$2:$H$701,MATCH($A50&amp;"|"&amp;$B50&amp;"|later|Y|"&amp;$AI50,photos!$S$2:$S$701,0))="","",INDEX(photos!$H$2:$H$701,MATCH($A50&amp;"|"&amp;$B50&amp;"|later|Y|"&amp;$AI50,photos!$S$2:$S$701,0))),""))</f>
        <v>SAMPLE-CMP-006_SAMPLE-O-009_later_2027-03-01.jpg</v>
      </c>
      <c r="AI50" s="31" t="n">
        <f aca="false">IF($A50="","",IFERROR(1/(1/SUMPRODUCT(MAX((photos!$B$2:$B$701=$A50)*(photos!$C$2:$C$701=$B50)*(photos!$D$2:$D$701="later")*(photos!$O$2:$O$701="Y")*photos!$E$2:$E$701))),""))</f>
        <v>46447</v>
      </c>
      <c r="AJ50" s="30" t="n">
        <f aca="false">IF(OR($A50="",$AI50="",$I50=""),"",NETWORKDAYS($I50,$AI50,calendar!$A$2:$A$80))</f>
        <v>5</v>
      </c>
      <c r="AK50" s="30" t="str">
        <f aca="false">IF($A50="","",IF(AND($X50&lt;&gt;"",$AH50&lt;&gt;""),"Y","N"))</f>
        <v>Y</v>
      </c>
      <c r="AL50" s="30" t="n">
        <f aca="true">IF(OR($A50="",$I50=""),"",IF($BC50="Y",SUMIFS(survey_frozen!$C$2:$C$251,survey_frozen!$P$2:$P$251,$A50&amp;"|"&amp;$B50),IFERROR(COUNTIFS(INDIRECT("'"&amp;$A50&amp;"'!$B$2:$B$501"),$T50,INDIRECT("'"&amp;$A50&amp;"'!$A$2:$A$501"),"&gt;="&amp;$I50,INDIRECT("'"&amp;$A50&amp;"'!$A$2:$A$501"),"&lt;"&amp;($BA50+1)),0)))</f>
        <v>5</v>
      </c>
      <c r="AM50" s="30" t="n">
        <f aca="true">IF(OR($A50="",$I50=""),"",IF($BC50="Y",SUMIFS(survey_frozen!$D$2:$D$251,survey_frozen!$P$2:$P$251,$A50&amp;"|"&amp;$B50),IFERROR(COUNTIFS(INDIRECT("'"&amp;$A50&amp;"'!$B$2:$B$501"),$T50,INDIRECT("'"&amp;$A50&amp;"'!$A$2:$A$501"),"&gt;="&amp;$I50,INDIRECT("'"&amp;$A50&amp;"'!$A$2:$A$501"),"&lt;"&amp;($BA50+1),INDIRECT("'"&amp;$A50&amp;"'!$C$2:$C$501"),"Yes"),0)))</f>
        <v>4</v>
      </c>
      <c r="AN50" s="30" t="n">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6</v>
      </c>
      <c r="AO50" s="30" t="n">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9</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1</v>
      </c>
      <c r="AT50" s="30" t="n">
        <f aca="true">IF(OR($A50="",$I50=""),"",IF($BC50="Y",SUMIFS(survey_frozen!$H$2:$H$251,survey_frozen!$P$2:$P$251,$A50&amp;"|"&amp;$B50),IFERROR(COUNTIFS(INDIRECT("'"&amp;$A50&amp;"'!$B$2:$B$501"),$T50,INDIRECT("'"&amp;$A50&amp;"'!$A$2:$A$501"),"&gt;="&amp;$I50,INDIRECT("'"&amp;$A50&amp;"'!$A$2:$A$501"),"&lt;"&amp;($BA50+1),INDIRECT("'"&amp;$A50&amp;"'!$D$2:$D$501"),"&gt;=1"),0)))</f>
        <v>4</v>
      </c>
      <c r="AU50" s="30" t="n">
        <f aca="true">IF(OR($A50="",$I50=""),"",IF($BC50="Y",SUMIFS(survey_frozen!$I$2:$I$251,survey_frozen!$P$2:$P$251,$A50&amp;"|"&amp;$B50),IFERROR(SUMIFS(INDIRECT("'"&amp;$A50&amp;"'!$D$2:$D$501"),INDIRECT("'"&amp;$A50&amp;"'!$B$2:$B$501"),$T50,INDIRECT("'"&amp;$A50&amp;"'!$A$2:$A$501"),"&gt;="&amp;$I50,INDIRECT("'"&amp;$A50&amp;"'!$A$2:$A$501"),"&lt;"&amp;($BA50+1)),0)))</f>
        <v>18</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2</v>
      </c>
      <c r="AX50" s="30" t="n">
        <f aca="true">IF(OR($A50="",$I50=""),"",IF($BC50="Y",SUMIFS(survey_frozen!$L$2:$L$251,survey_frozen!$P$2:$P$251,$A50&amp;"|"&amp;$B50),IFERROR(COUNTIFS(INDIRECT("'"&amp;$A50&amp;"'!$B$2:$B$501"),$T50,INDIRECT("'"&amp;$A50&amp;"'!$A$2:$A$501"),"&gt;="&amp;$I50,INDIRECT("'"&amp;$A50&amp;"'!$A$2:$A$501"),"&lt;"&amp;($BA50+1),INDIRECT("'"&amp;$A50&amp;"'!$E$2:$E$501"),"No"),0)))</f>
        <v>2</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5</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563</v>
      </c>
      <c r="B51" s="0" t="s">
        <v>698</v>
      </c>
      <c r="C51" s="11" t="n">
        <v>46412</v>
      </c>
      <c r="D51" s="10" t="s">
        <v>496</v>
      </c>
      <c r="E51" s="11" t="n">
        <v>46414</v>
      </c>
      <c r="F51" s="10" t="s">
        <v>737</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n">
        <f aca="false">IF($A51="","",IF(COUNTIFS(counts!$C$2:$C$701,$A51,counts!$D$2:$D$701,$B51,counts!$E$2:$E$701,"remaining_day3")=0,"",SUMIFS(counts!$F$2:$F$701,counts!$C$2:$C$701,$A51,counts!$D$2:$D$701,$B51,counts!$E$2:$E$701,"remaining_day3")))</f>
        <v>14</v>
      </c>
      <c r="AF51" s="30" t="n">
        <f aca="false">IF($A51="","",IF(COUNTIFS(counts!$C$2:$C$701,$A51,counts!$D$2:$D$701,$B51,counts!$E$2:$E$701,"remaining_day5")=0,"",SUMIFS(counts!$F$2:$F$701,counts!$C$2:$C$701,$A51,counts!$D$2:$D$701,$B51,counts!$E$2:$E$701,"remaining_day5")))</f>
        <v>3</v>
      </c>
      <c r="AG51" s="30" t="n">
        <f aca="false">IF(OR($A51="",$AF51=""),"",MAX(0,$AA51+$AD51-$AF51))</f>
        <v>32</v>
      </c>
      <c r="AH51" s="30" t="str">
        <f aca="false">IF(OR($A51="",$AI51=""),"",IFERROR(IF(INDEX(photos!$H$2:$H$701,MATCH($A51&amp;"|"&amp;$B51&amp;"|later|Y|"&amp;$AI51,photos!$S$2:$S$701,0))="","",INDEX(photos!$H$2:$H$701,MATCH($A51&amp;"|"&amp;$B51&amp;"|later|Y|"&amp;$AI51,photos!$S$2:$S$701,0))),""))</f>
        <v>SAMPLE-CMP-006_SAMPLE-O-010_later_2027-03-01.jpg</v>
      </c>
      <c r="AI51" s="31" t="n">
        <f aca="false">IF($A51="","",IFERROR(1/(1/SUMPRODUCT(MAX((photos!$B$2:$B$701=$A51)*(photos!$C$2:$C$701=$B51)*(photos!$D$2:$D$701="later")*(photos!$O$2:$O$701="Y")*photos!$E$2:$E$701))),""))</f>
        <v>46447</v>
      </c>
      <c r="AJ51" s="30" t="n">
        <f aca="false">IF(OR($A51="",$AI51="",$I51=""),"",NETWORKDAYS($I51,$AI51,calendar!$A$2:$A$80))</f>
        <v>5</v>
      </c>
      <c r="AK51" s="30" t="str">
        <f aca="false">IF($A51="","",IF(AND($X51&lt;&gt;"",$AH51&lt;&gt;""),"Y","N"))</f>
        <v>Y</v>
      </c>
      <c r="AL51" s="30" t="n">
        <f aca="true">IF(OR($A51="",$I51=""),"",IF($BC51="Y",SUMIFS(survey_frozen!$C$2:$C$251,survey_frozen!$P$2:$P$251,$A51&amp;"|"&amp;$B51),IFERROR(COUNTIFS(INDIRECT("'"&amp;$A51&amp;"'!$B$2:$B$501"),$T51,INDIRECT("'"&amp;$A51&amp;"'!$A$2:$A$501"),"&gt;="&amp;$I51,INDIRECT("'"&amp;$A51&amp;"'!$A$2:$A$501"),"&lt;"&amp;($BA51+1)),0)))</f>
        <v>8</v>
      </c>
      <c r="AM51" s="30" t="n">
        <f aca="true">IF(OR($A51="",$I51=""),"",IF($BC51="Y",SUMIFS(survey_frozen!$D$2:$D$251,survey_frozen!$P$2:$P$251,$A51&amp;"|"&amp;$B51),IFERROR(COUNTIFS(INDIRECT("'"&amp;$A51&amp;"'!$B$2:$B$501"),$T51,INDIRECT("'"&amp;$A51&amp;"'!$A$2:$A$501"),"&gt;="&amp;$I51,INDIRECT("'"&amp;$A51&amp;"'!$A$2:$A$501"),"&lt;"&amp;($BA51+1),INDIRECT("'"&amp;$A51&amp;"'!$C$2:$C$501"),"Yes"),0)))</f>
        <v>7</v>
      </c>
      <c r="AN51" s="30" t="n">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9</v>
      </c>
      <c r="AO51" s="30" t="n">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12</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7</v>
      </c>
      <c r="AU51" s="30" t="n">
        <f aca="true">IF(OR($A51="",$I51=""),"",IF($BC51="Y",SUMIFS(survey_frozen!$I$2:$I$251,survey_frozen!$P$2:$P$251,$A51&amp;"|"&amp;$B51),IFERROR(SUMIFS(INDIRECT("'"&amp;$A51&amp;"'!$D$2:$D$501"),INDIRECT("'"&amp;$A51&amp;"'!$B$2:$B$501"),$T51,INDIRECT("'"&amp;$A51&amp;"'!$A$2:$A$501"),"&gt;="&amp;$I51,INDIRECT("'"&amp;$A51&amp;"'!$A$2:$A$501"),"&lt;"&amp;($BA51+1)),0)))</f>
        <v>31</v>
      </c>
      <c r="AV51" s="30" t="n">
        <f aca="true">IF(OR($A51="",$I51=""),"",IF($BC51="Y",SUMIFS(survey_frozen!$J$2:$J$251,survey_frozen!$P$2:$P$251,$A51&amp;"|"&amp;$B51),IFERROR(COUNTIFS(INDIRECT("'"&amp;$A51&amp;"'!$B$2:$B$501"),$T51,INDIRECT("'"&amp;$A51&amp;"'!$A$2:$A$501"),"&gt;="&amp;$I51,INDIRECT("'"&amp;$A51&amp;"'!$A$2:$A$501"),"&lt;"&amp;($BA51+1),INDIRECT("'"&amp;$A51&amp;"'!$E$2:$E$501"),"Yes"),0)))</f>
        <v>1</v>
      </c>
      <c r="AW51" s="30" t="n">
        <f aca="true">IF(OR($A51="",$I51=""),"",IF($BC51="Y",SUMIFS(survey_frozen!$K$2:$K$251,survey_frozen!$P$2:$P$251,$A51&amp;"|"&amp;$B51),IFERROR(COUNTIFS(INDIRECT("'"&amp;$A51&amp;"'!$B$2:$B$501"),$T51,INDIRECT("'"&amp;$A51&amp;"'!$A$2:$A$501"),"&gt;="&amp;$I51,INDIRECT("'"&amp;$A51&amp;"'!$A$2:$A$501"),"&lt;"&amp;($BA51+1),INDIRECT("'"&amp;$A51&amp;"'!$E$2:$E$501"),"Maybe"),0)))</f>
        <v>4</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4</v>
      </c>
      <c r="AZ51" s="30" t="str">
        <f aca="false">IF($A51="","",$A51&amp;"|"&amp;$L51)</f>
        <v>SAMPLE-CMP-006|9</v>
      </c>
      <c r="BA51" s="31" t="n">
        <f aca="false">IF($A51="","",IFERROR(IF(INDEX(drops!$R$2:$R$21,MATCH($H51,drops!$A$2:$A$21,0))="","",INDEX(drops!$R$2:$R$21,MATCH($H51,drops!$A$2:$A$21,0))),""))</f>
        <v>46447</v>
      </c>
      <c r="BB51" s="30" t="n">
        <f aca="false">IF(OR($A51="",$Q51&lt;&gt;"Y"),1000000,N($AL51))</f>
        <v>8</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A52" s="0" t="s">
        <v>576</v>
      </c>
      <c r="B52" s="0" t="s">
        <v>678</v>
      </c>
      <c r="C52" s="11" t="n">
        <v>46442</v>
      </c>
      <c r="D52" s="10"/>
      <c r="E52" s="11"/>
      <c r="H52" s="30" t="str">
        <f aca="false">IF($A52="","",IFERROR(IF(INDEX(campaigns!$B$2:$B$51,MATCH($A52,campaigns!$A$2:$A$51,0))="","",INDEX(campaigns!$B$2:$B$51,MATCH($A52,campaigns!$A$2:$A$51,0))),""))</f>
        <v>SAMPLE-DRP-004</v>
      </c>
      <c r="I52" s="31" t="n">
        <f aca="false">IF($A52="","",IFERROR(IF(INDEX(campaigns!$BG$2:$BG$51,MATCH($A52,campaigns!$A$2:$A$51,0))="","",INDEX(campaigns!$BG$2:$BG$51,MATCH($A52,campaigns!$A$2:$A$51,0))),""))</f>
        <v>46469</v>
      </c>
      <c r="J52" s="30" t="str">
        <f aca="false">IF($A52="","",IFERROR(IF(INDEX(campaigns!$BE$2:$BE$51,MATCH($A52,campaigns!$A$2:$A$51,0))="","",INDEX(campaigns!$BE$2:$BE$51,MATCH($A52,campaigns!$A$2:$A$51,0))),""))</f>
        <v>SAMPLE Brightside</v>
      </c>
      <c r="K52" s="30" t="str">
        <f aca="false">IF($B52="","",IFERROR(IF(INDEX(offices!$O$2:$O$61,MATCH($B52,offices!$A$2:$A$61,0))="","",INDEX(offices!$O$2:$O$61,MATCH($B52,offices!$A$2:$A$61,0))),""))</f>
        <v>SAMPLE Northpoint Software</v>
      </c>
      <c r="L52" s="30" t="n">
        <f aca="false">IF($A52="","",IF($Q52="N","",COUNTIFS($A$2:$A52,$A52,$Q$2:$Q52,"&lt;&gt;N")))</f>
        <v>1</v>
      </c>
      <c r="M52" s="30" t="str">
        <f aca="false">IF(OR($A52="",$L52=""),"",IF(AND(config!$B$34="names_if_public",IFERROR(IF(INDEX(offices!$AG$2:$AG$61,MATCH($B52,offices!$A$2:$A$61,0))="","",INDEX(offices!$AG$2:$AG$61,MATCH($B52,offices!$A$2:$A$61,0))),"")="Y"),$K52,CHAR(64+$L52)))</f>
        <v>A</v>
      </c>
      <c r="N52" s="30" t="n">
        <f aca="false">IF(OR($A52="",$I52=""),"",COUNTIFS(stops!$B$2:$B$151,$B52,stops!$P$2:$P$151,"&lt;"&amp;$I52,stops!$L$2:$L$151,"&lt;&gt;not_delivered")+1)</f>
        <v>4</v>
      </c>
      <c r="O52" s="30" t="str">
        <f aca="false">IF($A52="","",IF(N($N52)&lt;=config!$B$29,"explicit","opt-out"))</f>
        <v>opt-out</v>
      </c>
      <c r="P52" s="30" t="str">
        <f aca="false">IF($A52="","",IF($O52="explicit",IF($D52="yes","Y",IF($D52="no","N","pending")),IF($D52="no","N",IF(AND($C52&lt;&gt;"",$I52&lt;&gt;"",$C52&lt;=WORKDAY(N($I52),-5,calendar!$A$2:$A$80)),"Y","pending"))))</f>
        <v>Y</v>
      </c>
      <c r="Q52" s="30" t="str">
        <f aca="false">IF($A52="","",IF($P52="N","N",IF($P52&lt;&gt;"Y","pending",IF(AND((COUNTIFS(stops!$A$2:$A$151,$H52,stops!$B$2:$B$151,$B52,stops!$L$2:$L$151,"declined")+COUNTIFS(stops!$A$2:$A$151,$H52,stops!$B$2:$B$151,$B52,stops!$L$2:$L$151,"building_refused")+COUNTIFS(stops!$A$2:$A$151,$H52,stops!$B$2:$B$151,$B52,stops!$L$2:$L$151,"not_delivered"))&gt;0,N($U52)=0),"N","Y"))))</f>
        <v>Y</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n">
        <f aca="false">IF($A52="","",IF($G52&lt;&gt;"",$G52,IFERROR(IF(INDEX(offices!$AM$2:$AM$61,MATCH($B52,offices!$A$2:$A$61,0))="","",INDEX(offices!$AM$2:$AM$61,MATCH($B52,offices!$A$2:$A$61,0))),"")))</f>
        <v>40</v>
      </c>
      <c r="T52" s="30" t="str">
        <f aca="false">IF($A52="","",$A52&amp;"."&amp;$B52)</f>
        <v>SAMPLE-CMP-007.SAMPLE-O-001</v>
      </c>
      <c r="U52" s="30" t="n">
        <f aca="false">IF($A52="","",SUMIFS(inventory!$G$2:$G$801,inventory!$C$2:$C$801,$A52,inventory!$D$2:$D$801,$B52,inventory!$E$2:$E$801,"delivered"))</f>
        <v>40</v>
      </c>
      <c r="V52" s="37" t="n">
        <f aca="false">IF($A52="","",IFERROR(1/(1/SUMPRODUCT(MAX((inventory!$C$2:$C$801=$A52)*(inventory!$D$2:$D$801=$B52)*(inventory!$E$2:$E$801="delivered")*(inventory!$A$2:$A$801+inventory!$B$2:$B$801)))),""))</f>
        <v>46469.4243055556</v>
      </c>
      <c r="W52" s="30" t="str">
        <f aca="false">IF($A52="","",IFERROR(IF(INDEX(inventory!$J$2:$J$801,MATCH($A52&amp;"|"&amp;$B52&amp;"|delivered",inventory!$R$2:$R$801,0))="","",INDEX(inventory!$J$2:$J$801,MATCH($A52&amp;"|"&amp;$B52&amp;"|delivered",inventory!$R$2:$R$801,0))),""))</f>
        <v>office_count</v>
      </c>
      <c r="X52" s="30" t="str">
        <f aca="false">IF($A52="","",IFERROR(IF(INDEX(photos!$H$2:$H$701,MATCH($A52&amp;"|"&amp;$B52&amp;"|placement|Y",photos!$R$2:$R$701,0))="","",INDEX(photos!$H$2:$H$701,MATCH($A52&amp;"|"&amp;$B52&amp;"|placement|Y",photos!$R$2:$R$701,0))),""))</f>
        <v>SAMPLE-CMP-007_SAMPLE-O-001_placement_2027-03-23.jpg</v>
      </c>
      <c r="Y52" s="31" t="n">
        <f aca="false">IF($A52="","",IFERROR(IF(INDEX(photos!$E$2:$E$701,MATCH($A52&amp;"|"&amp;$B52&amp;"|placement|Y",photos!$R$2:$R$701,0))="","",INDEX(photos!$E$2:$E$701,MATCH($A52&amp;"|"&amp;$B52&amp;"|placement|Y",photos!$R$2:$R$701,0))),""))</f>
        <v>46469</v>
      </c>
      <c r="Z52" s="30" t="n">
        <f aca="false">IF($A52="","",IF(COUNTIFS(counts!$C$2:$C$701,$A52,counts!$D$2:$D$701,$B52,counts!$E$2:$E$701,"placed")=0,"",SUMIFS(counts!$F$2:$F$701,counts!$C$2:$C$701,$A52,counts!$D$2:$D$701,$B52,counts!$E$2:$E$701,"placed")))</f>
        <v>40</v>
      </c>
      <c r="AA52" s="30" t="n">
        <f aca="false">IF($A52="","",IF($Y52="",0,N($Z52)))</f>
        <v>40</v>
      </c>
      <c r="AB52" s="30" t="str">
        <f aca="false">IF($A52="","",IF(OR($Y52="",$I52=""),"N",IF($Y52&lt;=WORKDAY(N($I52),1,calendar!$A$2:$A$80),"Y","N")))</f>
        <v>Y</v>
      </c>
      <c r="AC52" s="33" t="n">
        <f aca="false">IF(OR($A52="",$V52="",$Y52=""),"",ROUND(($Y52+N(IFERROR(IF(INDEX(photos!$F$2:$F$701,MATCH($A52&amp;"|"&amp;$B52&amp;"|placement|Y",photos!$R$2:$R$701,0))="","",INDEX(photos!$F$2:$F$701,MATCH($A52&amp;"|"&amp;$B52&amp;"|placement|Y",photos!$R$2:$R$701,0))),""))-$V52)*24,1))</f>
        <v>2.8</v>
      </c>
      <c r="AD52" s="30" t="n">
        <f aca="false">IF($A52="","",SUMIFS(inventory!$G$2:$G$801,inventory!$C$2:$C$801,$A52,inventory!$D$2:$D$801,$B52,inventory!$E$2:$E$801,"topped_up"))</f>
        <v>0</v>
      </c>
      <c r="AE52" s="30" t="n">
        <f aca="false">IF($A52="","",IF(COUNTIFS(counts!$C$2:$C$701,$A52,counts!$D$2:$D$701,$B52,counts!$E$2:$E$701,"remaining_day3")=0,"",SUMIFS(counts!$F$2:$F$701,counts!$C$2:$C$701,$A52,counts!$D$2:$D$701,$B52,counts!$E$2:$E$701,"remaining_day3")))</f>
        <v>13</v>
      </c>
      <c r="AF52" s="30" t="n">
        <f aca="false">IF($A52="","",IF(COUNTIFS(counts!$C$2:$C$701,$A52,counts!$D$2:$D$701,$B52,counts!$E$2:$E$701,"remaining_day5")=0,"",SUMIFS(counts!$F$2:$F$701,counts!$C$2:$C$701,$A52,counts!$D$2:$D$701,$B52,counts!$E$2:$E$701,"remaining_day5")))</f>
        <v>3</v>
      </c>
      <c r="AG52" s="30" t="n">
        <f aca="false">IF(OR($A52="",$AF52=""),"",MAX(0,$AA52+$AD52-$AF52))</f>
        <v>37</v>
      </c>
      <c r="AH52" s="30" t="str">
        <f aca="false">IF(OR($A52="",$AI52=""),"",IFERROR(IF(INDEX(photos!$H$2:$H$701,MATCH($A52&amp;"|"&amp;$B52&amp;"|later|Y|"&amp;$AI52,photos!$S$2:$S$701,0))="","",INDEX(photos!$H$2:$H$701,MATCH($A52&amp;"|"&amp;$B52&amp;"|later|Y|"&amp;$AI52,photos!$S$2:$S$701,0))),""))</f>
        <v>SAMPLE-CMP-007_SAMPLE-O-001_later_2027-03-29.jpg</v>
      </c>
      <c r="AI52" s="31" t="n">
        <f aca="false">IF($A52="","",IFERROR(1/(1/SUMPRODUCT(MAX((photos!$B$2:$B$701=$A52)*(photos!$C$2:$C$701=$B52)*(photos!$D$2:$D$701="later")*(photos!$O$2:$O$701="Y")*photos!$E$2:$E$701))),""))</f>
        <v>46475</v>
      </c>
      <c r="AJ52" s="30" t="n">
        <f aca="false">IF(OR($A52="",$AI52="",$I52=""),"",NETWORKDAYS($I52,$AI52,calendar!$A$2:$A$80))</f>
        <v>5</v>
      </c>
      <c r="AK52" s="30" t="str">
        <f aca="false">IF($A52="","",IF(AND($X52&lt;&gt;"",$AH52&lt;&gt;""),"Y","N"))</f>
        <v>Y</v>
      </c>
      <c r="AL52" s="30" t="n">
        <f aca="true">IF(OR($A52="",$I52=""),"",IF($BC52="Y",SUMIFS(survey_frozen!$C$2:$C$251,survey_frozen!$P$2:$P$251,$A52&amp;"|"&amp;$B52),IFERROR(COUNTIFS(INDIRECT("'"&amp;$A52&amp;"'!$B$2:$B$501"),$T52,INDIRECT("'"&amp;$A52&amp;"'!$A$2:$A$501"),"&gt;="&amp;$I52,INDIRECT("'"&amp;$A52&amp;"'!$A$2:$A$501"),"&lt;"&amp;($BA52+1)),0)))</f>
        <v>5</v>
      </c>
      <c r="AM52" s="30" t="n">
        <f aca="true">IF(OR($A52="",$I52=""),"",IF($BC52="Y",SUMIFS(survey_frozen!$D$2:$D$251,survey_frozen!$P$2:$P$251,$A52&amp;"|"&amp;$B52),IFERROR(COUNTIFS(INDIRECT("'"&amp;$A52&amp;"'!$B$2:$B$501"),$T52,INDIRECT("'"&amp;$A52&amp;"'!$A$2:$A$501"),"&gt;="&amp;$I52,INDIRECT("'"&amp;$A52&amp;"'!$A$2:$A$501"),"&lt;"&amp;($BA52+1),INDIRECT("'"&amp;$A52&amp;"'!$C$2:$C$501"),"Yes"),0)))</f>
        <v>5</v>
      </c>
      <c r="AN52" s="30" t="n">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6</v>
      </c>
      <c r="AO52" s="30" t="n">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9</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n">
        <f aca="true">IF(OR($A52="",$I52=""),"",IF($BC52="Y",SUMIFS(survey_frozen!$E$2:$E$251,survey_frozen!$P$2:$P$251,$A52&amp;"|"&amp;$B52),IFERROR(COUNTIFS(INDIRECT("'"&amp;$A52&amp;"'!$B$2:$B$501"),$T52,INDIRECT("'"&amp;$A52&amp;"'!$A$2:$A$501"),"&gt;="&amp;$I52,INDIRECT("'"&amp;$A52&amp;"'!$A$2:$A$501"),"&lt;"&amp;($BA52+1),INDIRECT("'"&amp;$A52&amp;"'!$F$2:$F$501"),"Didn't see it"),0)))</f>
        <v>0</v>
      </c>
      <c r="AR52" s="30" t="n">
        <f aca="true">IF(OR($A52="",$I52=""),"",IF($BC52="Y",SUMIFS(survey_frozen!$F$2:$F$251,survey_frozen!$P$2:$P$251,$A52&amp;"|"&amp;$B52),IFERROR(COUNTIFS(INDIRECT("'"&amp;$A52&amp;"'!$B$2:$B$501"),$T52,INDIRECT("'"&amp;$A52&amp;"'!$A$2:$A$501"),"&gt;="&amp;$I52,INDIRECT("'"&amp;$A52&amp;"'!$A$2:$A$501"),"&lt;"&amp;($BA52+1),INDIRECT("'"&amp;$A52&amp;"'!$F$2:$F$501"),"Not for me"),0)))</f>
        <v>0</v>
      </c>
      <c r="AS52" s="30" t="n">
        <f aca="true">IF(OR($A52="",$I52=""),"",IF($BC52="Y",SUMIFS(survey_frozen!$G$2:$G$251,survey_frozen!$P$2:$P$251,$A52&amp;"|"&amp;$B52),IFERROR(COUNTIFS(INDIRECT("'"&amp;$A52&amp;"'!$B$2:$B$501"),$T52,INDIRECT("'"&amp;$A52&amp;"'!$A$2:$A$501"),"&gt;="&amp;$I52,INDIRECT("'"&amp;$A52&amp;"'!$A$2:$A$501"),"&lt;"&amp;($BA52+1),INDIRECT("'"&amp;$A52&amp;"'!$F$2:$F$501"),"Gone by the time I looked"),0)))</f>
        <v>0</v>
      </c>
      <c r="AT52" s="30" t="n">
        <f aca="true">IF(OR($A52="",$I52=""),"",IF($BC52="Y",SUMIFS(survey_frozen!$H$2:$H$251,survey_frozen!$P$2:$P$251,$A52&amp;"|"&amp;$B52),IFERROR(COUNTIFS(INDIRECT("'"&amp;$A52&amp;"'!$B$2:$B$501"),$T52,INDIRECT("'"&amp;$A52&amp;"'!$A$2:$A$501"),"&gt;="&amp;$I52,INDIRECT("'"&amp;$A52&amp;"'!$A$2:$A$501"),"&lt;"&amp;($BA52+1),INDIRECT("'"&amp;$A52&amp;"'!$D$2:$D$501"),"&gt;=1"),0)))</f>
        <v>5</v>
      </c>
      <c r="AU52" s="30" t="n">
        <f aca="true">IF(OR($A52="",$I52=""),"",IF($BC52="Y",SUMIFS(survey_frozen!$I$2:$I$251,survey_frozen!$P$2:$P$251,$A52&amp;"|"&amp;$B52),IFERROR(SUMIFS(INDIRECT("'"&amp;$A52&amp;"'!$D$2:$D$501"),INDIRECT("'"&amp;$A52&amp;"'!$B$2:$B$501"),$T52,INDIRECT("'"&amp;$A52&amp;"'!$A$2:$A$501"),"&gt;="&amp;$I52,INDIRECT("'"&amp;$A52&amp;"'!$A$2:$A$501"),"&lt;"&amp;($BA52+1)),0)))</f>
        <v>20</v>
      </c>
      <c r="AV52" s="30" t="n">
        <f aca="true">IF(OR($A52="",$I52=""),"",IF($BC52="Y",SUMIFS(survey_frozen!$J$2:$J$251,survey_frozen!$P$2:$P$251,$A52&amp;"|"&amp;$B52),IFERROR(COUNTIFS(INDIRECT("'"&amp;$A52&amp;"'!$B$2:$B$501"),$T52,INDIRECT("'"&amp;$A52&amp;"'!$A$2:$A$501"),"&gt;="&amp;$I52,INDIRECT("'"&amp;$A52&amp;"'!$A$2:$A$501"),"&lt;"&amp;($BA52+1),INDIRECT("'"&amp;$A52&amp;"'!$E$2:$E$501"),"Yes"),0)))</f>
        <v>3</v>
      </c>
      <c r="AW52" s="30" t="n">
        <f aca="true">IF(OR($A52="",$I52=""),"",IF($BC52="Y",SUMIFS(survey_frozen!$K$2:$K$251,survey_frozen!$P$2:$P$251,$A52&amp;"|"&amp;$B52),IFERROR(COUNTIFS(INDIRECT("'"&amp;$A52&amp;"'!$B$2:$B$501"),$T52,INDIRECT("'"&amp;$A52&amp;"'!$A$2:$A$501"),"&gt;="&amp;$I52,INDIRECT("'"&amp;$A52&amp;"'!$A$2:$A$501"),"&lt;"&amp;($BA52+1),INDIRECT("'"&amp;$A52&amp;"'!$E$2:$E$501"),"Maybe"),0)))</f>
        <v>2</v>
      </c>
      <c r="AX52" s="30" t="n">
        <f aca="true">IF(OR($A52="",$I52=""),"",IF($BC52="Y",SUMIFS(survey_frozen!$L$2:$L$251,survey_frozen!$P$2:$P$251,$A52&amp;"|"&amp;$B52),IFERROR(COUNTIFS(INDIRECT("'"&amp;$A52&amp;"'!$B$2:$B$501"),$T52,INDIRECT("'"&amp;$A52&amp;"'!$A$2:$A$501"),"&gt;="&amp;$I52,INDIRECT("'"&amp;$A52&amp;"'!$A$2:$A$501"),"&lt;"&amp;($BA52+1),INDIRECT("'"&amp;$A52&amp;"'!$E$2:$E$501"),"No"),0)))</f>
        <v>0</v>
      </c>
      <c r="AY52" s="30" t="n">
        <f aca="true">IF(OR($A52="",$I52=""),"",IF($BC52="Y",SUMIFS(survey_frozen!$M$2:$M$251,survey_frozen!$P$2:$P$251,$A52&amp;"|"&amp;$B52),IFERROR(COUNTIFS(INDIRECT("'"&amp;$A52&amp;"'!$B$2:$B$501"),$T52,INDIRECT("'"&amp;$A52&amp;"'!$A$2:$A$501"),"&gt;="&amp;$I52,INDIRECT("'"&amp;$A52&amp;"'!$A$2:$A$501"),"&lt;"&amp;($BA52+1),INDIRECT("'"&amp;$A52&amp;"'!$G$2:$G$501"),"&lt;&gt;"),0)))</f>
        <v>0</v>
      </c>
      <c r="AZ52" s="30" t="str">
        <f aca="false">IF($A52="","",$A52&amp;"|"&amp;$L52)</f>
        <v>SAMPLE-CMP-007|1</v>
      </c>
      <c r="BA52" s="31" t="n">
        <f aca="false">IF($A52="","",IFERROR(IF(INDEX(drops!$R$2:$R$21,MATCH($H52,drops!$A$2:$A$21,0))="","",INDEX(drops!$R$2:$R$21,MATCH($H52,drops!$A$2:$A$21,0))),""))</f>
        <v>46475</v>
      </c>
      <c r="BB52" s="30" t="n">
        <f aca="false">IF(OR($A52="",$Q52&lt;&gt;"Y"),1000000,N($AL52))</f>
        <v>5</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A53" s="0" t="s">
        <v>576</v>
      </c>
      <c r="B53" s="0" t="s">
        <v>681</v>
      </c>
      <c r="C53" s="11" t="n">
        <v>46442</v>
      </c>
      <c r="D53" s="10"/>
      <c r="E53" s="11"/>
      <c r="H53" s="30" t="str">
        <f aca="false">IF($A53="","",IFERROR(IF(INDEX(campaigns!$B$2:$B$51,MATCH($A53,campaigns!$A$2:$A$51,0))="","",INDEX(campaigns!$B$2:$B$51,MATCH($A53,campaigns!$A$2:$A$51,0))),""))</f>
        <v>SAMPLE-DRP-004</v>
      </c>
      <c r="I53" s="31" t="n">
        <f aca="false">IF($A53="","",IFERROR(IF(INDEX(campaigns!$BG$2:$BG$51,MATCH($A53,campaigns!$A$2:$A$51,0))="","",INDEX(campaigns!$BG$2:$BG$51,MATCH($A53,campaigns!$A$2:$A$51,0))),""))</f>
        <v>46469</v>
      </c>
      <c r="J53" s="30" t="str">
        <f aca="false">IF($A53="","",IFERROR(IF(INDEX(campaigns!$BE$2:$BE$51,MATCH($A53,campaigns!$A$2:$A$51,0))="","",INDEX(campaigns!$BE$2:$BE$51,MATCH($A53,campaigns!$A$2:$A$51,0))),""))</f>
        <v>SAMPLE Brightside</v>
      </c>
      <c r="K53" s="30" t="str">
        <f aca="false">IF($B53="","",IFERROR(IF(INDEX(offices!$O$2:$O$61,MATCH($B53,offices!$A$2:$A$61,0))="","",INDEX(offices!$O$2:$O$61,MATCH($B53,offices!$A$2:$A$61,0))),""))</f>
        <v>SAMPLE Ferro Architecture</v>
      </c>
      <c r="L53" s="30" t="n">
        <f aca="false">IF($A53="","",IF($Q53="N","",COUNTIFS($A$2:$A53,$A53,$Q$2:$Q53,"&lt;&gt;N")))</f>
        <v>2</v>
      </c>
      <c r="M53" s="30" t="str">
        <f aca="false">IF(OR($A53="",$L53=""),"",IF(AND(config!$B$34="names_if_public",IFERROR(IF(INDEX(offices!$AG$2:$AG$61,MATCH($B53,offices!$A$2:$A$61,0))="","",INDEX(offices!$AG$2:$AG$61,MATCH($B53,offices!$A$2:$A$61,0))),"")="Y"),$K53,CHAR(64+$L53)))</f>
        <v>B</v>
      </c>
      <c r="N53" s="30" t="n">
        <f aca="false">IF(OR($A53="",$I53=""),"",COUNTIFS(stops!$B$2:$B$151,$B53,stops!$P$2:$P$151,"&lt;"&amp;$I53,stops!$L$2:$L$151,"&lt;&gt;not_delivered")+1)</f>
        <v>4</v>
      </c>
      <c r="O53" s="30" t="str">
        <f aca="false">IF($A53="","",IF(N($N53)&lt;=config!$B$29,"explicit","opt-out"))</f>
        <v>opt-out</v>
      </c>
      <c r="P53" s="30" t="str">
        <f aca="false">IF($A53="","",IF($O53="explicit",IF($D53="yes","Y",IF($D53="no","N","pending")),IF($D53="no","N",IF(AND($C53&lt;&gt;"",$I53&lt;&gt;"",$C53&lt;=WORKDAY(N($I53),-5,calendar!$A$2:$A$80)),"Y","pending"))))</f>
        <v>Y</v>
      </c>
      <c r="Q53" s="30" t="str">
        <f aca="false">IF($A53="","",IF($P53="N","N",IF($P53&lt;&gt;"Y","pending",IF(AND((COUNTIFS(stops!$A$2:$A$151,$H53,stops!$B$2:$B$151,$B53,stops!$L$2:$L$151,"declined")+COUNTIFS(stops!$A$2:$A$151,$H53,stops!$B$2:$B$151,$B53,stops!$L$2:$L$151,"building_refused")+COUNTIFS(stops!$A$2:$A$151,$H53,stops!$B$2:$B$151,$B53,stops!$L$2:$L$151,"not_delivered"))&gt;0,N($U53)=0),"N","Y"))))</f>
        <v>Y</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n">
        <f aca="false">IF($A53="","",IF($G53&lt;&gt;"",$G53,IFERROR(IF(INDEX(offices!$AM$2:$AM$61,MATCH($B53,offices!$A$2:$A$61,0))="","",INDEX(offices!$AM$2:$AM$61,MATCH($B53,offices!$A$2:$A$61,0))),"")))</f>
        <v>40</v>
      </c>
      <c r="T53" s="30" t="str">
        <f aca="false">IF($A53="","",$A53&amp;"."&amp;$B53)</f>
        <v>SAMPLE-CMP-007.SAMPLE-O-002</v>
      </c>
      <c r="U53" s="30" t="n">
        <f aca="false">IF($A53="","",SUMIFS(inventory!$G$2:$G$801,inventory!$C$2:$C$801,$A53,inventory!$D$2:$D$801,$B53,inventory!$E$2:$E$801,"delivered"))</f>
        <v>40</v>
      </c>
      <c r="V53" s="37" t="n">
        <f aca="false">IF($A53="","",IFERROR(1/(1/SUMPRODUCT(MAX((inventory!$C$2:$C$801=$A53)*(inventory!$D$2:$D$801=$B53)*(inventory!$E$2:$E$801="delivered")*(inventory!$A$2:$A$801+inventory!$B$2:$B$801)))),""))</f>
        <v>46469.425</v>
      </c>
      <c r="W53" s="30" t="str">
        <f aca="false">IF($A53="","",IFERROR(IF(INDEX(inventory!$J$2:$J$801,MATCH($A53&amp;"|"&amp;$B53&amp;"|delivered",inventory!$R$2:$R$801,0))="","",INDEX(inventory!$J$2:$J$801,MATCH($A53&amp;"|"&amp;$B53&amp;"|delivered",inventory!$R$2:$R$801,0))),""))</f>
        <v>office_count</v>
      </c>
      <c r="X53" s="30" t="str">
        <f aca="false">IF($A53="","",IFERROR(IF(INDEX(photos!$H$2:$H$701,MATCH($A53&amp;"|"&amp;$B53&amp;"|placement|Y",photos!$R$2:$R$701,0))="","",INDEX(photos!$H$2:$H$701,MATCH($A53&amp;"|"&amp;$B53&amp;"|placement|Y",photos!$R$2:$R$701,0))),""))</f>
        <v>SAMPLE-CMP-007_SAMPLE-O-002_placement_2027-03-23.jpg</v>
      </c>
      <c r="Y53" s="31" t="n">
        <f aca="false">IF($A53="","",IFERROR(IF(INDEX(photos!$E$2:$E$701,MATCH($A53&amp;"|"&amp;$B53&amp;"|placement|Y",photos!$R$2:$R$701,0))="","",INDEX(photos!$E$2:$E$701,MATCH($A53&amp;"|"&amp;$B53&amp;"|placement|Y",photos!$R$2:$R$701,0))),""))</f>
        <v>46469</v>
      </c>
      <c r="Z53" s="30" t="n">
        <f aca="false">IF($A53="","",IF(COUNTIFS(counts!$C$2:$C$701,$A53,counts!$D$2:$D$701,$B53,counts!$E$2:$E$701,"placed")=0,"",SUMIFS(counts!$F$2:$F$701,counts!$C$2:$C$701,$A53,counts!$D$2:$D$701,$B53,counts!$E$2:$E$701,"placed")))</f>
        <v>40</v>
      </c>
      <c r="AA53" s="30" t="n">
        <f aca="false">IF($A53="","",IF($Y53="",0,N($Z53)))</f>
        <v>40</v>
      </c>
      <c r="AB53" s="30" t="str">
        <f aca="false">IF($A53="","",IF(OR($Y53="",$I53=""),"N",IF($Y53&lt;=WORKDAY(N($I53),1,calendar!$A$2:$A$80),"Y","N")))</f>
        <v>Y</v>
      </c>
      <c r="AC53" s="33" t="n">
        <f aca="false">IF(OR($A53="",$V53="",$Y53=""),"",ROUND(($Y53+N(IFERROR(IF(INDEX(photos!$F$2:$F$701,MATCH($A53&amp;"|"&amp;$B53&amp;"|placement|Y",photos!$R$2:$R$701,0))="","",INDEX(photos!$F$2:$F$701,MATCH($A53&amp;"|"&amp;$B53&amp;"|placement|Y",photos!$R$2:$R$701,0))),""))-$V53)*24,1))</f>
        <v>2.8</v>
      </c>
      <c r="AD53" s="30" t="n">
        <f aca="false">IF($A53="","",SUMIFS(inventory!$G$2:$G$801,inventory!$C$2:$C$801,$A53,inventory!$D$2:$D$801,$B53,inventory!$E$2:$E$801,"topped_up"))</f>
        <v>0</v>
      </c>
      <c r="AE53" s="30" t="n">
        <f aca="false">IF($A53="","",IF(COUNTIFS(counts!$C$2:$C$701,$A53,counts!$D$2:$D$701,$B53,counts!$E$2:$E$701,"remaining_day3")=0,"",SUMIFS(counts!$F$2:$F$701,counts!$C$2:$C$701,$A53,counts!$D$2:$D$701,$B53,counts!$E$2:$E$701,"remaining_day3")))</f>
        <v>11</v>
      </c>
      <c r="AF53" s="30" t="n">
        <f aca="false">IF($A53="","",IF(COUNTIFS(counts!$C$2:$C$701,$A53,counts!$D$2:$D$701,$B53,counts!$E$2:$E$701,"remaining_day5")=0,"",SUMIFS(counts!$F$2:$F$701,counts!$C$2:$C$701,$A53,counts!$D$2:$D$701,$B53,counts!$E$2:$E$701,"remaining_day5")))</f>
        <v>2</v>
      </c>
      <c r="AG53" s="30" t="n">
        <f aca="false">IF(OR($A53="",$AF53=""),"",MAX(0,$AA53+$AD53-$AF53))</f>
        <v>38</v>
      </c>
      <c r="AH53" s="30" t="str">
        <f aca="false">IF(OR($A53="",$AI53=""),"",IFERROR(IF(INDEX(photos!$H$2:$H$701,MATCH($A53&amp;"|"&amp;$B53&amp;"|later|Y|"&amp;$AI53,photos!$S$2:$S$701,0))="","",INDEX(photos!$H$2:$H$701,MATCH($A53&amp;"|"&amp;$B53&amp;"|later|Y|"&amp;$AI53,photos!$S$2:$S$701,0))),""))</f>
        <v>SAMPLE-CMP-007_SAMPLE-O-002_later_2027-03-29.jpg</v>
      </c>
      <c r="AI53" s="31" t="n">
        <f aca="false">IF($A53="","",IFERROR(1/(1/SUMPRODUCT(MAX((photos!$B$2:$B$701=$A53)*(photos!$C$2:$C$701=$B53)*(photos!$D$2:$D$701="later")*(photos!$O$2:$O$701="Y")*photos!$E$2:$E$701))),""))</f>
        <v>46475</v>
      </c>
      <c r="AJ53" s="30" t="n">
        <f aca="false">IF(OR($A53="",$AI53="",$I53=""),"",NETWORKDAYS($I53,$AI53,calendar!$A$2:$A$80))</f>
        <v>5</v>
      </c>
      <c r="AK53" s="30" t="str">
        <f aca="false">IF($A53="","",IF(AND($X53&lt;&gt;"",$AH53&lt;&gt;""),"Y","N"))</f>
        <v>Y</v>
      </c>
      <c r="AL53" s="30" t="n">
        <f aca="true">IF(OR($A53="",$I53=""),"",IF($BC53="Y",SUMIFS(survey_frozen!$C$2:$C$251,survey_frozen!$P$2:$P$251,$A53&amp;"|"&amp;$B53),IFERROR(COUNTIFS(INDIRECT("'"&amp;$A53&amp;"'!$B$2:$B$501"),$T53,INDIRECT("'"&amp;$A53&amp;"'!$A$2:$A$501"),"&gt;="&amp;$I53,INDIRECT("'"&amp;$A53&amp;"'!$A$2:$A$501"),"&lt;"&amp;($BA53+1)),0)))</f>
        <v>7</v>
      </c>
      <c r="AM53" s="30" t="n">
        <f aca="true">IF(OR($A53="",$I53=""),"",IF($BC53="Y",SUMIFS(survey_frozen!$D$2:$D$251,survey_frozen!$P$2:$P$251,$A53&amp;"|"&amp;$B53),IFERROR(COUNTIFS(INDIRECT("'"&amp;$A53&amp;"'!$B$2:$B$501"),$T53,INDIRECT("'"&amp;$A53&amp;"'!$A$2:$A$501"),"&gt;="&amp;$I53,INDIRECT("'"&amp;$A53&amp;"'!$A$2:$A$501"),"&lt;"&amp;($BA53+1),INDIRECT("'"&amp;$A53&amp;"'!$C$2:$C$501"),"Yes"),0)))</f>
        <v>5</v>
      </c>
      <c r="AN53" s="30" t="n">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8</v>
      </c>
      <c r="AO53" s="30" t="n">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11</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n">
        <f aca="true">IF(OR($A53="",$I53=""),"",IF($BC53="Y",SUMIFS(survey_frozen!$E$2:$E$251,survey_frozen!$P$2:$P$251,$A53&amp;"|"&amp;$B53),IFERROR(COUNTIFS(INDIRECT("'"&amp;$A53&amp;"'!$B$2:$B$501"),$T53,INDIRECT("'"&amp;$A53&amp;"'!$A$2:$A$501"),"&gt;="&amp;$I53,INDIRECT("'"&amp;$A53&amp;"'!$A$2:$A$501"),"&lt;"&amp;($BA53+1),INDIRECT("'"&amp;$A53&amp;"'!$F$2:$F$501"),"Didn't see it"),0)))</f>
        <v>2</v>
      </c>
      <c r="AR53" s="30" t="n">
        <f aca="true">IF(OR($A53="",$I53=""),"",IF($BC53="Y",SUMIFS(survey_frozen!$F$2:$F$251,survey_frozen!$P$2:$P$251,$A53&amp;"|"&amp;$B53),IFERROR(COUNTIFS(INDIRECT("'"&amp;$A53&amp;"'!$B$2:$B$501"),$T53,INDIRECT("'"&amp;$A53&amp;"'!$A$2:$A$501"),"&gt;="&amp;$I53,INDIRECT("'"&amp;$A53&amp;"'!$A$2:$A$501"),"&lt;"&amp;($BA53+1),INDIRECT("'"&amp;$A53&amp;"'!$F$2:$F$501"),"Not for me"),0)))</f>
        <v>0</v>
      </c>
      <c r="AS53" s="30" t="n">
        <f aca="true">IF(OR($A53="",$I53=""),"",IF($BC53="Y",SUMIFS(survey_frozen!$G$2:$G$251,survey_frozen!$P$2:$P$251,$A53&amp;"|"&amp;$B53),IFERROR(COUNTIFS(INDIRECT("'"&amp;$A53&amp;"'!$B$2:$B$501"),$T53,INDIRECT("'"&amp;$A53&amp;"'!$A$2:$A$501"),"&gt;="&amp;$I53,INDIRECT("'"&amp;$A53&amp;"'!$A$2:$A$501"),"&lt;"&amp;($BA53+1),INDIRECT("'"&amp;$A53&amp;"'!$F$2:$F$501"),"Gone by the time I looked"),0)))</f>
        <v>0</v>
      </c>
      <c r="AT53" s="30" t="n">
        <f aca="true">IF(OR($A53="",$I53=""),"",IF($BC53="Y",SUMIFS(survey_frozen!$H$2:$H$251,survey_frozen!$P$2:$P$251,$A53&amp;"|"&amp;$B53),IFERROR(COUNTIFS(INDIRECT("'"&amp;$A53&amp;"'!$B$2:$B$501"),$T53,INDIRECT("'"&amp;$A53&amp;"'!$A$2:$A$501"),"&gt;="&amp;$I53,INDIRECT("'"&amp;$A53&amp;"'!$A$2:$A$501"),"&lt;"&amp;($BA53+1),INDIRECT("'"&amp;$A53&amp;"'!$D$2:$D$501"),"&gt;=1"),0)))</f>
        <v>5</v>
      </c>
      <c r="AU53" s="30" t="n">
        <f aca="true">IF(OR($A53="",$I53=""),"",IF($BC53="Y",SUMIFS(survey_frozen!$I$2:$I$251,survey_frozen!$P$2:$P$251,$A53&amp;"|"&amp;$B53),IFERROR(SUMIFS(INDIRECT("'"&amp;$A53&amp;"'!$D$2:$D$501"),INDIRECT("'"&amp;$A53&amp;"'!$B$2:$B$501"),$T53,INDIRECT("'"&amp;$A53&amp;"'!$A$2:$A$501"),"&gt;="&amp;$I53,INDIRECT("'"&amp;$A53&amp;"'!$A$2:$A$501"),"&lt;"&amp;($BA53+1)),0)))</f>
        <v>19</v>
      </c>
      <c r="AV53" s="30" t="n">
        <f aca="true">IF(OR($A53="",$I53=""),"",IF($BC53="Y",SUMIFS(survey_frozen!$J$2:$J$251,survey_frozen!$P$2:$P$251,$A53&amp;"|"&amp;$B53),IFERROR(COUNTIFS(INDIRECT("'"&amp;$A53&amp;"'!$B$2:$B$501"),$T53,INDIRECT("'"&amp;$A53&amp;"'!$A$2:$A$501"),"&gt;="&amp;$I53,INDIRECT("'"&amp;$A53&amp;"'!$A$2:$A$501"),"&lt;"&amp;($BA53+1),INDIRECT("'"&amp;$A53&amp;"'!$E$2:$E$501"),"Yes"),0)))</f>
        <v>1</v>
      </c>
      <c r="AW53" s="30" t="n">
        <f aca="true">IF(OR($A53="",$I53=""),"",IF($BC53="Y",SUMIFS(survey_frozen!$K$2:$K$251,survey_frozen!$P$2:$P$251,$A53&amp;"|"&amp;$B53),IFERROR(COUNTIFS(INDIRECT("'"&amp;$A53&amp;"'!$B$2:$B$501"),$T53,INDIRECT("'"&amp;$A53&amp;"'!$A$2:$A$501"),"&gt;="&amp;$I53,INDIRECT("'"&amp;$A53&amp;"'!$A$2:$A$501"),"&lt;"&amp;($BA53+1),INDIRECT("'"&amp;$A53&amp;"'!$E$2:$E$501"),"Maybe"),0)))</f>
        <v>4</v>
      </c>
      <c r="AX53" s="30" t="n">
        <f aca="true">IF(OR($A53="",$I53=""),"",IF($BC53="Y",SUMIFS(survey_frozen!$L$2:$L$251,survey_frozen!$P$2:$P$251,$A53&amp;"|"&amp;$B53),IFERROR(COUNTIFS(INDIRECT("'"&amp;$A53&amp;"'!$B$2:$B$501"),$T53,INDIRECT("'"&amp;$A53&amp;"'!$A$2:$A$501"),"&gt;="&amp;$I53,INDIRECT("'"&amp;$A53&amp;"'!$A$2:$A$501"),"&lt;"&amp;($BA53+1),INDIRECT("'"&amp;$A53&amp;"'!$E$2:$E$501"),"No"),0)))</f>
        <v>0</v>
      </c>
      <c r="AY53" s="30" t="n">
        <f aca="true">IF(OR($A53="",$I53=""),"",IF($BC53="Y",SUMIFS(survey_frozen!$M$2:$M$251,survey_frozen!$P$2:$P$251,$A53&amp;"|"&amp;$B53),IFERROR(COUNTIFS(INDIRECT("'"&amp;$A53&amp;"'!$B$2:$B$501"),$T53,INDIRECT("'"&amp;$A53&amp;"'!$A$2:$A$501"),"&gt;="&amp;$I53,INDIRECT("'"&amp;$A53&amp;"'!$A$2:$A$501"),"&lt;"&amp;($BA53+1),INDIRECT("'"&amp;$A53&amp;"'!$G$2:$G$501"),"&lt;&gt;"),0)))</f>
        <v>5</v>
      </c>
      <c r="AZ53" s="30" t="str">
        <f aca="false">IF($A53="","",$A53&amp;"|"&amp;$L53)</f>
        <v>SAMPLE-CMP-007|2</v>
      </c>
      <c r="BA53" s="31" t="n">
        <f aca="false">IF($A53="","",IFERROR(IF(INDEX(drops!$R$2:$R$21,MATCH($H53,drops!$A$2:$A$21,0))="","",INDEX(drops!$R$2:$R$21,MATCH($H53,drops!$A$2:$A$21,0))),""))</f>
        <v>46475</v>
      </c>
      <c r="BB53" s="30" t="n">
        <f aca="false">IF(OR($A53="",$Q53&lt;&gt;"Y"),1000000,N($AL53))</f>
        <v>7</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A54" s="0" t="s">
        <v>576</v>
      </c>
      <c r="B54" s="0" t="s">
        <v>683</v>
      </c>
      <c r="C54" s="11" t="n">
        <v>46442</v>
      </c>
      <c r="D54" s="10"/>
      <c r="E54" s="11"/>
      <c r="H54" s="30" t="str">
        <f aca="false">IF($A54="","",IFERROR(IF(INDEX(campaigns!$B$2:$B$51,MATCH($A54,campaigns!$A$2:$A$51,0))="","",INDEX(campaigns!$B$2:$B$51,MATCH($A54,campaigns!$A$2:$A$51,0))),""))</f>
        <v>SAMPLE-DRP-004</v>
      </c>
      <c r="I54" s="31" t="n">
        <f aca="false">IF($A54="","",IFERROR(IF(INDEX(campaigns!$BG$2:$BG$51,MATCH($A54,campaigns!$A$2:$A$51,0))="","",INDEX(campaigns!$BG$2:$BG$51,MATCH($A54,campaigns!$A$2:$A$51,0))),""))</f>
        <v>46469</v>
      </c>
      <c r="J54" s="30" t="str">
        <f aca="false">IF($A54="","",IFERROR(IF(INDEX(campaigns!$BE$2:$BE$51,MATCH($A54,campaigns!$A$2:$A$51,0))="","",INDEX(campaigns!$BE$2:$BE$51,MATCH($A54,campaigns!$A$2:$A$51,0))),""))</f>
        <v>SAMPLE Brightside</v>
      </c>
      <c r="K54" s="30" t="str">
        <f aca="false">IF($B54="","",IFERROR(IF(INDEX(offices!$O$2:$O$61,MATCH($B54,offices!$A$2:$A$61,0))="","",INDEX(offices!$O$2:$O$61,MATCH($B54,offices!$A$2:$A$61,0))),""))</f>
        <v>SAMPLE Halcyon Media</v>
      </c>
      <c r="L54" s="30" t="n">
        <f aca="false">IF($A54="","",IF($Q54="N","",COUNTIFS($A$2:$A54,$A54,$Q$2:$Q54,"&lt;&gt;N")))</f>
        <v>3</v>
      </c>
      <c r="M54" s="30" t="str">
        <f aca="false">IF(OR($A54="",$L54=""),"",IF(AND(config!$B$34="names_if_public",IFERROR(IF(INDEX(offices!$AG$2:$AG$61,MATCH($B54,offices!$A$2:$A$61,0))="","",INDEX(offices!$AG$2:$AG$61,MATCH($B54,offices!$A$2:$A$61,0))),"")="Y"),$K54,CHAR(64+$L54)))</f>
        <v>C</v>
      </c>
      <c r="N54" s="30" t="n">
        <f aca="false">IF(OR($A54="",$I54=""),"",COUNTIFS(stops!$B$2:$B$151,$B54,stops!$P$2:$P$151,"&lt;"&amp;$I54,stops!$L$2:$L$151,"&lt;&gt;not_delivered")+1)</f>
        <v>4</v>
      </c>
      <c r="O54" s="30" t="str">
        <f aca="false">IF($A54="","",IF(N($N54)&lt;=config!$B$29,"explicit","opt-out"))</f>
        <v>opt-out</v>
      </c>
      <c r="P54" s="30" t="str">
        <f aca="false">IF($A54="","",IF($O54="explicit",IF($D54="yes","Y",IF($D54="no","N","pending")),IF($D54="no","N",IF(AND($C54&lt;&gt;"",$I54&lt;&gt;"",$C54&lt;=WORKDAY(N($I54),-5,calendar!$A$2:$A$80)),"Y","pending"))))</f>
        <v>Y</v>
      </c>
      <c r="Q54" s="30" t="str">
        <f aca="false">IF($A54="","",IF($P54="N","N",IF($P54&lt;&gt;"Y","pending",IF(AND((COUNTIFS(stops!$A$2:$A$151,$H54,stops!$B$2:$B$151,$B54,stops!$L$2:$L$151,"declined")+COUNTIFS(stops!$A$2:$A$151,$H54,stops!$B$2:$B$151,$B54,stops!$L$2:$L$151,"building_refused")+COUNTIFS(stops!$A$2:$A$151,$H54,stops!$B$2:$B$151,$B54,stops!$L$2:$L$151,"not_delivered"))&gt;0,N($U54)=0),"N","Y"))))</f>
        <v>Y</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n">
        <f aca="false">IF($A54="","",IF($G54&lt;&gt;"",$G54,IFERROR(IF(INDEX(offices!$AM$2:$AM$61,MATCH($B54,offices!$A$2:$A$61,0))="","",INDEX(offices!$AM$2:$AM$61,MATCH($B54,offices!$A$2:$A$61,0))),"")))</f>
        <v>50</v>
      </c>
      <c r="T54" s="30" t="str">
        <f aca="false">IF($A54="","",$A54&amp;"."&amp;$B54)</f>
        <v>SAMPLE-CMP-007.SAMPLE-O-003</v>
      </c>
      <c r="U54" s="30" t="n">
        <f aca="false">IF($A54="","",SUMIFS(inventory!$G$2:$G$801,inventory!$C$2:$C$801,$A54,inventory!$D$2:$D$801,$B54,inventory!$E$2:$E$801,"delivered"))</f>
        <v>26</v>
      </c>
      <c r="V54" s="37" t="n">
        <f aca="false">IF($A54="","",IFERROR(1/(1/SUMPRODUCT(MAX((inventory!$C$2:$C$801=$A54)*(inventory!$D$2:$D$801=$B54)*(inventory!$E$2:$E$801="delivered")*(inventory!$A$2:$A$801+inventory!$B$2:$B$801)))),""))</f>
        <v>46469.4256944444</v>
      </c>
      <c r="W54" s="30" t="str">
        <f aca="false">IF($A54="","",IFERROR(IF(INDEX(inventory!$J$2:$J$801,MATCH($A54&amp;"|"&amp;$B54&amp;"|delivered",inventory!$R$2:$R$801,0))="","",INDEX(inventory!$J$2:$J$801,MATCH($A54&amp;"|"&amp;$B54&amp;"|delivered",inventory!$R$2:$R$801,0))),""))</f>
        <v>office_count</v>
      </c>
      <c r="X54" s="30" t="str">
        <f aca="false">IF($A54="","",IFERROR(IF(INDEX(photos!$H$2:$H$701,MATCH($A54&amp;"|"&amp;$B54&amp;"|placement|Y",photos!$R$2:$R$701,0))="","",INDEX(photos!$H$2:$H$701,MATCH($A54&amp;"|"&amp;$B54&amp;"|placement|Y",photos!$R$2:$R$701,0))),""))</f>
        <v>SAMPLE-CMP-007_SAMPLE-O-003_placement_2027-03-23.jpg</v>
      </c>
      <c r="Y54" s="31" t="n">
        <f aca="false">IF($A54="","",IFERROR(IF(INDEX(photos!$E$2:$E$701,MATCH($A54&amp;"|"&amp;$B54&amp;"|placement|Y",photos!$R$2:$R$701,0))="","",INDEX(photos!$E$2:$E$701,MATCH($A54&amp;"|"&amp;$B54&amp;"|placement|Y",photos!$R$2:$R$701,0))),""))</f>
        <v>46469</v>
      </c>
      <c r="Z54" s="30" t="n">
        <f aca="false">IF($A54="","",IF(COUNTIFS(counts!$C$2:$C$701,$A54,counts!$D$2:$D$701,$B54,counts!$E$2:$E$701,"placed")=0,"",SUMIFS(counts!$F$2:$F$701,counts!$C$2:$C$701,$A54,counts!$D$2:$D$701,$B54,counts!$E$2:$E$701,"placed")))</f>
        <v>26</v>
      </c>
      <c r="AA54" s="30" t="n">
        <f aca="false">IF($A54="","",IF($Y54="",0,N($Z54)))</f>
        <v>26</v>
      </c>
      <c r="AB54" s="30" t="str">
        <f aca="false">IF($A54="","",IF(OR($Y54="",$I54=""),"N",IF($Y54&lt;=WORKDAY(N($I54),1,calendar!$A$2:$A$80),"Y","N")))</f>
        <v>Y</v>
      </c>
      <c r="AC54" s="33" t="n">
        <f aca="false">IF(OR($A54="",$V54="",$Y54=""),"",ROUND(($Y54+N(IFERROR(IF(INDEX(photos!$F$2:$F$701,MATCH($A54&amp;"|"&amp;$B54&amp;"|placement|Y",photos!$R$2:$R$701,0))="","",INDEX(photos!$F$2:$F$701,MATCH($A54&amp;"|"&amp;$B54&amp;"|placement|Y",photos!$R$2:$R$701,0))),""))-$V54)*24,1))</f>
        <v>2.8</v>
      </c>
      <c r="AD54" s="30" t="n">
        <f aca="false">IF($A54="","",SUMIFS(inventory!$G$2:$G$801,inventory!$C$2:$C$801,$A54,inventory!$D$2:$D$801,$B54,inventory!$E$2:$E$801,"topped_up"))</f>
        <v>20</v>
      </c>
      <c r="AE54" s="30" t="n">
        <f aca="false">IF($A54="","",IF(COUNTIFS(counts!$C$2:$C$701,$A54,counts!$D$2:$D$701,$B54,counts!$E$2:$E$701,"remaining_day3")=0,"",SUMIFS(counts!$F$2:$F$701,counts!$C$2:$C$701,$A54,counts!$D$2:$D$701,$B54,counts!$E$2:$E$701,"remaining_day3")))</f>
        <v>8</v>
      </c>
      <c r="AF54" s="30" t="n">
        <f aca="false">IF($A54="","",IF(COUNTIFS(counts!$C$2:$C$701,$A54,counts!$D$2:$D$701,$B54,counts!$E$2:$E$701,"remaining_day5")=0,"",SUMIFS(counts!$F$2:$F$701,counts!$C$2:$C$701,$A54,counts!$D$2:$D$701,$B54,counts!$E$2:$E$701,"remaining_day5")))</f>
        <v>6</v>
      </c>
      <c r="AG54" s="30" t="n">
        <f aca="false">IF(OR($A54="",$AF54=""),"",MAX(0,$AA54+$AD54-$AF54))</f>
        <v>40</v>
      </c>
      <c r="AH54" s="30" t="str">
        <f aca="false">IF(OR($A54="",$AI54=""),"",IFERROR(IF(INDEX(photos!$H$2:$H$701,MATCH($A54&amp;"|"&amp;$B54&amp;"|later|Y|"&amp;$AI54,photos!$S$2:$S$701,0))="","",INDEX(photos!$H$2:$H$701,MATCH($A54&amp;"|"&amp;$B54&amp;"|later|Y|"&amp;$AI54,photos!$S$2:$S$701,0))),""))</f>
        <v>SAMPLE-CMP-007_SAMPLE-O-003_later_2027-03-29.jpg</v>
      </c>
      <c r="AI54" s="31" t="n">
        <f aca="false">IF($A54="","",IFERROR(1/(1/SUMPRODUCT(MAX((photos!$B$2:$B$701=$A54)*(photos!$C$2:$C$701=$B54)*(photos!$D$2:$D$701="later")*(photos!$O$2:$O$701="Y")*photos!$E$2:$E$701))),""))</f>
        <v>46475</v>
      </c>
      <c r="AJ54" s="30" t="n">
        <f aca="false">IF(OR($A54="",$AI54="",$I54=""),"",NETWORKDAYS($I54,$AI54,calendar!$A$2:$A$80))</f>
        <v>5</v>
      </c>
      <c r="AK54" s="30" t="str">
        <f aca="false">IF($A54="","",IF(AND($X54&lt;&gt;"",$AH54&lt;&gt;""),"Y","N"))</f>
        <v>Y</v>
      </c>
      <c r="AL54" s="30" t="n">
        <f aca="true">IF(OR($A54="",$I54=""),"",IF($BC54="Y",SUMIFS(survey_frozen!$C$2:$C$251,survey_frozen!$P$2:$P$251,$A54&amp;"|"&amp;$B54),IFERROR(COUNTIFS(INDIRECT("'"&amp;$A54&amp;"'!$B$2:$B$501"),$T54,INDIRECT("'"&amp;$A54&amp;"'!$A$2:$A$501"),"&gt;="&amp;$I54,INDIRECT("'"&amp;$A54&amp;"'!$A$2:$A$501"),"&lt;"&amp;($BA54+1)),0)))</f>
        <v>9</v>
      </c>
      <c r="AM54" s="30" t="n">
        <f aca="true">IF(OR($A54="",$I54=""),"",IF($BC54="Y",SUMIFS(survey_frozen!$D$2:$D$251,survey_frozen!$P$2:$P$251,$A54&amp;"|"&amp;$B54),IFERROR(COUNTIFS(INDIRECT("'"&amp;$A54&amp;"'!$B$2:$B$501"),$T54,INDIRECT("'"&amp;$A54&amp;"'!$A$2:$A$501"),"&gt;="&amp;$I54,INDIRECT("'"&amp;$A54&amp;"'!$A$2:$A$501"),"&lt;"&amp;($BA54+1),INDIRECT("'"&amp;$A54&amp;"'!$C$2:$C$501"),"Yes"),0)))</f>
        <v>4</v>
      </c>
      <c r="AN54" s="30" t="n">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10</v>
      </c>
      <c r="AO54" s="30" t="n">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3</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info: delivered 26 of 50 allocated (issue logged); </v>
      </c>
      <c r="AQ54" s="30" t="n">
        <f aca="true">IF(OR($A54="",$I54=""),"",IF($BC54="Y",SUMIFS(survey_frozen!$E$2:$E$251,survey_frozen!$P$2:$P$251,$A54&amp;"|"&amp;$B54),IFERROR(COUNTIFS(INDIRECT("'"&amp;$A54&amp;"'!$B$2:$B$501"),$T54,INDIRECT("'"&amp;$A54&amp;"'!$A$2:$A$501"),"&gt;="&amp;$I54,INDIRECT("'"&amp;$A54&amp;"'!$A$2:$A$501"),"&lt;"&amp;($BA54+1),INDIRECT("'"&amp;$A54&amp;"'!$F$2:$F$501"),"Didn't see it"),0)))</f>
        <v>1</v>
      </c>
      <c r="AR54" s="30" t="n">
        <f aca="true">IF(OR($A54="",$I54=""),"",IF($BC54="Y",SUMIFS(survey_frozen!$F$2:$F$251,survey_frozen!$P$2:$P$251,$A54&amp;"|"&amp;$B54),IFERROR(COUNTIFS(INDIRECT("'"&amp;$A54&amp;"'!$B$2:$B$501"),$T54,INDIRECT("'"&amp;$A54&amp;"'!$A$2:$A$501"),"&gt;="&amp;$I54,INDIRECT("'"&amp;$A54&amp;"'!$A$2:$A$501"),"&lt;"&amp;($BA54+1),INDIRECT("'"&amp;$A54&amp;"'!$F$2:$F$501"),"Not for me"),0)))</f>
        <v>4</v>
      </c>
      <c r="AS54" s="30" t="n">
        <f aca="true">IF(OR($A54="",$I54=""),"",IF($BC54="Y",SUMIFS(survey_frozen!$G$2:$G$251,survey_frozen!$P$2:$P$251,$A54&amp;"|"&amp;$B54),IFERROR(COUNTIFS(INDIRECT("'"&amp;$A54&amp;"'!$B$2:$B$501"),$T54,INDIRECT("'"&amp;$A54&amp;"'!$A$2:$A$501"),"&gt;="&amp;$I54,INDIRECT("'"&amp;$A54&amp;"'!$A$2:$A$501"),"&lt;"&amp;($BA54+1),INDIRECT("'"&amp;$A54&amp;"'!$F$2:$F$501"),"Gone by the time I looked"),0)))</f>
        <v>0</v>
      </c>
      <c r="AT54" s="30" t="n">
        <f aca="true">IF(OR($A54="",$I54=""),"",IF($BC54="Y",SUMIFS(survey_frozen!$H$2:$H$251,survey_frozen!$P$2:$P$251,$A54&amp;"|"&amp;$B54),IFERROR(COUNTIFS(INDIRECT("'"&amp;$A54&amp;"'!$B$2:$B$501"),$T54,INDIRECT("'"&amp;$A54&amp;"'!$A$2:$A$501"),"&gt;="&amp;$I54,INDIRECT("'"&amp;$A54&amp;"'!$A$2:$A$501"),"&lt;"&amp;($BA54+1),INDIRECT("'"&amp;$A54&amp;"'!$D$2:$D$501"),"&gt;=1"),0)))</f>
        <v>4</v>
      </c>
      <c r="AU54" s="30" t="n">
        <f aca="true">IF(OR($A54="",$I54=""),"",IF($BC54="Y",SUMIFS(survey_frozen!$I$2:$I$251,survey_frozen!$P$2:$P$251,$A54&amp;"|"&amp;$B54),IFERROR(SUMIFS(INDIRECT("'"&amp;$A54&amp;"'!$D$2:$D$501"),INDIRECT("'"&amp;$A54&amp;"'!$B$2:$B$501"),$T54,INDIRECT("'"&amp;$A54&amp;"'!$A$2:$A$501"),"&gt;="&amp;$I54,INDIRECT("'"&amp;$A54&amp;"'!$A$2:$A$501"),"&lt;"&amp;($BA54+1)),0)))</f>
        <v>17</v>
      </c>
      <c r="AV54" s="30" t="n">
        <f aca="true">IF(OR($A54="",$I54=""),"",IF($BC54="Y",SUMIFS(survey_frozen!$J$2:$J$251,survey_frozen!$P$2:$P$251,$A54&amp;"|"&amp;$B54),IFERROR(COUNTIFS(INDIRECT("'"&amp;$A54&amp;"'!$B$2:$B$501"),$T54,INDIRECT("'"&amp;$A54&amp;"'!$A$2:$A$501"),"&gt;="&amp;$I54,INDIRECT("'"&amp;$A54&amp;"'!$A$2:$A$501"),"&lt;"&amp;($BA54+1),INDIRECT("'"&amp;$A54&amp;"'!$E$2:$E$501"),"Yes"),0)))</f>
        <v>3</v>
      </c>
      <c r="AW54" s="30" t="n">
        <f aca="true">IF(OR($A54="",$I54=""),"",IF($BC54="Y",SUMIFS(survey_frozen!$K$2:$K$251,survey_frozen!$P$2:$P$251,$A54&amp;"|"&amp;$B54),IFERROR(COUNTIFS(INDIRECT("'"&amp;$A54&amp;"'!$B$2:$B$501"),$T54,INDIRECT("'"&amp;$A54&amp;"'!$A$2:$A$501"),"&gt;="&amp;$I54,INDIRECT("'"&amp;$A54&amp;"'!$A$2:$A$501"),"&lt;"&amp;($BA54+1),INDIRECT("'"&amp;$A54&amp;"'!$E$2:$E$501"),"Maybe"),0)))</f>
        <v>0</v>
      </c>
      <c r="AX54" s="30" t="n">
        <f aca="true">IF(OR($A54="",$I54=""),"",IF($BC54="Y",SUMIFS(survey_frozen!$L$2:$L$251,survey_frozen!$P$2:$P$251,$A54&amp;"|"&amp;$B54),IFERROR(COUNTIFS(INDIRECT("'"&amp;$A54&amp;"'!$B$2:$B$501"),$T54,INDIRECT("'"&amp;$A54&amp;"'!$A$2:$A$501"),"&gt;="&amp;$I54,INDIRECT("'"&amp;$A54&amp;"'!$A$2:$A$501"),"&lt;"&amp;($BA54+1),INDIRECT("'"&amp;$A54&amp;"'!$E$2:$E$501"),"No"),0)))</f>
        <v>1</v>
      </c>
      <c r="AY54" s="30" t="n">
        <f aca="true">IF(OR($A54="",$I54=""),"",IF($BC54="Y",SUMIFS(survey_frozen!$M$2:$M$251,survey_frozen!$P$2:$P$251,$A54&amp;"|"&amp;$B54),IFERROR(COUNTIFS(INDIRECT("'"&amp;$A54&amp;"'!$B$2:$B$501"),$T54,INDIRECT("'"&amp;$A54&amp;"'!$A$2:$A$501"),"&gt;="&amp;$I54,INDIRECT("'"&amp;$A54&amp;"'!$A$2:$A$501"),"&lt;"&amp;($BA54+1),INDIRECT("'"&amp;$A54&amp;"'!$G$2:$G$501"),"&lt;&gt;"),0)))</f>
        <v>2</v>
      </c>
      <c r="AZ54" s="30" t="str">
        <f aca="false">IF($A54="","",$A54&amp;"|"&amp;$L54)</f>
        <v>SAMPLE-CMP-007|3</v>
      </c>
      <c r="BA54" s="31" t="n">
        <f aca="false">IF($A54="","",IFERROR(IF(INDEX(drops!$R$2:$R$21,MATCH($H54,drops!$A$2:$A$21,0))="","",INDEX(drops!$R$2:$R$21,MATCH($H54,drops!$A$2:$A$21,0))),""))</f>
        <v>46475</v>
      </c>
      <c r="BB54" s="30" t="n">
        <f aca="false">IF(OR($A54="",$Q54&lt;&gt;"Y"),1000000,N($AL54))</f>
        <v>9</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A55" s="0" t="s">
        <v>576</v>
      </c>
      <c r="B55" s="0" t="s">
        <v>686</v>
      </c>
      <c r="C55" s="11" t="n">
        <v>46442</v>
      </c>
      <c r="D55" s="10"/>
      <c r="E55" s="11"/>
      <c r="H55" s="30" t="str">
        <f aca="false">IF($A55="","",IFERROR(IF(INDEX(campaigns!$B$2:$B$51,MATCH($A55,campaigns!$A$2:$A$51,0))="","",INDEX(campaigns!$B$2:$B$51,MATCH($A55,campaigns!$A$2:$A$51,0))),""))</f>
        <v>SAMPLE-DRP-004</v>
      </c>
      <c r="I55" s="31" t="n">
        <f aca="false">IF($A55="","",IFERROR(IF(INDEX(campaigns!$BG$2:$BG$51,MATCH($A55,campaigns!$A$2:$A$51,0))="","",INDEX(campaigns!$BG$2:$BG$51,MATCH($A55,campaigns!$A$2:$A$51,0))),""))</f>
        <v>46469</v>
      </c>
      <c r="J55" s="30" t="str">
        <f aca="false">IF($A55="","",IFERROR(IF(INDEX(campaigns!$BE$2:$BE$51,MATCH($A55,campaigns!$A$2:$A$51,0))="","",INDEX(campaigns!$BE$2:$BE$51,MATCH($A55,campaigns!$A$2:$A$51,0))),""))</f>
        <v>SAMPLE Brightside</v>
      </c>
      <c r="K55" s="30" t="str">
        <f aca="false">IF($B55="","",IFERROR(IF(INDEX(offices!$O$2:$O$61,MATCH($B55,offices!$A$2:$A$61,0))="","",INDEX(offices!$O$2:$O$61,MATCH($B55,offices!$A$2:$A$61,0))),""))</f>
        <v>SAMPLE Union Food Fund</v>
      </c>
      <c r="L55" s="30" t="n">
        <f aca="false">IF($A55="","",IF($Q55="N","",COUNTIFS($A$2:$A55,$A55,$Q$2:$Q55,"&lt;&gt;N")))</f>
        <v>4</v>
      </c>
      <c r="M55" s="30" t="str">
        <f aca="false">IF(OR($A55="",$L55=""),"",IF(AND(config!$B$34="names_if_public",IFERROR(IF(INDEX(offices!$AG$2:$AG$61,MATCH($B55,offices!$A$2:$A$61,0))="","",INDEX(offices!$AG$2:$AG$61,MATCH($B55,offices!$A$2:$A$61,0))),"")="Y"),$K55,CHAR(64+$L55)))</f>
        <v>D</v>
      </c>
      <c r="N55" s="30" t="n">
        <f aca="false">IF(OR($A55="",$I55=""),"",COUNTIFS(stops!$B$2:$B$151,$B55,stops!$P$2:$P$151,"&lt;"&amp;$I55,stops!$L$2:$L$151,"&lt;&gt;not_delivered")+1)</f>
        <v>4</v>
      </c>
      <c r="O55" s="30" t="str">
        <f aca="false">IF($A55="","",IF(N($N55)&lt;=config!$B$29,"explicit","opt-out"))</f>
        <v>opt-out</v>
      </c>
      <c r="P55" s="30" t="str">
        <f aca="false">IF($A55="","",IF($O55="explicit",IF($D55="yes","Y",IF($D55="no","N","pending")),IF($D55="no","N",IF(AND($C55&lt;&gt;"",$I55&lt;&gt;"",$C55&lt;=WORKDAY(N($I55),-5,calendar!$A$2:$A$80)),"Y","pending"))))</f>
        <v>Y</v>
      </c>
      <c r="Q55" s="30" t="str">
        <f aca="false">IF($A55="","",IF($P55="N","N",IF($P55&lt;&gt;"Y","pending",IF(AND((COUNTIFS(stops!$A$2:$A$151,$H55,stops!$B$2:$B$151,$B55,stops!$L$2:$L$151,"declined")+COUNTIFS(stops!$A$2:$A$151,$H55,stops!$B$2:$B$151,$B55,stops!$L$2:$L$151,"building_refused")+COUNTIFS(stops!$A$2:$A$151,$H55,stops!$B$2:$B$151,$B55,stops!$L$2:$L$151,"not_delivered"))&gt;0,N($U55)=0),"N","Y"))))</f>
        <v>Y</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n">
        <f aca="false">IF($A55="","",IF($G55&lt;&gt;"",$G55,IFERROR(IF(INDEX(offices!$AM$2:$AM$61,MATCH($B55,offices!$A$2:$A$61,0))="","",INDEX(offices!$AM$2:$AM$61,MATCH($B55,offices!$A$2:$A$61,0))),"")))</f>
        <v>50</v>
      </c>
      <c r="T55" s="30" t="str">
        <f aca="false">IF($A55="","",$A55&amp;"."&amp;$B55)</f>
        <v>SAMPLE-CMP-007.SAMPLE-O-004</v>
      </c>
      <c r="U55" s="30" t="n">
        <f aca="false">IF($A55="","",SUMIFS(inventory!$G$2:$G$801,inventory!$C$2:$C$801,$A55,inventory!$D$2:$D$801,$B55,inventory!$E$2:$E$801,"delivered"))</f>
        <v>50</v>
      </c>
      <c r="V55" s="37" t="n">
        <f aca="false">IF($A55="","",IFERROR(1/(1/SUMPRODUCT(MAX((inventory!$C$2:$C$801=$A55)*(inventory!$D$2:$D$801=$B55)*(inventory!$E$2:$E$801="delivered")*(inventory!$A$2:$A$801+inventory!$B$2:$B$801)))),""))</f>
        <v>46469.4263888889</v>
      </c>
      <c r="W55" s="30" t="str">
        <f aca="false">IF($A55="","",IFERROR(IF(INDEX(inventory!$J$2:$J$801,MATCH($A55&amp;"|"&amp;$B55&amp;"|delivered",inventory!$R$2:$R$801,0))="","",INDEX(inventory!$J$2:$J$801,MATCH($A55&amp;"|"&amp;$B55&amp;"|delivered",inventory!$R$2:$R$801,0))),""))</f>
        <v>office_count</v>
      </c>
      <c r="X55" s="30" t="str">
        <f aca="false">IF($A55="","",IFERROR(IF(INDEX(photos!$H$2:$H$701,MATCH($A55&amp;"|"&amp;$B55&amp;"|placement|Y",photos!$R$2:$R$701,0))="","",INDEX(photos!$H$2:$H$701,MATCH($A55&amp;"|"&amp;$B55&amp;"|placement|Y",photos!$R$2:$R$701,0))),""))</f>
        <v>SAMPLE-CMP-007_SAMPLE-O-004_placement_2027-03-23.jpg</v>
      </c>
      <c r="Y55" s="31" t="n">
        <f aca="false">IF($A55="","",IFERROR(IF(INDEX(photos!$E$2:$E$701,MATCH($A55&amp;"|"&amp;$B55&amp;"|placement|Y",photos!$R$2:$R$701,0))="","",INDEX(photos!$E$2:$E$701,MATCH($A55&amp;"|"&amp;$B55&amp;"|placement|Y",photos!$R$2:$R$701,0))),""))</f>
        <v>46469</v>
      </c>
      <c r="Z55" s="30" t="n">
        <f aca="false">IF($A55="","",IF(COUNTIFS(counts!$C$2:$C$701,$A55,counts!$D$2:$D$701,$B55,counts!$E$2:$E$701,"placed")=0,"",SUMIFS(counts!$F$2:$F$701,counts!$C$2:$C$701,$A55,counts!$D$2:$D$701,$B55,counts!$E$2:$E$701,"placed")))</f>
        <v>50</v>
      </c>
      <c r="AA55" s="30" t="n">
        <f aca="false">IF($A55="","",IF($Y55="",0,N($Z55)))</f>
        <v>50</v>
      </c>
      <c r="AB55" s="30" t="str">
        <f aca="false">IF($A55="","",IF(OR($Y55="",$I55=""),"N",IF($Y55&lt;=WORKDAY(N($I55),1,calendar!$A$2:$A$80),"Y","N")))</f>
        <v>Y</v>
      </c>
      <c r="AC55" s="33" t="n">
        <f aca="false">IF(OR($A55="",$V55="",$Y55=""),"",ROUND(($Y55+N(IFERROR(IF(INDEX(photos!$F$2:$F$701,MATCH($A55&amp;"|"&amp;$B55&amp;"|placement|Y",photos!$R$2:$R$701,0))="","",INDEX(photos!$F$2:$F$701,MATCH($A55&amp;"|"&amp;$B55&amp;"|placement|Y",photos!$R$2:$R$701,0))),""))-$V55)*24,1))</f>
        <v>2.8</v>
      </c>
      <c r="AD55" s="30" t="n">
        <f aca="false">IF($A55="","",SUMIFS(inventory!$G$2:$G$801,inventory!$C$2:$C$801,$A55,inventory!$D$2:$D$801,$B55,inventory!$E$2:$E$801,"topped_up"))</f>
        <v>0</v>
      </c>
      <c r="AE55" s="30" t="n">
        <f aca="false">IF($A55="","",IF(COUNTIFS(counts!$C$2:$C$701,$A55,counts!$D$2:$D$701,$B55,counts!$E$2:$E$701,"remaining_day3")=0,"",SUMIFS(counts!$F$2:$F$701,counts!$C$2:$C$701,$A55,counts!$D$2:$D$701,$B55,counts!$E$2:$E$701,"remaining_day3")))</f>
        <v>13</v>
      </c>
      <c r="AF55" s="30" t="n">
        <f aca="false">IF($A55="","",IF(COUNTIFS(counts!$C$2:$C$701,$A55,counts!$D$2:$D$701,$B55,counts!$E$2:$E$701,"remaining_day5")=0,"",SUMIFS(counts!$F$2:$F$701,counts!$C$2:$C$701,$A55,counts!$D$2:$D$701,$B55,counts!$E$2:$E$701,"remaining_day5")))</f>
        <v>1</v>
      </c>
      <c r="AG55" s="30" t="n">
        <f aca="false">IF(OR($A55="",$AF55=""),"",MAX(0,$AA55+$AD55-$AF55))</f>
        <v>49</v>
      </c>
      <c r="AH55" s="30" t="str">
        <f aca="false">IF(OR($A55="",$AI55=""),"",IFERROR(IF(INDEX(photos!$H$2:$H$701,MATCH($A55&amp;"|"&amp;$B55&amp;"|later|Y|"&amp;$AI55,photos!$S$2:$S$701,0))="","",INDEX(photos!$H$2:$H$701,MATCH($A55&amp;"|"&amp;$B55&amp;"|later|Y|"&amp;$AI55,photos!$S$2:$S$701,0))),""))</f>
        <v>SAMPLE-CMP-007_SAMPLE-O-004_later_2027-03-29.jpg</v>
      </c>
      <c r="AI55" s="31" t="n">
        <f aca="false">IF($A55="","",IFERROR(1/(1/SUMPRODUCT(MAX((photos!$B$2:$B$701=$A55)*(photos!$C$2:$C$701=$B55)*(photos!$D$2:$D$701="later")*(photos!$O$2:$O$701="Y")*photos!$E$2:$E$701))),""))</f>
        <v>46475</v>
      </c>
      <c r="AJ55" s="30" t="n">
        <f aca="false">IF(OR($A55="",$AI55="",$I55=""),"",NETWORKDAYS($I55,$AI55,calendar!$A$2:$A$80))</f>
        <v>5</v>
      </c>
      <c r="AK55" s="30" t="str">
        <f aca="false">IF($A55="","",IF(AND($X55&lt;&gt;"",$AH55&lt;&gt;""),"Y","N"))</f>
        <v>Y</v>
      </c>
      <c r="AL55" s="30" t="n">
        <f aca="true">IF(OR($A55="",$I55=""),"",IF($BC55="Y",SUMIFS(survey_frozen!$C$2:$C$251,survey_frozen!$P$2:$P$251,$A55&amp;"|"&amp;$B55),IFERROR(COUNTIFS(INDIRECT("'"&amp;$A55&amp;"'!$B$2:$B$501"),$T55,INDIRECT("'"&amp;$A55&amp;"'!$A$2:$A$501"),"&gt;="&amp;$I55,INDIRECT("'"&amp;$A55&amp;"'!$A$2:$A$501"),"&lt;"&amp;($BA55+1)),0)))</f>
        <v>6</v>
      </c>
      <c r="AM55" s="30" t="n">
        <f aca="true">IF(OR($A55="",$I55=""),"",IF($BC55="Y",SUMIFS(survey_frozen!$D$2:$D$251,survey_frozen!$P$2:$P$251,$A55&amp;"|"&amp;$B55),IFERROR(COUNTIFS(INDIRECT("'"&amp;$A55&amp;"'!$B$2:$B$501"),$T55,INDIRECT("'"&amp;$A55&amp;"'!$A$2:$A$501"),"&gt;="&amp;$I55,INDIRECT("'"&amp;$A55&amp;"'!$A$2:$A$501"),"&lt;"&amp;($BA55+1),INDIRECT("'"&amp;$A55&amp;"'!$C$2:$C$501"),"Yes"),0)))</f>
        <v>5</v>
      </c>
      <c r="AN55" s="30" t="n">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12</v>
      </c>
      <c r="AO55" s="30" t="n">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5</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n">
        <f aca="true">IF(OR($A55="",$I55=""),"",IF($BC55="Y",SUMIFS(survey_frozen!$E$2:$E$251,survey_frozen!$P$2:$P$251,$A55&amp;"|"&amp;$B55),IFERROR(COUNTIFS(INDIRECT("'"&amp;$A55&amp;"'!$B$2:$B$501"),$T55,INDIRECT("'"&amp;$A55&amp;"'!$A$2:$A$501"),"&gt;="&amp;$I55,INDIRECT("'"&amp;$A55&amp;"'!$A$2:$A$501"),"&lt;"&amp;($BA55+1),INDIRECT("'"&amp;$A55&amp;"'!$F$2:$F$501"),"Didn't see it"),0)))</f>
        <v>1</v>
      </c>
      <c r="AR55" s="30" t="n">
        <f aca="true">IF(OR($A55="",$I55=""),"",IF($BC55="Y",SUMIFS(survey_frozen!$F$2:$F$251,survey_frozen!$P$2:$P$251,$A55&amp;"|"&amp;$B55),IFERROR(COUNTIFS(INDIRECT("'"&amp;$A55&amp;"'!$B$2:$B$501"),$T55,INDIRECT("'"&amp;$A55&amp;"'!$A$2:$A$501"),"&gt;="&amp;$I55,INDIRECT("'"&amp;$A55&amp;"'!$A$2:$A$501"),"&lt;"&amp;($BA55+1),INDIRECT("'"&amp;$A55&amp;"'!$F$2:$F$501"),"Not for me"),0)))</f>
        <v>0</v>
      </c>
      <c r="AS55" s="30" t="n">
        <f aca="true">IF(OR($A55="",$I55=""),"",IF($BC55="Y",SUMIFS(survey_frozen!$G$2:$G$251,survey_frozen!$P$2:$P$251,$A55&amp;"|"&amp;$B55),IFERROR(COUNTIFS(INDIRECT("'"&amp;$A55&amp;"'!$B$2:$B$501"),$T55,INDIRECT("'"&amp;$A55&amp;"'!$A$2:$A$501"),"&gt;="&amp;$I55,INDIRECT("'"&amp;$A55&amp;"'!$A$2:$A$501"),"&lt;"&amp;($BA55+1),INDIRECT("'"&amp;$A55&amp;"'!$F$2:$F$501"),"Gone by the time I looked"),0)))</f>
        <v>0</v>
      </c>
      <c r="AT55" s="30" t="n">
        <f aca="true">IF(OR($A55="",$I55=""),"",IF($BC55="Y",SUMIFS(survey_frozen!$H$2:$H$251,survey_frozen!$P$2:$P$251,$A55&amp;"|"&amp;$B55),IFERROR(COUNTIFS(INDIRECT("'"&amp;$A55&amp;"'!$B$2:$B$501"),$T55,INDIRECT("'"&amp;$A55&amp;"'!$A$2:$A$501"),"&gt;="&amp;$I55,INDIRECT("'"&amp;$A55&amp;"'!$A$2:$A$501"),"&lt;"&amp;($BA55+1),INDIRECT("'"&amp;$A55&amp;"'!$D$2:$D$501"),"&gt;=1"),0)))</f>
        <v>5</v>
      </c>
      <c r="AU55" s="30" t="n">
        <f aca="true">IF(OR($A55="",$I55=""),"",IF($BC55="Y",SUMIFS(survey_frozen!$I$2:$I$251,survey_frozen!$P$2:$P$251,$A55&amp;"|"&amp;$B55),IFERROR(SUMIFS(INDIRECT("'"&amp;$A55&amp;"'!$D$2:$D$501"),INDIRECT("'"&amp;$A55&amp;"'!$B$2:$B$501"),$T55,INDIRECT("'"&amp;$A55&amp;"'!$A$2:$A$501"),"&gt;="&amp;$I55,INDIRECT("'"&amp;$A55&amp;"'!$A$2:$A$501"),"&lt;"&amp;($BA55+1)),0)))</f>
        <v>22</v>
      </c>
      <c r="AV55" s="30" t="n">
        <f aca="true">IF(OR($A55="",$I55=""),"",IF($BC55="Y",SUMIFS(survey_frozen!$J$2:$J$251,survey_frozen!$P$2:$P$251,$A55&amp;"|"&amp;$B55),IFERROR(COUNTIFS(INDIRECT("'"&amp;$A55&amp;"'!$B$2:$B$501"),$T55,INDIRECT("'"&amp;$A55&amp;"'!$A$2:$A$501"),"&gt;="&amp;$I55,INDIRECT("'"&amp;$A55&amp;"'!$A$2:$A$501"),"&lt;"&amp;($BA55+1),INDIRECT("'"&amp;$A55&amp;"'!$E$2:$E$501"),"Yes"),0)))</f>
        <v>2</v>
      </c>
      <c r="AW55" s="30" t="n">
        <f aca="true">IF(OR($A55="",$I55=""),"",IF($BC55="Y",SUMIFS(survey_frozen!$K$2:$K$251,survey_frozen!$P$2:$P$251,$A55&amp;"|"&amp;$B55),IFERROR(COUNTIFS(INDIRECT("'"&amp;$A55&amp;"'!$B$2:$B$501"),$T55,INDIRECT("'"&amp;$A55&amp;"'!$A$2:$A$501"),"&gt;="&amp;$I55,INDIRECT("'"&amp;$A55&amp;"'!$A$2:$A$501"),"&lt;"&amp;($BA55+1),INDIRECT("'"&amp;$A55&amp;"'!$E$2:$E$501"),"Maybe"),0)))</f>
        <v>1</v>
      </c>
      <c r="AX55" s="30" t="n">
        <f aca="true">IF(OR($A55="",$I55=""),"",IF($BC55="Y",SUMIFS(survey_frozen!$L$2:$L$251,survey_frozen!$P$2:$P$251,$A55&amp;"|"&amp;$B55),IFERROR(COUNTIFS(INDIRECT("'"&amp;$A55&amp;"'!$B$2:$B$501"),$T55,INDIRECT("'"&amp;$A55&amp;"'!$A$2:$A$501"),"&gt;="&amp;$I55,INDIRECT("'"&amp;$A55&amp;"'!$A$2:$A$501"),"&lt;"&amp;($BA55+1),INDIRECT("'"&amp;$A55&amp;"'!$E$2:$E$501"),"No"),0)))</f>
        <v>2</v>
      </c>
      <c r="AY55" s="30" t="n">
        <f aca="true">IF(OR($A55="",$I55=""),"",IF($BC55="Y",SUMIFS(survey_frozen!$M$2:$M$251,survey_frozen!$P$2:$P$251,$A55&amp;"|"&amp;$B55),IFERROR(COUNTIFS(INDIRECT("'"&amp;$A55&amp;"'!$B$2:$B$501"),$T55,INDIRECT("'"&amp;$A55&amp;"'!$A$2:$A$501"),"&gt;="&amp;$I55,INDIRECT("'"&amp;$A55&amp;"'!$A$2:$A$501"),"&lt;"&amp;($BA55+1),INDIRECT("'"&amp;$A55&amp;"'!$G$2:$G$501"),"&lt;&gt;"),0)))</f>
        <v>4</v>
      </c>
      <c r="AZ55" s="30" t="str">
        <f aca="false">IF($A55="","",$A55&amp;"|"&amp;$L55)</f>
        <v>SAMPLE-CMP-007|4</v>
      </c>
      <c r="BA55" s="31" t="n">
        <f aca="false">IF($A55="","",IFERROR(IF(INDEX(drops!$R$2:$R$21,MATCH($H55,drops!$A$2:$A$21,0))="","",INDEX(drops!$R$2:$R$21,MATCH($H55,drops!$A$2:$A$21,0))),""))</f>
        <v>46475</v>
      </c>
      <c r="BB55" s="30" t="n">
        <f aca="false">IF(OR($A55="",$Q55&lt;&gt;"Y"),1000000,N($AL55))</f>
        <v>6</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A56" s="0" t="s">
        <v>576</v>
      </c>
      <c r="B56" s="0" t="s">
        <v>688</v>
      </c>
      <c r="C56" s="11" t="n">
        <v>46442</v>
      </c>
      <c r="D56" s="10"/>
      <c r="E56" s="11"/>
      <c r="H56" s="30" t="str">
        <f aca="false">IF($A56="","",IFERROR(IF(INDEX(campaigns!$B$2:$B$51,MATCH($A56,campaigns!$A$2:$A$51,0))="","",INDEX(campaigns!$B$2:$B$51,MATCH($A56,campaigns!$A$2:$A$51,0))),""))</f>
        <v>SAMPLE-DRP-004</v>
      </c>
      <c r="I56" s="31" t="n">
        <f aca="false">IF($A56="","",IFERROR(IF(INDEX(campaigns!$BG$2:$BG$51,MATCH($A56,campaigns!$A$2:$A$51,0))="","",INDEX(campaigns!$BG$2:$BG$51,MATCH($A56,campaigns!$A$2:$A$51,0))),""))</f>
        <v>46469</v>
      </c>
      <c r="J56" s="30" t="str">
        <f aca="false">IF($A56="","",IFERROR(IF(INDEX(campaigns!$BE$2:$BE$51,MATCH($A56,campaigns!$A$2:$A$51,0))="","",INDEX(campaigns!$BE$2:$BE$51,MATCH($A56,campaigns!$A$2:$A$51,0))),""))</f>
        <v>SAMPLE Brightside</v>
      </c>
      <c r="K56" s="30" t="str">
        <f aca="false">IF($B56="","",IFERROR(IF(INDEX(offices!$O$2:$O$61,MATCH($B56,offices!$A$2:$A$61,0))="","",INDEX(offices!$O$2:$O$61,MATCH($B56,offices!$A$2:$A$61,0))),""))</f>
        <v>SAMPLE Studio Marlow</v>
      </c>
      <c r="L56" s="30" t="n">
        <f aca="false">IF($A56="","",IF($Q56="N","",COUNTIFS($A$2:$A56,$A56,$Q$2:$Q56,"&lt;&gt;N")))</f>
        <v>5</v>
      </c>
      <c r="M56" s="30" t="str">
        <f aca="false">IF(OR($A56="",$L56=""),"",IF(AND(config!$B$34="names_if_public",IFERROR(IF(INDEX(offices!$AG$2:$AG$61,MATCH($B56,offices!$A$2:$A$61,0))="","",INDEX(offices!$AG$2:$AG$61,MATCH($B56,offices!$A$2:$A$61,0))),"")="Y"),$K56,CHAR(64+$L56)))</f>
        <v>E</v>
      </c>
      <c r="N56" s="30" t="n">
        <f aca="false">IF(OR($A56="",$I56=""),"",COUNTIFS(stops!$B$2:$B$151,$B56,stops!$P$2:$P$151,"&lt;"&amp;$I56,stops!$L$2:$L$151,"&lt;&gt;not_delivered")+1)</f>
        <v>4</v>
      </c>
      <c r="O56" s="30" t="str">
        <f aca="false">IF($A56="","",IF(N($N56)&lt;=config!$B$29,"explicit","opt-out"))</f>
        <v>opt-out</v>
      </c>
      <c r="P56" s="30" t="str">
        <f aca="false">IF($A56="","",IF($O56="explicit",IF($D56="yes","Y",IF($D56="no","N","pending")),IF($D56="no","N",IF(AND($C56&lt;&gt;"",$I56&lt;&gt;"",$C56&lt;=WORKDAY(N($I56),-5,calendar!$A$2:$A$80)),"Y","pending"))))</f>
        <v>Y</v>
      </c>
      <c r="Q56" s="30" t="str">
        <f aca="false">IF($A56="","",IF($P56="N","N",IF($P56&lt;&gt;"Y","pending",IF(AND((COUNTIFS(stops!$A$2:$A$151,$H56,stops!$B$2:$B$151,$B56,stops!$L$2:$L$151,"declined")+COUNTIFS(stops!$A$2:$A$151,$H56,stops!$B$2:$B$151,$B56,stops!$L$2:$L$151,"building_refused")+COUNTIFS(stops!$A$2:$A$151,$H56,stops!$B$2:$B$151,$B56,stops!$L$2:$L$151,"not_delivered"))&gt;0,N($U56)=0),"N","Y"))))</f>
        <v>Y</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n">
        <f aca="false">IF($A56="","",IF($G56&lt;&gt;"",$G56,IFERROR(IF(INDEX(offices!$AM$2:$AM$61,MATCH($B56,offices!$A$2:$A$61,0))="","",INDEX(offices!$AM$2:$AM$61,MATCH($B56,offices!$A$2:$A$61,0))),"")))</f>
        <v>70</v>
      </c>
      <c r="T56" s="30" t="str">
        <f aca="false">IF($A56="","",$A56&amp;"."&amp;$B56)</f>
        <v>SAMPLE-CMP-007.SAMPLE-O-005</v>
      </c>
      <c r="U56" s="30" t="n">
        <f aca="false">IF($A56="","",SUMIFS(inventory!$G$2:$G$801,inventory!$C$2:$C$801,$A56,inventory!$D$2:$D$801,$B56,inventory!$E$2:$E$801,"delivered"))</f>
        <v>70</v>
      </c>
      <c r="V56" s="37" t="n">
        <f aca="false">IF($A56="","",IFERROR(1/(1/SUMPRODUCT(MAX((inventory!$C$2:$C$801=$A56)*(inventory!$D$2:$D$801=$B56)*(inventory!$E$2:$E$801="delivered")*(inventory!$A$2:$A$801+inventory!$B$2:$B$801)))),""))</f>
        <v>46469.4270833333</v>
      </c>
      <c r="W56" s="30" t="str">
        <f aca="false">IF($A56="","",IFERROR(IF(INDEX(inventory!$J$2:$J$801,MATCH($A56&amp;"|"&amp;$B56&amp;"|delivered",inventory!$R$2:$R$801,0))="","",INDEX(inventory!$J$2:$J$801,MATCH($A56&amp;"|"&amp;$B56&amp;"|delivered",inventory!$R$2:$R$801,0))),""))</f>
        <v>office_count</v>
      </c>
      <c r="X56" s="30" t="str">
        <f aca="false">IF($A56="","",IFERROR(IF(INDEX(photos!$H$2:$H$701,MATCH($A56&amp;"|"&amp;$B56&amp;"|placement|Y",photos!$R$2:$R$701,0))="","",INDEX(photos!$H$2:$H$701,MATCH($A56&amp;"|"&amp;$B56&amp;"|placement|Y",photos!$R$2:$R$701,0))),""))</f>
        <v>SAMPLE-CMP-007_SAMPLE-O-005_placement_2027-03-23.jpg</v>
      </c>
      <c r="Y56" s="31" t="n">
        <f aca="false">IF($A56="","",IFERROR(IF(INDEX(photos!$E$2:$E$701,MATCH($A56&amp;"|"&amp;$B56&amp;"|placement|Y",photos!$R$2:$R$701,0))="","",INDEX(photos!$E$2:$E$701,MATCH($A56&amp;"|"&amp;$B56&amp;"|placement|Y",photos!$R$2:$R$701,0))),""))</f>
        <v>46469</v>
      </c>
      <c r="Z56" s="30" t="n">
        <f aca="false">IF($A56="","",IF(COUNTIFS(counts!$C$2:$C$701,$A56,counts!$D$2:$D$701,$B56,counts!$E$2:$E$701,"placed")=0,"",SUMIFS(counts!$F$2:$F$701,counts!$C$2:$C$701,$A56,counts!$D$2:$D$701,$B56,counts!$E$2:$E$701,"placed")))</f>
        <v>70</v>
      </c>
      <c r="AA56" s="30" t="n">
        <f aca="false">IF($A56="","",IF($Y56="",0,N($Z56)))</f>
        <v>70</v>
      </c>
      <c r="AB56" s="30" t="str">
        <f aca="false">IF($A56="","",IF(OR($Y56="",$I56=""),"N",IF($Y56&lt;=WORKDAY(N($I56),1,calendar!$A$2:$A$80),"Y","N")))</f>
        <v>Y</v>
      </c>
      <c r="AC56" s="33" t="n">
        <f aca="false">IF(OR($A56="",$V56="",$Y56=""),"",ROUND(($Y56+N(IFERROR(IF(INDEX(photos!$F$2:$F$701,MATCH($A56&amp;"|"&amp;$B56&amp;"|placement|Y",photos!$R$2:$R$701,0))="","",INDEX(photos!$F$2:$F$701,MATCH($A56&amp;"|"&amp;$B56&amp;"|placement|Y",photos!$R$2:$R$701,0))),""))-$V56)*24,1))</f>
        <v>2.8</v>
      </c>
      <c r="AD56" s="30" t="n">
        <f aca="false">IF($A56="","",SUMIFS(inventory!$G$2:$G$801,inventory!$C$2:$C$801,$A56,inventory!$D$2:$D$801,$B56,inventory!$E$2:$E$801,"topped_up"))</f>
        <v>0</v>
      </c>
      <c r="AE56" s="30" t="n">
        <f aca="false">IF($A56="","",IF(COUNTIFS(counts!$C$2:$C$701,$A56,counts!$D$2:$D$701,$B56,counts!$E$2:$E$701,"remaining_day3")=0,"",SUMIFS(counts!$F$2:$F$701,counts!$C$2:$C$701,$A56,counts!$D$2:$D$701,$B56,counts!$E$2:$E$701,"remaining_day3")))</f>
        <v>31</v>
      </c>
      <c r="AF56" s="30" t="n">
        <f aca="false">IF($A56="","",IF(COUNTIFS(counts!$C$2:$C$701,$A56,counts!$D$2:$D$701,$B56,counts!$E$2:$E$701,"remaining_day5")=0,"",SUMIFS(counts!$F$2:$F$701,counts!$C$2:$C$701,$A56,counts!$D$2:$D$701,$B56,counts!$E$2:$E$701,"remaining_day5")))</f>
        <v>5</v>
      </c>
      <c r="AG56" s="30" t="n">
        <f aca="false">IF(OR($A56="",$AF56=""),"",MAX(0,$AA56+$AD56-$AF56))</f>
        <v>65</v>
      </c>
      <c r="AH56" s="30" t="str">
        <f aca="false">IF(OR($A56="",$AI56=""),"",IFERROR(IF(INDEX(photos!$H$2:$H$701,MATCH($A56&amp;"|"&amp;$B56&amp;"|later|Y|"&amp;$AI56,photos!$S$2:$S$701,0))="","",INDEX(photos!$H$2:$H$701,MATCH($A56&amp;"|"&amp;$B56&amp;"|later|Y|"&amp;$AI56,photos!$S$2:$S$701,0))),""))</f>
        <v>SAMPLE-CMP-007_SAMPLE-O-005_later_2027-03-29.jpg</v>
      </c>
      <c r="AI56" s="31" t="n">
        <f aca="false">IF($A56="","",IFERROR(1/(1/SUMPRODUCT(MAX((photos!$B$2:$B$701=$A56)*(photos!$C$2:$C$701=$B56)*(photos!$D$2:$D$701="later")*(photos!$O$2:$O$701="Y")*photos!$E$2:$E$701))),""))</f>
        <v>46475</v>
      </c>
      <c r="AJ56" s="30" t="n">
        <f aca="false">IF(OR($A56="",$AI56="",$I56=""),"",NETWORKDAYS($I56,$AI56,calendar!$A$2:$A$80))</f>
        <v>5</v>
      </c>
      <c r="AK56" s="30" t="str">
        <f aca="false">IF($A56="","",IF(AND($X56&lt;&gt;"",$AH56&lt;&gt;""),"Y","N"))</f>
        <v>Y</v>
      </c>
      <c r="AL56" s="30" t="n">
        <f aca="true">IF(OR($A56="",$I56=""),"",IF($BC56="Y",SUMIFS(survey_frozen!$C$2:$C$251,survey_frozen!$P$2:$P$251,$A56&amp;"|"&amp;$B56),IFERROR(COUNTIFS(INDIRECT("'"&amp;$A56&amp;"'!$B$2:$B$501"),$T56,INDIRECT("'"&amp;$A56&amp;"'!$A$2:$A$501"),"&gt;="&amp;$I56,INDIRECT("'"&amp;$A56&amp;"'!$A$2:$A$501"),"&lt;"&amp;($BA56+1)),0)))</f>
        <v>8</v>
      </c>
      <c r="AM56" s="30" t="n">
        <f aca="true">IF(OR($A56="",$I56=""),"",IF($BC56="Y",SUMIFS(survey_frozen!$D$2:$D$251,survey_frozen!$P$2:$P$251,$A56&amp;"|"&amp;$B56),IFERROR(COUNTIFS(INDIRECT("'"&amp;$A56&amp;"'!$B$2:$B$501"),$T56,INDIRECT("'"&amp;$A56&amp;"'!$A$2:$A$501"),"&gt;="&amp;$I56,INDIRECT("'"&amp;$A56&amp;"'!$A$2:$A$501"),"&lt;"&amp;($BA56+1),INDIRECT("'"&amp;$A56&amp;"'!$C$2:$C$501"),"Yes"),0)))</f>
        <v>4</v>
      </c>
      <c r="AN56" s="30" t="n">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4</v>
      </c>
      <c r="AO56" s="30" t="n">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7</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n">
        <f aca="true">IF(OR($A56="",$I56=""),"",IF($BC56="Y",SUMIFS(survey_frozen!$E$2:$E$251,survey_frozen!$P$2:$P$251,$A56&amp;"|"&amp;$B56),IFERROR(COUNTIFS(INDIRECT("'"&amp;$A56&amp;"'!$B$2:$B$501"),$T56,INDIRECT("'"&amp;$A56&amp;"'!$A$2:$A$501"),"&gt;="&amp;$I56,INDIRECT("'"&amp;$A56&amp;"'!$A$2:$A$501"),"&lt;"&amp;($BA56+1),INDIRECT("'"&amp;$A56&amp;"'!$F$2:$F$501"),"Didn't see it"),0)))</f>
        <v>0</v>
      </c>
      <c r="AR56" s="30" t="n">
        <f aca="true">IF(OR($A56="",$I56=""),"",IF($BC56="Y",SUMIFS(survey_frozen!$F$2:$F$251,survey_frozen!$P$2:$P$251,$A56&amp;"|"&amp;$B56),IFERROR(COUNTIFS(INDIRECT("'"&amp;$A56&amp;"'!$B$2:$B$501"),$T56,INDIRECT("'"&amp;$A56&amp;"'!$A$2:$A$501"),"&gt;="&amp;$I56,INDIRECT("'"&amp;$A56&amp;"'!$A$2:$A$501"),"&lt;"&amp;($BA56+1),INDIRECT("'"&amp;$A56&amp;"'!$F$2:$F$501"),"Not for me"),0)))</f>
        <v>2</v>
      </c>
      <c r="AS56" s="30" t="n">
        <f aca="true">IF(OR($A56="",$I56=""),"",IF($BC56="Y",SUMIFS(survey_frozen!$G$2:$G$251,survey_frozen!$P$2:$P$251,$A56&amp;"|"&amp;$B56),IFERROR(COUNTIFS(INDIRECT("'"&amp;$A56&amp;"'!$B$2:$B$501"),$T56,INDIRECT("'"&amp;$A56&amp;"'!$A$2:$A$501"),"&gt;="&amp;$I56,INDIRECT("'"&amp;$A56&amp;"'!$A$2:$A$501"),"&lt;"&amp;($BA56+1),INDIRECT("'"&amp;$A56&amp;"'!$F$2:$F$501"),"Gone by the time I looked"),0)))</f>
        <v>2</v>
      </c>
      <c r="AT56" s="30" t="n">
        <f aca="true">IF(OR($A56="",$I56=""),"",IF($BC56="Y",SUMIFS(survey_frozen!$H$2:$H$251,survey_frozen!$P$2:$P$251,$A56&amp;"|"&amp;$B56),IFERROR(COUNTIFS(INDIRECT("'"&amp;$A56&amp;"'!$B$2:$B$501"),$T56,INDIRECT("'"&amp;$A56&amp;"'!$A$2:$A$501"),"&gt;="&amp;$I56,INDIRECT("'"&amp;$A56&amp;"'!$A$2:$A$501"),"&lt;"&amp;($BA56+1),INDIRECT("'"&amp;$A56&amp;"'!$D$2:$D$501"),"&gt;=1"),0)))</f>
        <v>4</v>
      </c>
      <c r="AU56" s="30" t="n">
        <f aca="true">IF(OR($A56="",$I56=""),"",IF($BC56="Y",SUMIFS(survey_frozen!$I$2:$I$251,survey_frozen!$P$2:$P$251,$A56&amp;"|"&amp;$B56),IFERROR(SUMIFS(INDIRECT("'"&amp;$A56&amp;"'!$D$2:$D$501"),INDIRECT("'"&amp;$A56&amp;"'!$B$2:$B$501"),$T56,INDIRECT("'"&amp;$A56&amp;"'!$A$2:$A$501"),"&gt;="&amp;$I56,INDIRECT("'"&amp;$A56&amp;"'!$A$2:$A$501"),"&lt;"&amp;($BA56+1)),0)))</f>
        <v>14</v>
      </c>
      <c r="AV56" s="30" t="n">
        <f aca="true">IF(OR($A56="",$I56=""),"",IF($BC56="Y",SUMIFS(survey_frozen!$J$2:$J$251,survey_frozen!$P$2:$P$251,$A56&amp;"|"&amp;$B56),IFERROR(COUNTIFS(INDIRECT("'"&amp;$A56&amp;"'!$B$2:$B$501"),$T56,INDIRECT("'"&amp;$A56&amp;"'!$A$2:$A$501"),"&gt;="&amp;$I56,INDIRECT("'"&amp;$A56&amp;"'!$A$2:$A$501"),"&lt;"&amp;($BA56+1),INDIRECT("'"&amp;$A56&amp;"'!$E$2:$E$501"),"Yes"),0)))</f>
        <v>3</v>
      </c>
      <c r="AW56" s="30" t="n">
        <f aca="true">IF(OR($A56="",$I56=""),"",IF($BC56="Y",SUMIFS(survey_frozen!$K$2:$K$251,survey_frozen!$P$2:$P$251,$A56&amp;"|"&amp;$B56),IFERROR(COUNTIFS(INDIRECT("'"&amp;$A56&amp;"'!$B$2:$B$501"),$T56,INDIRECT("'"&amp;$A56&amp;"'!$A$2:$A$501"),"&gt;="&amp;$I56,INDIRECT("'"&amp;$A56&amp;"'!$A$2:$A$501"),"&lt;"&amp;($BA56+1),INDIRECT("'"&amp;$A56&amp;"'!$E$2:$E$501"),"Maybe"),0)))</f>
        <v>1</v>
      </c>
      <c r="AX56" s="30" t="n">
        <f aca="true">IF(OR($A56="",$I56=""),"",IF($BC56="Y",SUMIFS(survey_frozen!$L$2:$L$251,survey_frozen!$P$2:$P$251,$A56&amp;"|"&amp;$B56),IFERROR(COUNTIFS(INDIRECT("'"&amp;$A56&amp;"'!$B$2:$B$501"),$T56,INDIRECT("'"&amp;$A56&amp;"'!$A$2:$A$501"),"&gt;="&amp;$I56,INDIRECT("'"&amp;$A56&amp;"'!$A$2:$A$501"),"&lt;"&amp;($BA56+1),INDIRECT("'"&amp;$A56&amp;"'!$E$2:$E$501"),"No"),0)))</f>
        <v>0</v>
      </c>
      <c r="AY56" s="30" t="n">
        <f aca="true">IF(OR($A56="",$I56=""),"",IF($BC56="Y",SUMIFS(survey_frozen!$M$2:$M$251,survey_frozen!$P$2:$P$251,$A56&amp;"|"&amp;$B56),IFERROR(COUNTIFS(INDIRECT("'"&amp;$A56&amp;"'!$B$2:$B$501"),$T56,INDIRECT("'"&amp;$A56&amp;"'!$A$2:$A$501"),"&gt;="&amp;$I56,INDIRECT("'"&amp;$A56&amp;"'!$A$2:$A$501"),"&lt;"&amp;($BA56+1),INDIRECT("'"&amp;$A56&amp;"'!$G$2:$G$501"),"&lt;&gt;"),0)))</f>
        <v>1</v>
      </c>
      <c r="AZ56" s="30" t="str">
        <f aca="false">IF($A56="","",$A56&amp;"|"&amp;$L56)</f>
        <v>SAMPLE-CMP-007|5</v>
      </c>
      <c r="BA56" s="31" t="n">
        <f aca="false">IF($A56="","",IFERROR(IF(INDEX(drops!$R$2:$R$21,MATCH($H56,drops!$A$2:$A$21,0))="","",INDEX(drops!$R$2:$R$21,MATCH($H56,drops!$A$2:$A$21,0))),""))</f>
        <v>46475</v>
      </c>
      <c r="BB56" s="30" t="n">
        <f aca="false">IF(OR($A56="",$Q56&lt;&gt;"Y"),1000000,N($AL56))</f>
        <v>8</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A57" s="0" t="s">
        <v>576</v>
      </c>
      <c r="B57" s="0" t="s">
        <v>690</v>
      </c>
      <c r="C57" s="11" t="n">
        <v>46442</v>
      </c>
      <c r="D57" s="10" t="s">
        <v>496</v>
      </c>
      <c r="E57" s="11" t="n">
        <v>46443</v>
      </c>
      <c r="F57" s="10" t="s">
        <v>737</v>
      </c>
      <c r="H57" s="30" t="str">
        <f aca="false">IF($A57="","",IFERROR(IF(INDEX(campaigns!$B$2:$B$51,MATCH($A57,campaigns!$A$2:$A$51,0))="","",INDEX(campaigns!$B$2:$B$51,MATCH($A57,campaigns!$A$2:$A$51,0))),""))</f>
        <v>SAMPLE-DRP-004</v>
      </c>
      <c r="I57" s="31" t="n">
        <f aca="false">IF($A57="","",IFERROR(IF(INDEX(campaigns!$BG$2:$BG$51,MATCH($A57,campaigns!$A$2:$A$51,0))="","",INDEX(campaigns!$BG$2:$BG$51,MATCH($A57,campaigns!$A$2:$A$51,0))),""))</f>
        <v>46469</v>
      </c>
      <c r="J57" s="30" t="str">
        <f aca="false">IF($A57="","",IFERROR(IF(INDEX(campaigns!$BE$2:$BE$51,MATCH($A57,campaigns!$A$2:$A$51,0))="","",INDEX(campaigns!$BE$2:$BE$51,MATCH($A57,campaigns!$A$2:$A$51,0))),""))</f>
        <v>SAMPLE Brightside</v>
      </c>
      <c r="K57" s="30" t="str">
        <f aca="false">IF($B57="","",IFERROR(IF(INDEX(offices!$O$2:$O$61,MATCH($B57,offices!$A$2:$A$61,0))="","",INDEX(offices!$O$2:$O$61,MATCH($B57,offices!$A$2:$A$61,0))),""))</f>
        <v>SAMPLE Kestrel Analytics</v>
      </c>
      <c r="L57" s="30" t="n">
        <f aca="false">IF($A57="","",IF($Q57="N","",COUNTIFS($A$2:$A57,$A57,$Q$2:$Q57,"&lt;&gt;N")))</f>
        <v>6</v>
      </c>
      <c r="M57" s="30" t="str">
        <f aca="false">IF(OR($A57="",$L57=""),"",IF(AND(config!$B$34="names_if_public",IFERROR(IF(INDEX(offices!$AG$2:$AG$61,MATCH($B57,offices!$A$2:$A$61,0))="","",INDEX(offices!$AG$2:$AG$61,MATCH($B57,offices!$A$2:$A$61,0))),"")="Y"),$K57,CHAR(64+$L57)))</f>
        <v>F</v>
      </c>
      <c r="N57" s="30" t="n">
        <f aca="false">IF(OR($A57="",$I57=""),"",COUNTIFS(stops!$B$2:$B$151,$B57,stops!$P$2:$P$151,"&lt;"&amp;$I57,stops!$L$2:$L$151,"&lt;&gt;not_delivered")+1)</f>
        <v>3</v>
      </c>
      <c r="O57" s="30" t="str">
        <f aca="false">IF($A57="","",IF(N($N57)&lt;=config!$B$29,"explicit","opt-out"))</f>
        <v>explicit</v>
      </c>
      <c r="P57" s="30" t="str">
        <f aca="false">IF($A57="","",IF($O57="explicit",IF($D57="yes","Y",IF($D57="no","N","pending")),IF($D57="no","N",IF(AND($C57&lt;&gt;"",$I57&lt;&gt;"",$C57&lt;=WORKDAY(N($I57),-5,calendar!$A$2:$A$80)),"Y","pending"))))</f>
        <v>Y</v>
      </c>
      <c r="Q57" s="30" t="str">
        <f aca="false">IF($A57="","",IF($P57="N","N",IF($P57&lt;&gt;"Y","pending",IF(AND((COUNTIFS(stops!$A$2:$A$151,$H57,stops!$B$2:$B$151,$B57,stops!$L$2:$L$151,"declined")+COUNTIFS(stops!$A$2:$A$151,$H57,stops!$B$2:$B$151,$B57,stops!$L$2:$L$151,"building_refused")+COUNTIFS(stops!$A$2:$A$151,$H57,stops!$B$2:$B$151,$B57,stops!$L$2:$L$151,"not_delivered"))&gt;0,N($U57)=0),"N","Y"))))</f>
        <v>Y</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n">
        <f aca="false">IF($A57="","",IF($G57&lt;&gt;"",$G57,IFERROR(IF(INDEX(offices!$AM$2:$AM$61,MATCH($B57,offices!$A$2:$A$61,0))="","",INDEX(offices!$AM$2:$AM$61,MATCH($B57,offices!$A$2:$A$61,0))),"")))</f>
        <v>45</v>
      </c>
      <c r="T57" s="30" t="str">
        <f aca="false">IF($A57="","",$A57&amp;"."&amp;$B57)</f>
        <v>SAMPLE-CMP-007.SAMPLE-O-006</v>
      </c>
      <c r="U57" s="30" t="n">
        <f aca="false">IF($A57="","",SUMIFS(inventory!$G$2:$G$801,inventory!$C$2:$C$801,$A57,inventory!$D$2:$D$801,$B57,inventory!$E$2:$E$801,"delivered"))</f>
        <v>45</v>
      </c>
      <c r="V57" s="37" t="n">
        <f aca="false">IF($A57="","",IFERROR(1/(1/SUMPRODUCT(MAX((inventory!$C$2:$C$801=$A57)*(inventory!$D$2:$D$801=$B57)*(inventory!$E$2:$E$801="delivered")*(inventory!$A$2:$A$801+inventory!$B$2:$B$801)))),""))</f>
        <v>46469.4277777778</v>
      </c>
      <c r="W57" s="30" t="str">
        <f aca="false">IF($A57="","",IFERROR(IF(INDEX(inventory!$J$2:$J$801,MATCH($A57&amp;"|"&amp;$B57&amp;"|delivered",inventory!$R$2:$R$801,0))="","",INDEX(inventory!$J$2:$J$801,MATCH($A57&amp;"|"&amp;$B57&amp;"|delivered",inventory!$R$2:$R$801,0))),""))</f>
        <v>office_count</v>
      </c>
      <c r="X57" s="30" t="str">
        <f aca="false">IF($A57="","",IFERROR(IF(INDEX(photos!$H$2:$H$701,MATCH($A57&amp;"|"&amp;$B57&amp;"|placement|Y",photos!$R$2:$R$701,0))="","",INDEX(photos!$H$2:$H$701,MATCH($A57&amp;"|"&amp;$B57&amp;"|placement|Y",photos!$R$2:$R$701,0))),""))</f>
        <v>SAMPLE-CMP-007_SAMPLE-O-006_placement_2027-03-23.jpg</v>
      </c>
      <c r="Y57" s="31" t="n">
        <f aca="false">IF($A57="","",IFERROR(IF(INDEX(photos!$E$2:$E$701,MATCH($A57&amp;"|"&amp;$B57&amp;"|placement|Y",photos!$R$2:$R$701,0))="","",INDEX(photos!$E$2:$E$701,MATCH($A57&amp;"|"&amp;$B57&amp;"|placement|Y",photos!$R$2:$R$701,0))),""))</f>
        <v>46469</v>
      </c>
      <c r="Z57" s="30" t="n">
        <f aca="false">IF($A57="","",IF(COUNTIFS(counts!$C$2:$C$701,$A57,counts!$D$2:$D$701,$B57,counts!$E$2:$E$701,"placed")=0,"",SUMIFS(counts!$F$2:$F$701,counts!$C$2:$C$701,$A57,counts!$D$2:$D$701,$B57,counts!$E$2:$E$701,"placed")))</f>
        <v>45</v>
      </c>
      <c r="AA57" s="30" t="n">
        <f aca="false">IF($A57="","",IF($Y57="",0,N($Z57)))</f>
        <v>45</v>
      </c>
      <c r="AB57" s="30" t="str">
        <f aca="false">IF($A57="","",IF(OR($Y57="",$I57=""),"N",IF($Y57&lt;=WORKDAY(N($I57),1,calendar!$A$2:$A$80),"Y","N")))</f>
        <v>Y</v>
      </c>
      <c r="AC57" s="33" t="n">
        <f aca="false">IF(OR($A57="",$V57="",$Y57=""),"",ROUND(($Y57+N(IFERROR(IF(INDEX(photos!$F$2:$F$701,MATCH($A57&amp;"|"&amp;$B57&amp;"|placement|Y",photos!$R$2:$R$701,0))="","",INDEX(photos!$F$2:$F$701,MATCH($A57&amp;"|"&amp;$B57&amp;"|placement|Y",photos!$R$2:$R$701,0))),""))-$V57)*24,1))</f>
        <v>2.7</v>
      </c>
      <c r="AD57" s="30" t="n">
        <f aca="false">IF($A57="","",SUMIFS(inventory!$G$2:$G$801,inventory!$C$2:$C$801,$A57,inventory!$D$2:$D$801,$B57,inventory!$E$2:$E$801,"topped_up"))</f>
        <v>0</v>
      </c>
      <c r="AE57" s="30" t="n">
        <f aca="false">IF($A57="","",IF(COUNTIFS(counts!$C$2:$C$701,$A57,counts!$D$2:$D$701,$B57,counts!$E$2:$E$701,"remaining_day3")=0,"",SUMIFS(counts!$F$2:$F$701,counts!$C$2:$C$701,$A57,counts!$D$2:$D$701,$B57,counts!$E$2:$E$701,"remaining_day3")))</f>
        <v>14</v>
      </c>
      <c r="AF57" s="30" t="n">
        <f aca="false">IF($A57="","",IF(COUNTIFS(counts!$C$2:$C$701,$A57,counts!$D$2:$D$701,$B57,counts!$E$2:$E$701,"remaining_day5")=0,"",SUMIFS(counts!$F$2:$F$701,counts!$C$2:$C$701,$A57,counts!$D$2:$D$701,$B57,counts!$E$2:$E$701,"remaining_day5")))</f>
        <v>3</v>
      </c>
      <c r="AG57" s="30" t="n">
        <f aca="false">IF(OR($A57="",$AF57=""),"",MAX(0,$AA57+$AD57-$AF57))</f>
        <v>42</v>
      </c>
      <c r="AH57" s="30" t="str">
        <f aca="false">IF(OR($A57="",$AI57=""),"",IFERROR(IF(INDEX(photos!$H$2:$H$701,MATCH($A57&amp;"|"&amp;$B57&amp;"|later|Y|"&amp;$AI57,photos!$S$2:$S$701,0))="","",INDEX(photos!$H$2:$H$701,MATCH($A57&amp;"|"&amp;$B57&amp;"|later|Y|"&amp;$AI57,photos!$S$2:$S$701,0))),""))</f>
        <v>SAMPLE-CMP-007_SAMPLE-O-006_later_2027-03-29.jpg</v>
      </c>
      <c r="AI57" s="31" t="n">
        <f aca="false">IF($A57="","",IFERROR(1/(1/SUMPRODUCT(MAX((photos!$B$2:$B$701=$A57)*(photos!$C$2:$C$701=$B57)*(photos!$D$2:$D$701="later")*(photos!$O$2:$O$701="Y")*photos!$E$2:$E$701))),""))</f>
        <v>46475</v>
      </c>
      <c r="AJ57" s="30" t="n">
        <f aca="false">IF(OR($A57="",$AI57="",$I57=""),"",NETWORKDAYS($I57,$AI57,calendar!$A$2:$A$80))</f>
        <v>5</v>
      </c>
      <c r="AK57" s="30" t="str">
        <f aca="false">IF($A57="","",IF(AND($X57&lt;&gt;"",$AH57&lt;&gt;""),"Y","N"))</f>
        <v>Y</v>
      </c>
      <c r="AL57" s="30" t="n">
        <f aca="true">IF(OR($A57="",$I57=""),"",IF($BC57="Y",SUMIFS(survey_frozen!$C$2:$C$251,survey_frozen!$P$2:$P$251,$A57&amp;"|"&amp;$B57),IFERROR(COUNTIFS(INDIRECT("'"&amp;$A57&amp;"'!$B$2:$B$501"),$T57,INDIRECT("'"&amp;$A57&amp;"'!$A$2:$A$501"),"&gt;="&amp;$I57,INDIRECT("'"&amp;$A57&amp;"'!$A$2:$A$501"),"&lt;"&amp;($BA57+1)),0)))</f>
        <v>5</v>
      </c>
      <c r="AM57" s="30" t="n">
        <f aca="true">IF(OR($A57="",$I57=""),"",IF($BC57="Y",SUMIFS(survey_frozen!$D$2:$D$251,survey_frozen!$P$2:$P$251,$A57&amp;"|"&amp;$B57),IFERROR(COUNTIFS(INDIRECT("'"&amp;$A57&amp;"'!$B$2:$B$501"),$T57,INDIRECT("'"&amp;$A57&amp;"'!$A$2:$A$501"),"&gt;="&amp;$I57,INDIRECT("'"&amp;$A57&amp;"'!$A$2:$A$501"),"&lt;"&amp;($BA57+1),INDIRECT("'"&amp;$A57&amp;"'!$C$2:$C$501"),"Yes"),0)))</f>
        <v>4</v>
      </c>
      <c r="AN57" s="30" t="n">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6</v>
      </c>
      <c r="AO57" s="30" t="n">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9</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n">
        <f aca="true">IF(OR($A57="",$I57=""),"",IF($BC57="Y",SUMIFS(survey_frozen!$E$2:$E$251,survey_frozen!$P$2:$P$251,$A57&amp;"|"&amp;$B57),IFERROR(COUNTIFS(INDIRECT("'"&amp;$A57&amp;"'!$B$2:$B$501"),$T57,INDIRECT("'"&amp;$A57&amp;"'!$A$2:$A$501"),"&gt;="&amp;$I57,INDIRECT("'"&amp;$A57&amp;"'!$A$2:$A$501"),"&lt;"&amp;($BA57+1),INDIRECT("'"&amp;$A57&amp;"'!$F$2:$F$501"),"Didn't see it"),0)))</f>
        <v>0</v>
      </c>
      <c r="AR57" s="30" t="n">
        <f aca="true">IF(OR($A57="",$I57=""),"",IF($BC57="Y",SUMIFS(survey_frozen!$F$2:$F$251,survey_frozen!$P$2:$P$251,$A57&amp;"|"&amp;$B57),IFERROR(COUNTIFS(INDIRECT("'"&amp;$A57&amp;"'!$B$2:$B$501"),$T57,INDIRECT("'"&amp;$A57&amp;"'!$A$2:$A$501"),"&gt;="&amp;$I57,INDIRECT("'"&amp;$A57&amp;"'!$A$2:$A$501"),"&lt;"&amp;($BA57+1),INDIRECT("'"&amp;$A57&amp;"'!$F$2:$F$501"),"Not for me"),0)))</f>
        <v>1</v>
      </c>
      <c r="AS57" s="30" t="n">
        <f aca="true">IF(OR($A57="",$I57=""),"",IF($BC57="Y",SUMIFS(survey_frozen!$G$2:$G$251,survey_frozen!$P$2:$P$251,$A57&amp;"|"&amp;$B57),IFERROR(COUNTIFS(INDIRECT("'"&amp;$A57&amp;"'!$B$2:$B$501"),$T57,INDIRECT("'"&amp;$A57&amp;"'!$A$2:$A$501"),"&gt;="&amp;$I57,INDIRECT("'"&amp;$A57&amp;"'!$A$2:$A$501"),"&lt;"&amp;($BA57+1),INDIRECT("'"&amp;$A57&amp;"'!$F$2:$F$501"),"Gone by the time I looked"),0)))</f>
        <v>0</v>
      </c>
      <c r="AT57" s="30" t="n">
        <f aca="true">IF(OR($A57="",$I57=""),"",IF($BC57="Y",SUMIFS(survey_frozen!$H$2:$H$251,survey_frozen!$P$2:$P$251,$A57&amp;"|"&amp;$B57),IFERROR(COUNTIFS(INDIRECT("'"&amp;$A57&amp;"'!$B$2:$B$501"),$T57,INDIRECT("'"&amp;$A57&amp;"'!$A$2:$A$501"),"&gt;="&amp;$I57,INDIRECT("'"&amp;$A57&amp;"'!$A$2:$A$501"),"&lt;"&amp;($BA57+1),INDIRECT("'"&amp;$A57&amp;"'!$D$2:$D$501"),"&gt;=1"),0)))</f>
        <v>4</v>
      </c>
      <c r="AU57" s="30" t="n">
        <f aca="true">IF(OR($A57="",$I57=""),"",IF($BC57="Y",SUMIFS(survey_frozen!$I$2:$I$251,survey_frozen!$P$2:$P$251,$A57&amp;"|"&amp;$B57),IFERROR(SUMIFS(INDIRECT("'"&amp;$A57&amp;"'!$D$2:$D$501"),INDIRECT("'"&amp;$A57&amp;"'!$B$2:$B$501"),$T57,INDIRECT("'"&amp;$A57&amp;"'!$A$2:$A$501"),"&gt;="&amp;$I57,INDIRECT("'"&amp;$A57&amp;"'!$A$2:$A$501"),"&lt;"&amp;($BA57+1)),0)))</f>
        <v>18</v>
      </c>
      <c r="AV57" s="30" t="n">
        <f aca="true">IF(OR($A57="",$I57=""),"",IF($BC57="Y",SUMIFS(survey_frozen!$J$2:$J$251,survey_frozen!$P$2:$P$251,$A57&amp;"|"&amp;$B57),IFERROR(COUNTIFS(INDIRECT("'"&amp;$A57&amp;"'!$B$2:$B$501"),$T57,INDIRECT("'"&amp;$A57&amp;"'!$A$2:$A$501"),"&gt;="&amp;$I57,INDIRECT("'"&amp;$A57&amp;"'!$A$2:$A$501"),"&lt;"&amp;($BA57+1),INDIRECT("'"&amp;$A57&amp;"'!$E$2:$E$501"),"Yes"),0)))</f>
        <v>0</v>
      </c>
      <c r="AW57" s="30" t="n">
        <f aca="true">IF(OR($A57="",$I57=""),"",IF($BC57="Y",SUMIFS(survey_frozen!$K$2:$K$251,survey_frozen!$P$2:$P$251,$A57&amp;"|"&amp;$B57),IFERROR(COUNTIFS(INDIRECT("'"&amp;$A57&amp;"'!$B$2:$B$501"),$T57,INDIRECT("'"&amp;$A57&amp;"'!$A$2:$A$501"),"&gt;="&amp;$I57,INDIRECT("'"&amp;$A57&amp;"'!$A$2:$A$501"),"&lt;"&amp;($BA57+1),INDIRECT("'"&amp;$A57&amp;"'!$E$2:$E$501"),"Maybe"),0)))</f>
        <v>4</v>
      </c>
      <c r="AX57" s="30" t="n">
        <f aca="true">IF(OR($A57="",$I57=""),"",IF($BC57="Y",SUMIFS(survey_frozen!$L$2:$L$251,survey_frozen!$P$2:$P$251,$A57&amp;"|"&amp;$B57),IFERROR(COUNTIFS(INDIRECT("'"&amp;$A57&amp;"'!$B$2:$B$501"),$T57,INDIRECT("'"&amp;$A57&amp;"'!$A$2:$A$501"),"&gt;="&amp;$I57,INDIRECT("'"&amp;$A57&amp;"'!$A$2:$A$501"),"&lt;"&amp;($BA57+1),INDIRECT("'"&amp;$A57&amp;"'!$E$2:$E$501"),"No"),0)))</f>
        <v>0</v>
      </c>
      <c r="AY57" s="30" t="n">
        <f aca="true">IF(OR($A57="",$I57=""),"",IF($BC57="Y",SUMIFS(survey_frozen!$M$2:$M$251,survey_frozen!$P$2:$P$251,$A57&amp;"|"&amp;$B57),IFERROR(COUNTIFS(INDIRECT("'"&amp;$A57&amp;"'!$B$2:$B$501"),$T57,INDIRECT("'"&amp;$A57&amp;"'!$A$2:$A$501"),"&gt;="&amp;$I57,INDIRECT("'"&amp;$A57&amp;"'!$A$2:$A$501"),"&lt;"&amp;($BA57+1),INDIRECT("'"&amp;$A57&amp;"'!$G$2:$G$501"),"&lt;&gt;"),0)))</f>
        <v>1</v>
      </c>
      <c r="AZ57" s="30" t="str">
        <f aca="false">IF($A57="","",$A57&amp;"|"&amp;$L57)</f>
        <v>SAMPLE-CMP-007|6</v>
      </c>
      <c r="BA57" s="31" t="n">
        <f aca="false">IF($A57="","",IFERROR(IF(INDEX(drops!$R$2:$R$21,MATCH($H57,drops!$A$2:$A$21,0))="","",INDEX(drops!$R$2:$R$21,MATCH($H57,drops!$A$2:$A$21,0))),""))</f>
        <v>46475</v>
      </c>
      <c r="BB57" s="30" t="n">
        <f aca="false">IF(OR($A57="",$Q57&lt;&gt;"Y"),1000000,N($AL57))</f>
        <v>5</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A58" s="0" t="s">
        <v>576</v>
      </c>
      <c r="B58" s="0" t="s">
        <v>692</v>
      </c>
      <c r="C58" s="11" t="n">
        <v>46442</v>
      </c>
      <c r="D58" s="10" t="s">
        <v>496</v>
      </c>
      <c r="E58" s="11" t="n">
        <v>46443</v>
      </c>
      <c r="F58" s="10" t="s">
        <v>737</v>
      </c>
      <c r="H58" s="30" t="str">
        <f aca="false">IF($A58="","",IFERROR(IF(INDEX(campaigns!$B$2:$B$51,MATCH($A58,campaigns!$A$2:$A$51,0))="","",INDEX(campaigns!$B$2:$B$51,MATCH($A58,campaigns!$A$2:$A$51,0))),""))</f>
        <v>SAMPLE-DRP-004</v>
      </c>
      <c r="I58" s="31" t="n">
        <f aca="false">IF($A58="","",IFERROR(IF(INDEX(campaigns!$BG$2:$BG$51,MATCH($A58,campaigns!$A$2:$A$51,0))="","",INDEX(campaigns!$BG$2:$BG$51,MATCH($A58,campaigns!$A$2:$A$51,0))),""))</f>
        <v>46469</v>
      </c>
      <c r="J58" s="30" t="str">
        <f aca="false">IF($A58="","",IFERROR(IF(INDEX(campaigns!$BE$2:$BE$51,MATCH($A58,campaigns!$A$2:$A$51,0))="","",INDEX(campaigns!$BE$2:$BE$51,MATCH($A58,campaigns!$A$2:$A$51,0))),""))</f>
        <v>SAMPLE Brightside</v>
      </c>
      <c r="K58" s="30" t="str">
        <f aca="false">IF($B58="","",IFERROR(IF(INDEX(offices!$O$2:$O$61,MATCH($B58,offices!$A$2:$A$61,0))="","",INDEX(offices!$O$2:$O$61,MATCH($B58,offices!$A$2:$A$61,0))),""))</f>
        <v>SAMPLE Brine &amp; Bell PR</v>
      </c>
      <c r="L58" s="30" t="n">
        <f aca="false">IF($A58="","",IF($Q58="N","",COUNTIFS($A$2:$A58,$A58,$Q$2:$Q58,"&lt;&gt;N")))</f>
        <v>7</v>
      </c>
      <c r="M58" s="30" t="str">
        <f aca="false">IF(OR($A58="",$L58=""),"",IF(AND(config!$B$34="names_if_public",IFERROR(IF(INDEX(offices!$AG$2:$AG$61,MATCH($B58,offices!$A$2:$A$61,0))="","",INDEX(offices!$AG$2:$AG$61,MATCH($B58,offices!$A$2:$A$61,0))),"")="Y"),$K58,CHAR(64+$L58)))</f>
        <v>G</v>
      </c>
      <c r="N58" s="30" t="n">
        <f aca="false">IF(OR($A58="",$I58=""),"",COUNTIFS(stops!$B$2:$B$151,$B58,stops!$P$2:$P$151,"&lt;"&amp;$I58,stops!$L$2:$L$151,"&lt;&gt;not_delivered")+1)</f>
        <v>3</v>
      </c>
      <c r="O58" s="30" t="str">
        <f aca="false">IF($A58="","",IF(N($N58)&lt;=config!$B$29,"explicit","opt-out"))</f>
        <v>explicit</v>
      </c>
      <c r="P58" s="30" t="str">
        <f aca="false">IF($A58="","",IF($O58="explicit",IF($D58="yes","Y",IF($D58="no","N","pending")),IF($D58="no","N",IF(AND($C58&lt;&gt;"",$I58&lt;&gt;"",$C58&lt;=WORKDAY(N($I58),-5,calendar!$A$2:$A$80)),"Y","pending"))))</f>
        <v>Y</v>
      </c>
      <c r="Q58" s="30" t="str">
        <f aca="false">IF($A58="","",IF($P58="N","N",IF($P58&lt;&gt;"Y","pending",IF(AND((COUNTIFS(stops!$A$2:$A$151,$H58,stops!$B$2:$B$151,$B58,stops!$L$2:$L$151,"declined")+COUNTIFS(stops!$A$2:$A$151,$H58,stops!$B$2:$B$151,$B58,stops!$L$2:$L$151,"building_refused")+COUNTIFS(stops!$A$2:$A$151,$H58,stops!$B$2:$B$151,$B58,stops!$L$2:$L$151,"not_delivered"))&gt;0,N($U58)=0),"N","Y"))))</f>
        <v>Y</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info: read the vetoes against the label; </v>
      </c>
      <c r="S58" s="30" t="n">
        <f aca="false">IF($A58="","",IF($G58&lt;&gt;"",$G58,IFERROR(IF(INDEX(offices!$AM$2:$AM$61,MATCH($B58,offices!$A$2:$A$61,0))="","",INDEX(offices!$AM$2:$AM$61,MATCH($B58,offices!$A$2:$A$61,0))),"")))</f>
        <v>60</v>
      </c>
      <c r="T58" s="30" t="str">
        <f aca="false">IF($A58="","",$A58&amp;"."&amp;$B58)</f>
        <v>SAMPLE-CMP-007.SAMPLE-O-007</v>
      </c>
      <c r="U58" s="30" t="n">
        <f aca="false">IF($A58="","",SUMIFS(inventory!$G$2:$G$801,inventory!$C$2:$C$801,$A58,inventory!$D$2:$D$801,$B58,inventory!$E$2:$E$801,"delivered"))</f>
        <v>60</v>
      </c>
      <c r="V58" s="37" t="n">
        <f aca="false">IF($A58="","",IFERROR(1/(1/SUMPRODUCT(MAX((inventory!$C$2:$C$801=$A58)*(inventory!$D$2:$D$801=$B58)*(inventory!$E$2:$E$801="delivered")*(inventory!$A$2:$A$801+inventory!$B$2:$B$801)))),""))</f>
        <v>46469.4284722222</v>
      </c>
      <c r="W58" s="30" t="str">
        <f aca="false">IF($A58="","",IFERROR(IF(INDEX(inventory!$J$2:$J$801,MATCH($A58&amp;"|"&amp;$B58&amp;"|delivered",inventory!$R$2:$R$801,0))="","",INDEX(inventory!$J$2:$J$801,MATCH($A58&amp;"|"&amp;$B58&amp;"|delivered",inventory!$R$2:$R$801,0))),""))</f>
        <v>office_count</v>
      </c>
      <c r="X58" s="30" t="str">
        <f aca="false">IF($A58="","",IFERROR(IF(INDEX(photos!$H$2:$H$701,MATCH($A58&amp;"|"&amp;$B58&amp;"|placement|Y",photos!$R$2:$R$701,0))="","",INDEX(photos!$H$2:$H$701,MATCH($A58&amp;"|"&amp;$B58&amp;"|placement|Y",photos!$R$2:$R$701,0))),""))</f>
        <v>SAMPLE-CMP-007_SAMPLE-O-007_placement_2027-03-23.jpg</v>
      </c>
      <c r="Y58" s="31" t="n">
        <f aca="false">IF($A58="","",IFERROR(IF(INDEX(photos!$E$2:$E$701,MATCH($A58&amp;"|"&amp;$B58&amp;"|placement|Y",photos!$R$2:$R$701,0))="","",INDEX(photos!$E$2:$E$701,MATCH($A58&amp;"|"&amp;$B58&amp;"|placement|Y",photos!$R$2:$R$701,0))),""))</f>
        <v>46469</v>
      </c>
      <c r="Z58" s="30" t="n">
        <f aca="false">IF($A58="","",IF(COUNTIFS(counts!$C$2:$C$701,$A58,counts!$D$2:$D$701,$B58,counts!$E$2:$E$701,"placed")=0,"",SUMIFS(counts!$F$2:$F$701,counts!$C$2:$C$701,$A58,counts!$D$2:$D$701,$B58,counts!$E$2:$E$701,"placed")))</f>
        <v>60</v>
      </c>
      <c r="AA58" s="30" t="n">
        <f aca="false">IF($A58="","",IF($Y58="",0,N($Z58)))</f>
        <v>60</v>
      </c>
      <c r="AB58" s="30" t="str">
        <f aca="false">IF($A58="","",IF(OR($Y58="",$I58=""),"N",IF($Y58&lt;=WORKDAY(N($I58),1,calendar!$A$2:$A$80),"Y","N")))</f>
        <v>Y</v>
      </c>
      <c r="AC58" s="33" t="n">
        <f aca="false">IF(OR($A58="",$V58="",$Y58=""),"",ROUND(($Y58+N(IFERROR(IF(INDEX(photos!$F$2:$F$701,MATCH($A58&amp;"|"&amp;$B58&amp;"|placement|Y",photos!$R$2:$R$701,0))="","",INDEX(photos!$F$2:$F$701,MATCH($A58&amp;"|"&amp;$B58&amp;"|placement|Y",photos!$R$2:$R$701,0))),""))-$V58)*24,1))</f>
        <v>2.7</v>
      </c>
      <c r="AD58" s="30" t="n">
        <f aca="false">IF($A58="","",SUMIFS(inventory!$G$2:$G$801,inventory!$C$2:$C$801,$A58,inventory!$D$2:$D$801,$B58,inventory!$E$2:$E$801,"topped_up"))</f>
        <v>0</v>
      </c>
      <c r="AE58" s="30" t="n">
        <f aca="false">IF($A58="","",IF(COUNTIFS(counts!$C$2:$C$701,$A58,counts!$D$2:$D$701,$B58,counts!$E$2:$E$701,"remaining_day3")=0,"",SUMIFS(counts!$F$2:$F$701,counts!$C$2:$C$701,$A58,counts!$D$2:$D$701,$B58,counts!$E$2:$E$701,"remaining_day3")))</f>
        <v>29</v>
      </c>
      <c r="AF58" s="30" t="n">
        <f aca="false">IF($A58="","",IF(COUNTIFS(counts!$C$2:$C$701,$A58,counts!$D$2:$D$701,$B58,counts!$E$2:$E$701,"remaining_day5")=0,"",SUMIFS(counts!$F$2:$F$701,counts!$C$2:$C$701,$A58,counts!$D$2:$D$701,$B58,counts!$E$2:$E$701,"remaining_day5")))</f>
        <v>3</v>
      </c>
      <c r="AG58" s="30" t="n">
        <f aca="false">IF(OR($A58="",$AF58=""),"",MAX(0,$AA58+$AD58-$AF58))</f>
        <v>57</v>
      </c>
      <c r="AH58" s="30" t="str">
        <f aca="false">IF(OR($A58="",$AI58=""),"",IFERROR(IF(INDEX(photos!$H$2:$H$701,MATCH($A58&amp;"|"&amp;$B58&amp;"|later|Y|"&amp;$AI58,photos!$S$2:$S$701,0))="","",INDEX(photos!$H$2:$H$701,MATCH($A58&amp;"|"&amp;$B58&amp;"|later|Y|"&amp;$AI58,photos!$S$2:$S$701,0))),""))</f>
        <v>SAMPLE-CMP-007_SAMPLE-O-007_later_2027-03-29.jpg</v>
      </c>
      <c r="AI58" s="31" t="n">
        <f aca="false">IF($A58="","",IFERROR(1/(1/SUMPRODUCT(MAX((photos!$B$2:$B$701=$A58)*(photos!$C$2:$C$701=$B58)*(photos!$D$2:$D$701="later")*(photos!$O$2:$O$701="Y")*photos!$E$2:$E$701))),""))</f>
        <v>46475</v>
      </c>
      <c r="AJ58" s="30" t="n">
        <f aca="false">IF(OR($A58="",$AI58="",$I58=""),"",NETWORKDAYS($I58,$AI58,calendar!$A$2:$A$80))</f>
        <v>5</v>
      </c>
      <c r="AK58" s="30" t="str">
        <f aca="false">IF($A58="","",IF(AND($X58&lt;&gt;"",$AH58&lt;&gt;""),"Y","N"))</f>
        <v>Y</v>
      </c>
      <c r="AL58" s="30" t="n">
        <f aca="true">IF(OR($A58="",$I58=""),"",IF($BC58="Y",SUMIFS(survey_frozen!$C$2:$C$251,survey_frozen!$P$2:$P$251,$A58&amp;"|"&amp;$B58),IFERROR(COUNTIFS(INDIRECT("'"&amp;$A58&amp;"'!$B$2:$B$501"),$T58,INDIRECT("'"&amp;$A58&amp;"'!$A$2:$A$501"),"&gt;="&amp;$I58,INDIRECT("'"&amp;$A58&amp;"'!$A$2:$A$501"),"&lt;"&amp;($BA58+1)),0)))</f>
        <v>7</v>
      </c>
      <c r="AM58" s="30" t="n">
        <f aca="true">IF(OR($A58="",$I58=""),"",IF($BC58="Y",SUMIFS(survey_frozen!$D$2:$D$251,survey_frozen!$P$2:$P$251,$A58&amp;"|"&amp;$B58),IFERROR(COUNTIFS(INDIRECT("'"&amp;$A58&amp;"'!$B$2:$B$501"),$T58,INDIRECT("'"&amp;$A58&amp;"'!$A$2:$A$501"),"&gt;="&amp;$I58,INDIRECT("'"&amp;$A58&amp;"'!$A$2:$A$501"),"&lt;"&amp;($BA58+1),INDIRECT("'"&amp;$A58&amp;"'!$C$2:$C$501"),"Yes"),0)))</f>
        <v>5</v>
      </c>
      <c r="AN58" s="30" t="n">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8</v>
      </c>
      <c r="AO58" s="30" t="n">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11</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info: read the vetoes against the label; </v>
      </c>
      <c r="AQ58" s="30" t="n">
        <f aca="true">IF(OR($A58="",$I58=""),"",IF($BC58="Y",SUMIFS(survey_frozen!$E$2:$E$251,survey_frozen!$P$2:$P$251,$A58&amp;"|"&amp;$B58),IFERROR(COUNTIFS(INDIRECT("'"&amp;$A58&amp;"'!$B$2:$B$501"),$T58,INDIRECT("'"&amp;$A58&amp;"'!$A$2:$A$501"),"&gt;="&amp;$I58,INDIRECT("'"&amp;$A58&amp;"'!$A$2:$A$501"),"&lt;"&amp;($BA58+1),INDIRECT("'"&amp;$A58&amp;"'!$F$2:$F$501"),"Didn't see it"),0)))</f>
        <v>1</v>
      </c>
      <c r="AR58" s="30" t="n">
        <f aca="true">IF(OR($A58="",$I58=""),"",IF($BC58="Y",SUMIFS(survey_frozen!$F$2:$F$251,survey_frozen!$P$2:$P$251,$A58&amp;"|"&amp;$B58),IFERROR(COUNTIFS(INDIRECT("'"&amp;$A58&amp;"'!$B$2:$B$501"),$T58,INDIRECT("'"&amp;$A58&amp;"'!$A$2:$A$501"),"&gt;="&amp;$I58,INDIRECT("'"&amp;$A58&amp;"'!$A$2:$A$501"),"&lt;"&amp;($BA58+1),INDIRECT("'"&amp;$A58&amp;"'!$F$2:$F$501"),"Not for me"),0)))</f>
        <v>1</v>
      </c>
      <c r="AS58" s="30" t="n">
        <f aca="true">IF(OR($A58="",$I58=""),"",IF($BC58="Y",SUMIFS(survey_frozen!$G$2:$G$251,survey_frozen!$P$2:$P$251,$A58&amp;"|"&amp;$B58),IFERROR(COUNTIFS(INDIRECT("'"&amp;$A58&amp;"'!$B$2:$B$501"),$T58,INDIRECT("'"&amp;$A58&amp;"'!$A$2:$A$501"),"&gt;="&amp;$I58,INDIRECT("'"&amp;$A58&amp;"'!$A$2:$A$501"),"&lt;"&amp;($BA58+1),INDIRECT("'"&amp;$A58&amp;"'!$F$2:$F$501"),"Gone by the time I looked"),0)))</f>
        <v>0</v>
      </c>
      <c r="AT58" s="30" t="n">
        <f aca="true">IF(OR($A58="",$I58=""),"",IF($BC58="Y",SUMIFS(survey_frozen!$H$2:$H$251,survey_frozen!$P$2:$P$251,$A58&amp;"|"&amp;$B58),IFERROR(COUNTIFS(INDIRECT("'"&amp;$A58&amp;"'!$B$2:$B$501"),$T58,INDIRECT("'"&amp;$A58&amp;"'!$A$2:$A$501"),"&gt;="&amp;$I58,INDIRECT("'"&amp;$A58&amp;"'!$A$2:$A$501"),"&lt;"&amp;($BA58+1),INDIRECT("'"&amp;$A58&amp;"'!$D$2:$D$501"),"&gt;=1"),0)))</f>
        <v>5</v>
      </c>
      <c r="AU58" s="30" t="n">
        <f aca="true">IF(OR($A58="",$I58=""),"",IF($BC58="Y",SUMIFS(survey_frozen!$I$2:$I$251,survey_frozen!$P$2:$P$251,$A58&amp;"|"&amp;$B58),IFERROR(SUMIFS(INDIRECT("'"&amp;$A58&amp;"'!$D$2:$D$501"),INDIRECT("'"&amp;$A58&amp;"'!$B$2:$B$501"),$T58,INDIRECT("'"&amp;$A58&amp;"'!$A$2:$A$501"),"&gt;="&amp;$I58,INDIRECT("'"&amp;$A58&amp;"'!$A$2:$A$501"),"&lt;"&amp;($BA58+1)),0)))</f>
        <v>21</v>
      </c>
      <c r="AV58" s="30" t="n">
        <f aca="true">IF(OR($A58="",$I58=""),"",IF($BC58="Y",SUMIFS(survey_frozen!$J$2:$J$251,survey_frozen!$P$2:$P$251,$A58&amp;"|"&amp;$B58),IFERROR(COUNTIFS(INDIRECT("'"&amp;$A58&amp;"'!$B$2:$B$501"),$T58,INDIRECT("'"&amp;$A58&amp;"'!$A$2:$A$501"),"&gt;="&amp;$I58,INDIRECT("'"&amp;$A58&amp;"'!$A$2:$A$501"),"&lt;"&amp;($BA58+1),INDIRECT("'"&amp;$A58&amp;"'!$E$2:$E$501"),"Yes"),0)))</f>
        <v>1</v>
      </c>
      <c r="AW58" s="30" t="n">
        <f aca="true">IF(OR($A58="",$I58=""),"",IF($BC58="Y",SUMIFS(survey_frozen!$K$2:$K$251,survey_frozen!$P$2:$P$251,$A58&amp;"|"&amp;$B58),IFERROR(COUNTIFS(INDIRECT("'"&amp;$A58&amp;"'!$B$2:$B$501"),$T58,INDIRECT("'"&amp;$A58&amp;"'!$A$2:$A$501"),"&gt;="&amp;$I58,INDIRECT("'"&amp;$A58&amp;"'!$A$2:$A$501"),"&lt;"&amp;($BA58+1),INDIRECT("'"&amp;$A58&amp;"'!$E$2:$E$501"),"Maybe"),0)))</f>
        <v>3</v>
      </c>
      <c r="AX58" s="30" t="n">
        <f aca="true">IF(OR($A58="",$I58=""),"",IF($BC58="Y",SUMIFS(survey_frozen!$L$2:$L$251,survey_frozen!$P$2:$P$251,$A58&amp;"|"&amp;$B58),IFERROR(COUNTIFS(INDIRECT("'"&amp;$A58&amp;"'!$B$2:$B$501"),$T58,INDIRECT("'"&amp;$A58&amp;"'!$A$2:$A$501"),"&gt;="&amp;$I58,INDIRECT("'"&amp;$A58&amp;"'!$A$2:$A$501"),"&lt;"&amp;($BA58+1),INDIRECT("'"&amp;$A58&amp;"'!$E$2:$E$501"),"No"),0)))</f>
        <v>1</v>
      </c>
      <c r="AY58" s="30" t="n">
        <f aca="true">IF(OR($A58="",$I58=""),"",IF($BC58="Y",SUMIFS(survey_frozen!$M$2:$M$251,survey_frozen!$P$2:$P$251,$A58&amp;"|"&amp;$B58),IFERROR(COUNTIFS(INDIRECT("'"&amp;$A58&amp;"'!$B$2:$B$501"),$T58,INDIRECT("'"&amp;$A58&amp;"'!$A$2:$A$501"),"&gt;="&amp;$I58,INDIRECT("'"&amp;$A58&amp;"'!$A$2:$A$501"),"&lt;"&amp;($BA58+1),INDIRECT("'"&amp;$A58&amp;"'!$G$2:$G$501"),"&lt;&gt;"),0)))</f>
        <v>2</v>
      </c>
      <c r="AZ58" s="30" t="str">
        <f aca="false">IF($A58="","",$A58&amp;"|"&amp;$L58)</f>
        <v>SAMPLE-CMP-007|7</v>
      </c>
      <c r="BA58" s="31" t="n">
        <f aca="false">IF($A58="","",IFERROR(IF(INDEX(drops!$R$2:$R$21,MATCH($H58,drops!$A$2:$A$21,0))="","",INDEX(drops!$R$2:$R$21,MATCH($H58,drops!$A$2:$A$21,0))),""))</f>
        <v>46475</v>
      </c>
      <c r="BB58" s="30" t="n">
        <f aca="false">IF(OR($A58="",$Q58&lt;&gt;"Y"),1000000,N($AL58))</f>
        <v>7</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A59" s="0" t="s">
        <v>576</v>
      </c>
      <c r="B59" s="0" t="s">
        <v>694</v>
      </c>
      <c r="C59" s="11" t="n">
        <v>46442</v>
      </c>
      <c r="D59" s="10" t="s">
        <v>496</v>
      </c>
      <c r="E59" s="11" t="n">
        <v>46443</v>
      </c>
      <c r="F59" s="10" t="s">
        <v>737</v>
      </c>
      <c r="H59" s="30" t="str">
        <f aca="false">IF($A59="","",IFERROR(IF(INDEX(campaigns!$B$2:$B$51,MATCH($A59,campaigns!$A$2:$A$51,0))="","",INDEX(campaigns!$B$2:$B$51,MATCH($A59,campaigns!$A$2:$A$51,0))),""))</f>
        <v>SAMPLE-DRP-004</v>
      </c>
      <c r="I59" s="31" t="n">
        <f aca="false">IF($A59="","",IFERROR(IF(INDEX(campaigns!$BG$2:$BG$51,MATCH($A59,campaigns!$A$2:$A$51,0))="","",INDEX(campaigns!$BG$2:$BG$51,MATCH($A59,campaigns!$A$2:$A$51,0))),""))</f>
        <v>46469</v>
      </c>
      <c r="J59" s="30" t="str">
        <f aca="false">IF($A59="","",IFERROR(IF(INDEX(campaigns!$BE$2:$BE$51,MATCH($A59,campaigns!$A$2:$A$51,0))="","",INDEX(campaigns!$BE$2:$BE$51,MATCH($A59,campaigns!$A$2:$A$51,0))),""))</f>
        <v>SAMPLE Brightside</v>
      </c>
      <c r="K59" s="30" t="str">
        <f aca="false">IF($B59="","",IFERROR(IF(INDEX(offices!$O$2:$O$61,MATCH($B59,offices!$A$2:$A$61,0))="","",INDEX(offices!$O$2:$O$61,MATCH($B59,offices!$A$2:$A$61,0))),""))</f>
        <v>SAMPLE Larch Legal</v>
      </c>
      <c r="L59" s="30" t="n">
        <f aca="false">IF($A59="","",IF($Q59="N","",COUNTIFS($A$2:$A59,$A59,$Q$2:$Q59,"&lt;&gt;N")))</f>
        <v>8</v>
      </c>
      <c r="M59" s="30" t="str">
        <f aca="false">IF(OR($A59="",$L59=""),"",IF(AND(config!$B$34="names_if_public",IFERROR(IF(INDEX(offices!$AG$2:$AG$61,MATCH($B59,offices!$A$2:$A$61,0))="","",INDEX(offices!$AG$2:$AG$61,MATCH($B59,offices!$A$2:$A$61,0))),"")="Y"),$K59,CHAR(64+$L59)))</f>
        <v>H</v>
      </c>
      <c r="N59" s="30" t="n">
        <f aca="false">IF(OR($A59="",$I59=""),"",COUNTIFS(stops!$B$2:$B$151,$B59,stops!$P$2:$P$151,"&lt;"&amp;$I59,stops!$L$2:$L$151,"&lt;&gt;not_delivered")+1)</f>
        <v>3</v>
      </c>
      <c r="O59" s="30" t="str">
        <f aca="false">IF($A59="","",IF(N($N59)&lt;=config!$B$29,"explicit","opt-out"))</f>
        <v>explicit</v>
      </c>
      <c r="P59" s="30" t="str">
        <f aca="false">IF($A59="","",IF($O59="explicit",IF($D59="yes","Y",IF($D59="no","N","pending")),IF($D59="no","N",IF(AND($C59&lt;&gt;"",$I59&lt;&gt;"",$C59&lt;=WORKDAY(N($I59),-5,calendar!$A$2:$A$80)),"Y","pending"))))</f>
        <v>Y</v>
      </c>
      <c r="Q59" s="30" t="str">
        <f aca="false">IF($A59="","",IF($P59="N","N",IF($P59&lt;&gt;"Y","pending",IF(AND((COUNTIFS(stops!$A$2:$A$151,$H59,stops!$B$2:$B$151,$B59,stops!$L$2:$L$151,"declined")+COUNTIFS(stops!$A$2:$A$151,$H59,stops!$B$2:$B$151,$B59,stops!$L$2:$L$151,"building_refused")+COUNTIFS(stops!$A$2:$A$151,$H59,stops!$B$2:$B$151,$B59,stops!$L$2:$L$151,"not_delivered"))&gt;0,N($U59)=0),"N","Y"))))</f>
        <v>Y</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n">
        <f aca="false">IF($A59="","",IF($G59&lt;&gt;"",$G59,IFERROR(IF(INDEX(offices!$AM$2:$AM$61,MATCH($B59,offices!$A$2:$A$61,0))="","",INDEX(offices!$AM$2:$AM$61,MATCH($B59,offices!$A$2:$A$61,0))),"")))</f>
        <v>45</v>
      </c>
      <c r="T59" s="30" t="str">
        <f aca="false">IF($A59="","",$A59&amp;"."&amp;$B59)</f>
        <v>SAMPLE-CMP-007.SAMPLE-O-008</v>
      </c>
      <c r="U59" s="30" t="n">
        <f aca="false">IF($A59="","",SUMIFS(inventory!$G$2:$G$801,inventory!$C$2:$C$801,$A59,inventory!$D$2:$D$801,$B59,inventory!$E$2:$E$801,"delivered"))</f>
        <v>45</v>
      </c>
      <c r="V59" s="37" t="n">
        <f aca="false">IF($A59="","",IFERROR(1/(1/SUMPRODUCT(MAX((inventory!$C$2:$C$801=$A59)*(inventory!$D$2:$D$801=$B59)*(inventory!$E$2:$E$801="delivered")*(inventory!$A$2:$A$801+inventory!$B$2:$B$801)))),""))</f>
        <v>46469.4291666667</v>
      </c>
      <c r="W59" s="30" t="str">
        <f aca="false">IF($A59="","",IFERROR(IF(INDEX(inventory!$J$2:$J$801,MATCH($A59&amp;"|"&amp;$B59&amp;"|delivered",inventory!$R$2:$R$801,0))="","",INDEX(inventory!$J$2:$J$801,MATCH($A59&amp;"|"&amp;$B59&amp;"|delivered",inventory!$R$2:$R$801,0))),""))</f>
        <v>office_count</v>
      </c>
      <c r="X59" s="30" t="str">
        <f aca="false">IF($A59="","",IFERROR(IF(INDEX(photos!$H$2:$H$701,MATCH($A59&amp;"|"&amp;$B59&amp;"|placement|Y",photos!$R$2:$R$701,0))="","",INDEX(photos!$H$2:$H$701,MATCH($A59&amp;"|"&amp;$B59&amp;"|placement|Y",photos!$R$2:$R$701,0))),""))</f>
        <v>SAMPLE-CMP-007_SAMPLE-O-008_placement_2027-03-23.jpg</v>
      </c>
      <c r="Y59" s="31" t="n">
        <f aca="false">IF($A59="","",IFERROR(IF(INDEX(photos!$E$2:$E$701,MATCH($A59&amp;"|"&amp;$B59&amp;"|placement|Y",photos!$R$2:$R$701,0))="","",INDEX(photos!$E$2:$E$701,MATCH($A59&amp;"|"&amp;$B59&amp;"|placement|Y",photos!$R$2:$R$701,0))),""))</f>
        <v>46469</v>
      </c>
      <c r="Z59" s="30" t="n">
        <f aca="false">IF($A59="","",IF(COUNTIFS(counts!$C$2:$C$701,$A59,counts!$D$2:$D$701,$B59,counts!$E$2:$E$701,"placed")=0,"",SUMIFS(counts!$F$2:$F$701,counts!$C$2:$C$701,$A59,counts!$D$2:$D$701,$B59,counts!$E$2:$E$701,"placed")))</f>
        <v>45</v>
      </c>
      <c r="AA59" s="30" t="n">
        <f aca="false">IF($A59="","",IF($Y59="",0,N($Z59)))</f>
        <v>45</v>
      </c>
      <c r="AB59" s="30" t="str">
        <f aca="false">IF($A59="","",IF(OR($Y59="",$I59=""),"N",IF($Y59&lt;=WORKDAY(N($I59),1,calendar!$A$2:$A$80),"Y","N")))</f>
        <v>Y</v>
      </c>
      <c r="AC59" s="33" t="n">
        <f aca="false">IF(OR($A59="",$V59="",$Y59=""),"",ROUND(($Y59+N(IFERROR(IF(INDEX(photos!$F$2:$F$701,MATCH($A59&amp;"|"&amp;$B59&amp;"|placement|Y",photos!$R$2:$R$701,0))="","",INDEX(photos!$F$2:$F$701,MATCH($A59&amp;"|"&amp;$B59&amp;"|placement|Y",photos!$R$2:$R$701,0))),""))-$V59)*24,1))</f>
        <v>2.7</v>
      </c>
      <c r="AD59" s="30" t="n">
        <f aca="false">IF($A59="","",SUMIFS(inventory!$G$2:$G$801,inventory!$C$2:$C$801,$A59,inventory!$D$2:$D$801,$B59,inventory!$E$2:$E$801,"topped_up"))</f>
        <v>0</v>
      </c>
      <c r="AE59" s="30" t="n">
        <f aca="false">IF($A59="","",IF(COUNTIFS(counts!$C$2:$C$701,$A59,counts!$D$2:$D$701,$B59,counts!$E$2:$E$701,"remaining_day3")=0,"",SUMIFS(counts!$F$2:$F$701,counts!$C$2:$C$701,$A59,counts!$D$2:$D$701,$B59,counts!$E$2:$E$701,"remaining_day3")))</f>
        <v>18</v>
      </c>
      <c r="AF59" s="30" t="n">
        <f aca="false">IF($A59="","",IF(COUNTIFS(counts!$C$2:$C$701,$A59,counts!$D$2:$D$701,$B59,counts!$E$2:$E$701,"remaining_day5")=0,"",SUMIFS(counts!$F$2:$F$701,counts!$C$2:$C$701,$A59,counts!$D$2:$D$701,$B59,counts!$E$2:$E$701,"remaining_day5")))</f>
        <v>3</v>
      </c>
      <c r="AG59" s="30" t="n">
        <f aca="false">IF(OR($A59="",$AF59=""),"",MAX(0,$AA59+$AD59-$AF59))</f>
        <v>42</v>
      </c>
      <c r="AH59" s="30" t="str">
        <f aca="false">IF(OR($A59="",$AI59=""),"",IFERROR(IF(INDEX(photos!$H$2:$H$701,MATCH($A59&amp;"|"&amp;$B59&amp;"|later|Y|"&amp;$AI59,photos!$S$2:$S$701,0))="","",INDEX(photos!$H$2:$H$701,MATCH($A59&amp;"|"&amp;$B59&amp;"|later|Y|"&amp;$AI59,photos!$S$2:$S$701,0))),""))</f>
        <v>SAMPLE-CMP-007_SAMPLE-O-008_later_2027-03-29.jpg</v>
      </c>
      <c r="AI59" s="31" t="n">
        <f aca="false">IF($A59="","",IFERROR(1/(1/SUMPRODUCT(MAX((photos!$B$2:$B$701=$A59)*(photos!$C$2:$C$701=$B59)*(photos!$D$2:$D$701="later")*(photos!$O$2:$O$701="Y")*photos!$E$2:$E$701))),""))</f>
        <v>46475</v>
      </c>
      <c r="AJ59" s="30" t="n">
        <f aca="false">IF(OR($A59="",$AI59="",$I59=""),"",NETWORKDAYS($I59,$AI59,calendar!$A$2:$A$80))</f>
        <v>5</v>
      </c>
      <c r="AK59" s="30" t="str">
        <f aca="false">IF($A59="","",IF(AND($X59&lt;&gt;"",$AH59&lt;&gt;""),"Y","N"))</f>
        <v>Y</v>
      </c>
      <c r="AL59" s="30" t="n">
        <f aca="true">IF(OR($A59="",$I59=""),"",IF($BC59="Y",SUMIFS(survey_frozen!$C$2:$C$251,survey_frozen!$P$2:$P$251,$A59&amp;"|"&amp;$B59),IFERROR(COUNTIFS(INDIRECT("'"&amp;$A59&amp;"'!$B$2:$B$501"),$T59,INDIRECT("'"&amp;$A59&amp;"'!$A$2:$A$501"),"&gt;="&amp;$I59,INDIRECT("'"&amp;$A59&amp;"'!$A$2:$A$501"),"&lt;"&amp;($BA59+1)),0)))</f>
        <v>9</v>
      </c>
      <c r="AM59" s="30" t="n">
        <f aca="true">IF(OR($A59="",$I59=""),"",IF($BC59="Y",SUMIFS(survey_frozen!$D$2:$D$251,survey_frozen!$P$2:$P$251,$A59&amp;"|"&amp;$B59),IFERROR(COUNTIFS(INDIRECT("'"&amp;$A59&amp;"'!$B$2:$B$501"),$T59,INDIRECT("'"&amp;$A59&amp;"'!$A$2:$A$501"),"&gt;="&amp;$I59,INDIRECT("'"&amp;$A59&amp;"'!$A$2:$A$501"),"&lt;"&amp;($BA59+1),INDIRECT("'"&amp;$A59&amp;"'!$C$2:$C$501"),"Yes"),0)))</f>
        <v>8</v>
      </c>
      <c r="AN59" s="30" t="n">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10</v>
      </c>
      <c r="AO59" s="30" t="n">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3</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n">
        <f aca="true">IF(OR($A59="",$I59=""),"",IF($BC59="Y",SUMIFS(survey_frozen!$E$2:$E$251,survey_frozen!$P$2:$P$251,$A59&amp;"|"&amp;$B59),IFERROR(COUNTIFS(INDIRECT("'"&amp;$A59&amp;"'!$B$2:$B$501"),$T59,INDIRECT("'"&amp;$A59&amp;"'!$A$2:$A$501"),"&gt;="&amp;$I59,INDIRECT("'"&amp;$A59&amp;"'!$A$2:$A$501"),"&lt;"&amp;($BA59+1),INDIRECT("'"&amp;$A59&amp;"'!$F$2:$F$501"),"Didn't see it"),0)))</f>
        <v>0</v>
      </c>
      <c r="AR59" s="30" t="n">
        <f aca="true">IF(OR($A59="",$I59=""),"",IF($BC59="Y",SUMIFS(survey_frozen!$F$2:$F$251,survey_frozen!$P$2:$P$251,$A59&amp;"|"&amp;$B59),IFERROR(COUNTIFS(INDIRECT("'"&amp;$A59&amp;"'!$B$2:$B$501"),$T59,INDIRECT("'"&amp;$A59&amp;"'!$A$2:$A$501"),"&gt;="&amp;$I59,INDIRECT("'"&amp;$A59&amp;"'!$A$2:$A$501"),"&lt;"&amp;($BA59+1),INDIRECT("'"&amp;$A59&amp;"'!$F$2:$F$501"),"Not for me"),0)))</f>
        <v>1</v>
      </c>
      <c r="AS59" s="30" t="n">
        <f aca="true">IF(OR($A59="",$I59=""),"",IF($BC59="Y",SUMIFS(survey_frozen!$G$2:$G$251,survey_frozen!$P$2:$P$251,$A59&amp;"|"&amp;$B59),IFERROR(COUNTIFS(INDIRECT("'"&amp;$A59&amp;"'!$B$2:$B$501"),$T59,INDIRECT("'"&amp;$A59&amp;"'!$A$2:$A$501"),"&gt;="&amp;$I59,INDIRECT("'"&amp;$A59&amp;"'!$A$2:$A$501"),"&lt;"&amp;($BA59+1),INDIRECT("'"&amp;$A59&amp;"'!$F$2:$F$501"),"Gone by the time I looked"),0)))</f>
        <v>0</v>
      </c>
      <c r="AT59" s="30" t="n">
        <f aca="true">IF(OR($A59="",$I59=""),"",IF($BC59="Y",SUMIFS(survey_frozen!$H$2:$H$251,survey_frozen!$P$2:$P$251,$A59&amp;"|"&amp;$B59),IFERROR(COUNTIFS(INDIRECT("'"&amp;$A59&amp;"'!$B$2:$B$501"),$T59,INDIRECT("'"&amp;$A59&amp;"'!$A$2:$A$501"),"&gt;="&amp;$I59,INDIRECT("'"&amp;$A59&amp;"'!$A$2:$A$501"),"&lt;"&amp;($BA59+1),INDIRECT("'"&amp;$A59&amp;"'!$D$2:$D$501"),"&gt;=1"),0)))</f>
        <v>8</v>
      </c>
      <c r="AU59" s="30" t="n">
        <f aca="true">IF(OR($A59="",$I59=""),"",IF($BC59="Y",SUMIFS(survey_frozen!$I$2:$I$251,survey_frozen!$P$2:$P$251,$A59&amp;"|"&amp;$B59),IFERROR(SUMIFS(INDIRECT("'"&amp;$A59&amp;"'!$D$2:$D$501"),INDIRECT("'"&amp;$A59&amp;"'!$B$2:$B$501"),$T59,INDIRECT("'"&amp;$A59&amp;"'!$A$2:$A$501"),"&gt;="&amp;$I59,INDIRECT("'"&amp;$A59&amp;"'!$A$2:$A$501"),"&lt;"&amp;($BA59+1)),0)))</f>
        <v>35</v>
      </c>
      <c r="AV59" s="30" t="n">
        <f aca="true">IF(OR($A59="",$I59=""),"",IF($BC59="Y",SUMIFS(survey_frozen!$J$2:$J$251,survey_frozen!$P$2:$P$251,$A59&amp;"|"&amp;$B59),IFERROR(COUNTIFS(INDIRECT("'"&amp;$A59&amp;"'!$B$2:$B$501"),$T59,INDIRECT("'"&amp;$A59&amp;"'!$A$2:$A$501"),"&gt;="&amp;$I59,INDIRECT("'"&amp;$A59&amp;"'!$A$2:$A$501"),"&lt;"&amp;($BA59+1),INDIRECT("'"&amp;$A59&amp;"'!$E$2:$E$501"),"Yes"),0)))</f>
        <v>1</v>
      </c>
      <c r="AW59" s="30" t="n">
        <f aca="true">IF(OR($A59="",$I59=""),"",IF($BC59="Y",SUMIFS(survey_frozen!$K$2:$K$251,survey_frozen!$P$2:$P$251,$A59&amp;"|"&amp;$B59),IFERROR(COUNTIFS(INDIRECT("'"&amp;$A59&amp;"'!$B$2:$B$501"),$T59,INDIRECT("'"&amp;$A59&amp;"'!$A$2:$A$501"),"&gt;="&amp;$I59,INDIRECT("'"&amp;$A59&amp;"'!$A$2:$A$501"),"&lt;"&amp;($BA59+1),INDIRECT("'"&amp;$A59&amp;"'!$E$2:$E$501"),"Maybe"),0)))</f>
        <v>7</v>
      </c>
      <c r="AX59" s="30" t="n">
        <f aca="true">IF(OR($A59="",$I59=""),"",IF($BC59="Y",SUMIFS(survey_frozen!$L$2:$L$251,survey_frozen!$P$2:$P$251,$A59&amp;"|"&amp;$B59),IFERROR(COUNTIFS(INDIRECT("'"&amp;$A59&amp;"'!$B$2:$B$501"),$T59,INDIRECT("'"&amp;$A59&amp;"'!$A$2:$A$501"),"&gt;="&amp;$I59,INDIRECT("'"&amp;$A59&amp;"'!$A$2:$A$501"),"&lt;"&amp;($BA59+1),INDIRECT("'"&amp;$A59&amp;"'!$E$2:$E$501"),"No"),0)))</f>
        <v>0</v>
      </c>
      <c r="AY59" s="30" t="n">
        <f aca="true">IF(OR($A59="",$I59=""),"",IF($BC59="Y",SUMIFS(survey_frozen!$M$2:$M$251,survey_frozen!$P$2:$P$251,$A59&amp;"|"&amp;$B59),IFERROR(COUNTIFS(INDIRECT("'"&amp;$A59&amp;"'!$B$2:$B$501"),$T59,INDIRECT("'"&amp;$A59&amp;"'!$A$2:$A$501"),"&gt;="&amp;$I59,INDIRECT("'"&amp;$A59&amp;"'!$A$2:$A$501"),"&lt;"&amp;($BA59+1),INDIRECT("'"&amp;$A59&amp;"'!$G$2:$G$501"),"&lt;&gt;"),0)))</f>
        <v>4</v>
      </c>
      <c r="AZ59" s="30" t="str">
        <f aca="false">IF($A59="","",$A59&amp;"|"&amp;$L59)</f>
        <v>SAMPLE-CMP-007|8</v>
      </c>
      <c r="BA59" s="31" t="n">
        <f aca="false">IF($A59="","",IFERROR(IF(INDEX(drops!$R$2:$R$21,MATCH($H59,drops!$A$2:$A$21,0))="","",INDEX(drops!$R$2:$R$21,MATCH($H59,drops!$A$2:$A$21,0))),""))</f>
        <v>46475</v>
      </c>
      <c r="BB59" s="30" t="n">
        <f aca="false">IF(OR($A59="",$Q59&lt;&gt;"Y"),1000000,N($AL59))</f>
        <v>9</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A60" s="0" t="s">
        <v>576</v>
      </c>
      <c r="B60" s="0" t="s">
        <v>696</v>
      </c>
      <c r="C60" s="11" t="n">
        <v>46442</v>
      </c>
      <c r="D60" s="10" t="s">
        <v>496</v>
      </c>
      <c r="E60" s="11" t="n">
        <v>46443</v>
      </c>
      <c r="F60" s="10" t="s">
        <v>737</v>
      </c>
      <c r="H60" s="30" t="str">
        <f aca="false">IF($A60="","",IFERROR(IF(INDEX(campaigns!$B$2:$B$51,MATCH($A60,campaigns!$A$2:$A$51,0))="","",INDEX(campaigns!$B$2:$B$51,MATCH($A60,campaigns!$A$2:$A$51,0))),""))</f>
        <v>SAMPLE-DRP-004</v>
      </c>
      <c r="I60" s="31" t="n">
        <f aca="false">IF($A60="","",IFERROR(IF(INDEX(campaigns!$BG$2:$BG$51,MATCH($A60,campaigns!$A$2:$A$51,0))="","",INDEX(campaigns!$BG$2:$BG$51,MATCH($A60,campaigns!$A$2:$A$51,0))),""))</f>
        <v>46469</v>
      </c>
      <c r="J60" s="30" t="str">
        <f aca="false">IF($A60="","",IFERROR(IF(INDEX(campaigns!$BE$2:$BE$51,MATCH($A60,campaigns!$A$2:$A$51,0))="","",INDEX(campaigns!$BE$2:$BE$51,MATCH($A60,campaigns!$A$2:$A$51,0))),""))</f>
        <v>SAMPLE Brightside</v>
      </c>
      <c r="K60" s="30" t="str">
        <f aca="false">IF($B60="","",IFERROR(IF(INDEX(offices!$O$2:$O$61,MATCH($B60,offices!$A$2:$A$61,0))="","",INDEX(offices!$O$2:$O$61,MATCH($B60,offices!$A$2:$A$61,0))),""))</f>
        <v>SAMPLE Overlook Games</v>
      </c>
      <c r="L60" s="30" t="n">
        <f aca="false">IF($A60="","",IF($Q60="N","",COUNTIFS($A$2:$A60,$A60,$Q$2:$Q60,"&lt;&gt;N")))</f>
        <v>9</v>
      </c>
      <c r="M60" s="30" t="str">
        <f aca="false">IF(OR($A60="",$L60=""),"",IF(AND(config!$B$34="names_if_public",IFERROR(IF(INDEX(offices!$AG$2:$AG$61,MATCH($B60,offices!$A$2:$A$61,0))="","",INDEX(offices!$AG$2:$AG$61,MATCH($B60,offices!$A$2:$A$61,0))),"")="Y"),$K60,CHAR(64+$L60)))</f>
        <v>I</v>
      </c>
      <c r="N60" s="30" t="n">
        <f aca="false">IF(OR($A60="",$I60=""),"",COUNTIFS(stops!$B$2:$B$151,$B60,stops!$P$2:$P$151,"&lt;"&amp;$I60,stops!$L$2:$L$151,"&lt;&gt;not_delivered")+1)</f>
        <v>3</v>
      </c>
      <c r="O60" s="30" t="str">
        <f aca="false">IF($A60="","",IF(N($N60)&lt;=config!$B$29,"explicit","opt-out"))</f>
        <v>explicit</v>
      </c>
      <c r="P60" s="30" t="str">
        <f aca="false">IF($A60="","",IF($O60="explicit",IF($D60="yes","Y",IF($D60="no","N","pending")),IF($D60="no","N",IF(AND($C60&lt;&gt;"",$I60&lt;&gt;"",$C60&lt;=WORKDAY(N($I60),-5,calendar!$A$2:$A$80)),"Y","pending"))))</f>
        <v>Y</v>
      </c>
      <c r="Q60" s="30" t="str">
        <f aca="false">IF($A60="","",IF($P60="N","N",IF($P60&lt;&gt;"Y","pending",IF(AND((COUNTIFS(stops!$A$2:$A$151,$H60,stops!$B$2:$B$151,$B60,stops!$L$2:$L$151,"declined")+COUNTIFS(stops!$A$2:$A$151,$H60,stops!$B$2:$B$151,$B60,stops!$L$2:$L$151,"building_refused")+COUNTIFS(stops!$A$2:$A$151,$H60,stops!$B$2:$B$151,$B60,stops!$L$2:$L$151,"not_delivered"))&gt;0,N($U60)=0),"N","Y"))))</f>
        <v>Y</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n">
        <f aca="false">IF($A60="","",IF($G60&lt;&gt;"",$G60,IFERROR(IF(INDEX(offices!$AM$2:$AM$61,MATCH($B60,offices!$A$2:$A$61,0))="","",INDEX(offices!$AM$2:$AM$61,MATCH($B60,offices!$A$2:$A$61,0))),"")))</f>
        <v>75</v>
      </c>
      <c r="T60" s="30" t="str">
        <f aca="false">IF($A60="","",$A60&amp;"."&amp;$B60)</f>
        <v>SAMPLE-CMP-007.SAMPLE-O-009</v>
      </c>
      <c r="U60" s="30" t="n">
        <f aca="false">IF($A60="","",SUMIFS(inventory!$G$2:$G$801,inventory!$C$2:$C$801,$A60,inventory!$D$2:$D$801,$B60,inventory!$E$2:$E$801,"delivered"))</f>
        <v>75</v>
      </c>
      <c r="V60" s="37" t="n">
        <f aca="false">IF($A60="","",IFERROR(1/(1/SUMPRODUCT(MAX((inventory!$C$2:$C$801=$A60)*(inventory!$D$2:$D$801=$B60)*(inventory!$E$2:$E$801="delivered")*(inventory!$A$2:$A$801+inventory!$B$2:$B$801)))),""))</f>
        <v>46469.4388888889</v>
      </c>
      <c r="W60" s="30" t="str">
        <f aca="false">IF($A60="","",IFERROR(IF(INDEX(inventory!$J$2:$J$801,MATCH($A60&amp;"|"&amp;$B60&amp;"|delivered",inventory!$R$2:$R$801,0))="","",INDEX(inventory!$J$2:$J$801,MATCH($A60&amp;"|"&amp;$B60&amp;"|delivered",inventory!$R$2:$R$801,0))),""))</f>
        <v>founder_count</v>
      </c>
      <c r="X60" s="30" t="str">
        <f aca="false">IF($A60="","",IFERROR(IF(INDEX(photos!$H$2:$H$701,MATCH($A60&amp;"|"&amp;$B60&amp;"|placement|Y",photos!$R$2:$R$701,0))="","",INDEX(photos!$H$2:$H$701,MATCH($A60&amp;"|"&amp;$B60&amp;"|placement|Y",photos!$R$2:$R$701,0))),""))</f>
        <v>SAMPLE-CMP-007_SAMPLE-O-009_placement_2027-03-23.jpg</v>
      </c>
      <c r="Y60" s="31" t="n">
        <f aca="false">IF($A60="","",IFERROR(IF(INDEX(photos!$E$2:$E$701,MATCH($A60&amp;"|"&amp;$B60&amp;"|placement|Y",photos!$R$2:$R$701,0))="","",INDEX(photos!$E$2:$E$701,MATCH($A60&amp;"|"&amp;$B60&amp;"|placement|Y",photos!$R$2:$R$701,0))),""))</f>
        <v>46469</v>
      </c>
      <c r="Z60" s="30" t="n">
        <f aca="false">IF($A60="","",IF(COUNTIFS(counts!$C$2:$C$701,$A60,counts!$D$2:$D$701,$B60,counts!$E$2:$E$701,"placed")=0,"",SUMIFS(counts!$F$2:$F$701,counts!$C$2:$C$701,$A60,counts!$D$2:$D$701,$B60,counts!$E$2:$E$701,"placed")))</f>
        <v>75</v>
      </c>
      <c r="AA60" s="30" t="n">
        <f aca="false">IF($A60="","",IF($Y60="",0,N($Z60)))</f>
        <v>75</v>
      </c>
      <c r="AB60" s="30" t="str">
        <f aca="false">IF($A60="","",IF(OR($Y60="",$I60=""),"N",IF($Y60&lt;=WORKDAY(N($I60),1,calendar!$A$2:$A$80),"Y","N")))</f>
        <v>Y</v>
      </c>
      <c r="AC60" s="33" t="n">
        <f aca="false">IF(OR($A60="",$V60="",$Y60=""),"",ROUND(($Y60+N(IFERROR(IF(INDEX(photos!$F$2:$F$701,MATCH($A60&amp;"|"&amp;$B60&amp;"|placement|Y",photos!$R$2:$R$701,0))="","",INDEX(photos!$F$2:$F$701,MATCH($A60&amp;"|"&amp;$B60&amp;"|placement|Y",photos!$R$2:$R$701,0))),""))-$V60)*24,1))</f>
        <v>0.1</v>
      </c>
      <c r="AD60" s="30" t="n">
        <f aca="false">IF($A60="","",SUMIFS(inventory!$G$2:$G$801,inventory!$C$2:$C$801,$A60,inventory!$D$2:$D$801,$B60,inventory!$E$2:$E$801,"topped_up"))</f>
        <v>0</v>
      </c>
      <c r="AE60" s="30" t="n">
        <f aca="false">IF($A60="","",IF(COUNTIFS(counts!$C$2:$C$701,$A60,counts!$D$2:$D$701,$B60,counts!$E$2:$E$701,"remaining_day3")=0,"",SUMIFS(counts!$F$2:$F$701,counts!$C$2:$C$701,$A60,counts!$D$2:$D$701,$B60,counts!$E$2:$E$701,"remaining_day3")))</f>
        <v>31</v>
      </c>
      <c r="AF60" s="30" t="n">
        <f aca="false">IF($A60="","",IF(COUNTIFS(counts!$C$2:$C$701,$A60,counts!$D$2:$D$701,$B60,counts!$E$2:$E$701,"remaining_day5")=0,"",SUMIFS(counts!$F$2:$F$701,counts!$C$2:$C$701,$A60,counts!$D$2:$D$701,$B60,counts!$E$2:$E$701,"remaining_day5")))</f>
        <v>9</v>
      </c>
      <c r="AG60" s="30" t="n">
        <f aca="false">IF(OR($A60="",$AF60=""),"",MAX(0,$AA60+$AD60-$AF60))</f>
        <v>66</v>
      </c>
      <c r="AH60" s="30" t="str">
        <f aca="false">IF(OR($A60="",$AI60=""),"",IFERROR(IF(INDEX(photos!$H$2:$H$701,MATCH($A60&amp;"|"&amp;$B60&amp;"|later|Y|"&amp;$AI60,photos!$S$2:$S$701,0))="","",INDEX(photos!$H$2:$H$701,MATCH($A60&amp;"|"&amp;$B60&amp;"|later|Y|"&amp;$AI60,photos!$S$2:$S$701,0))),""))</f>
        <v>SAMPLE-CMP-007_SAMPLE-O-009_later_2027-03-29.jpg</v>
      </c>
      <c r="AI60" s="31" t="n">
        <f aca="false">IF($A60="","",IFERROR(1/(1/SUMPRODUCT(MAX((photos!$B$2:$B$701=$A60)*(photos!$C$2:$C$701=$B60)*(photos!$D$2:$D$701="later")*(photos!$O$2:$O$701="Y")*photos!$E$2:$E$701))),""))</f>
        <v>46475</v>
      </c>
      <c r="AJ60" s="30" t="n">
        <f aca="false">IF(OR($A60="",$AI60="",$I60=""),"",NETWORKDAYS($I60,$AI60,calendar!$A$2:$A$80))</f>
        <v>5</v>
      </c>
      <c r="AK60" s="30" t="str">
        <f aca="false">IF($A60="","",IF(AND($X60&lt;&gt;"",$AH60&lt;&gt;""),"Y","N"))</f>
        <v>Y</v>
      </c>
      <c r="AL60" s="30" t="n">
        <f aca="true">IF(OR($A60="",$I60=""),"",IF($BC60="Y",SUMIFS(survey_frozen!$C$2:$C$251,survey_frozen!$P$2:$P$251,$A60&amp;"|"&amp;$B60),IFERROR(COUNTIFS(INDIRECT("'"&amp;$A60&amp;"'!$B$2:$B$501"),$T60,INDIRECT("'"&amp;$A60&amp;"'!$A$2:$A$501"),"&gt;="&amp;$I60,INDIRECT("'"&amp;$A60&amp;"'!$A$2:$A$501"),"&lt;"&amp;($BA60+1)),0)))</f>
        <v>6</v>
      </c>
      <c r="AM60" s="30" t="n">
        <f aca="true">IF(OR($A60="",$I60=""),"",IF($BC60="Y",SUMIFS(survey_frozen!$D$2:$D$251,survey_frozen!$P$2:$P$251,$A60&amp;"|"&amp;$B60),IFERROR(COUNTIFS(INDIRECT("'"&amp;$A60&amp;"'!$B$2:$B$501"),$T60,INDIRECT("'"&amp;$A60&amp;"'!$A$2:$A$501"),"&gt;="&amp;$I60,INDIRECT("'"&amp;$A60&amp;"'!$A$2:$A$501"),"&lt;"&amp;($BA60+1),INDIRECT("'"&amp;$A60&amp;"'!$C$2:$C$501"),"Yes"),0)))</f>
        <v>4</v>
      </c>
      <c r="AN60" s="30" t="n">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12</v>
      </c>
      <c r="AO60" s="30" t="n">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5</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n">
        <f aca="true">IF(OR($A60="",$I60=""),"",IF($BC60="Y",SUMIFS(survey_frozen!$E$2:$E$251,survey_frozen!$P$2:$P$251,$A60&amp;"|"&amp;$B60),IFERROR(COUNTIFS(INDIRECT("'"&amp;$A60&amp;"'!$B$2:$B$501"),$T60,INDIRECT("'"&amp;$A60&amp;"'!$A$2:$A$501"),"&gt;="&amp;$I60,INDIRECT("'"&amp;$A60&amp;"'!$A$2:$A$501"),"&lt;"&amp;($BA60+1),INDIRECT("'"&amp;$A60&amp;"'!$F$2:$F$501"),"Didn't see it"),0)))</f>
        <v>0</v>
      </c>
      <c r="AR60" s="30" t="n">
        <f aca="true">IF(OR($A60="",$I60=""),"",IF($BC60="Y",SUMIFS(survey_frozen!$F$2:$F$251,survey_frozen!$P$2:$P$251,$A60&amp;"|"&amp;$B60),IFERROR(COUNTIFS(INDIRECT("'"&amp;$A60&amp;"'!$B$2:$B$501"),$T60,INDIRECT("'"&amp;$A60&amp;"'!$A$2:$A$501"),"&gt;="&amp;$I60,INDIRECT("'"&amp;$A60&amp;"'!$A$2:$A$501"),"&lt;"&amp;($BA60+1),INDIRECT("'"&amp;$A60&amp;"'!$F$2:$F$501"),"Not for me"),0)))</f>
        <v>2</v>
      </c>
      <c r="AS60" s="30" t="n">
        <f aca="true">IF(OR($A60="",$I60=""),"",IF($BC60="Y",SUMIFS(survey_frozen!$G$2:$G$251,survey_frozen!$P$2:$P$251,$A60&amp;"|"&amp;$B60),IFERROR(COUNTIFS(INDIRECT("'"&amp;$A60&amp;"'!$B$2:$B$501"),$T60,INDIRECT("'"&amp;$A60&amp;"'!$A$2:$A$501"),"&gt;="&amp;$I60,INDIRECT("'"&amp;$A60&amp;"'!$A$2:$A$501"),"&lt;"&amp;($BA60+1),INDIRECT("'"&amp;$A60&amp;"'!$F$2:$F$501"),"Gone by the time I looked"),0)))</f>
        <v>0</v>
      </c>
      <c r="AT60" s="30" t="n">
        <f aca="true">IF(OR($A60="",$I60=""),"",IF($BC60="Y",SUMIFS(survey_frozen!$H$2:$H$251,survey_frozen!$P$2:$P$251,$A60&amp;"|"&amp;$B60),IFERROR(COUNTIFS(INDIRECT("'"&amp;$A60&amp;"'!$B$2:$B$501"),$T60,INDIRECT("'"&amp;$A60&amp;"'!$A$2:$A$501"),"&gt;="&amp;$I60,INDIRECT("'"&amp;$A60&amp;"'!$A$2:$A$501"),"&lt;"&amp;($BA60+1),INDIRECT("'"&amp;$A60&amp;"'!$D$2:$D$501"),"&gt;=1"),0)))</f>
        <v>4</v>
      </c>
      <c r="AU60" s="30" t="n">
        <f aca="true">IF(OR($A60="",$I60=""),"",IF($BC60="Y",SUMIFS(survey_frozen!$I$2:$I$251,survey_frozen!$P$2:$P$251,$A60&amp;"|"&amp;$B60),IFERROR(SUMIFS(INDIRECT("'"&amp;$A60&amp;"'!$D$2:$D$501"),INDIRECT("'"&amp;$A60&amp;"'!$B$2:$B$501"),$T60,INDIRECT("'"&amp;$A60&amp;"'!$A$2:$A$501"),"&gt;="&amp;$I60,INDIRECT("'"&amp;$A60&amp;"'!$A$2:$A$501"),"&lt;"&amp;($BA60+1)),0)))</f>
        <v>16</v>
      </c>
      <c r="AV60" s="30" t="n">
        <f aca="true">IF(OR($A60="",$I60=""),"",IF($BC60="Y",SUMIFS(survey_frozen!$J$2:$J$251,survey_frozen!$P$2:$P$251,$A60&amp;"|"&amp;$B60),IFERROR(COUNTIFS(INDIRECT("'"&amp;$A60&amp;"'!$B$2:$B$501"),$T60,INDIRECT("'"&amp;$A60&amp;"'!$A$2:$A$501"),"&gt;="&amp;$I60,INDIRECT("'"&amp;$A60&amp;"'!$A$2:$A$501"),"&lt;"&amp;($BA60+1),INDIRECT("'"&amp;$A60&amp;"'!$E$2:$E$501"),"Yes"),0)))</f>
        <v>1</v>
      </c>
      <c r="AW60" s="30" t="n">
        <f aca="true">IF(OR($A60="",$I60=""),"",IF($BC60="Y",SUMIFS(survey_frozen!$K$2:$K$251,survey_frozen!$P$2:$P$251,$A60&amp;"|"&amp;$B60),IFERROR(COUNTIFS(INDIRECT("'"&amp;$A60&amp;"'!$B$2:$B$501"),$T60,INDIRECT("'"&amp;$A60&amp;"'!$A$2:$A$501"),"&gt;="&amp;$I60,INDIRECT("'"&amp;$A60&amp;"'!$A$2:$A$501"),"&lt;"&amp;($BA60+1),INDIRECT("'"&amp;$A60&amp;"'!$E$2:$E$501"),"Maybe"),0)))</f>
        <v>3</v>
      </c>
      <c r="AX60" s="30" t="n">
        <f aca="true">IF(OR($A60="",$I60=""),"",IF($BC60="Y",SUMIFS(survey_frozen!$L$2:$L$251,survey_frozen!$P$2:$P$251,$A60&amp;"|"&amp;$B60),IFERROR(COUNTIFS(INDIRECT("'"&amp;$A60&amp;"'!$B$2:$B$501"),$T60,INDIRECT("'"&amp;$A60&amp;"'!$A$2:$A$501"),"&gt;="&amp;$I60,INDIRECT("'"&amp;$A60&amp;"'!$A$2:$A$501"),"&lt;"&amp;($BA60+1),INDIRECT("'"&amp;$A60&amp;"'!$E$2:$E$501"),"No"),0)))</f>
        <v>0</v>
      </c>
      <c r="AY60" s="30" t="n">
        <f aca="true">IF(OR($A60="",$I60=""),"",IF($BC60="Y",SUMIFS(survey_frozen!$M$2:$M$251,survey_frozen!$P$2:$P$251,$A60&amp;"|"&amp;$B60),IFERROR(COUNTIFS(INDIRECT("'"&amp;$A60&amp;"'!$B$2:$B$501"),$T60,INDIRECT("'"&amp;$A60&amp;"'!$A$2:$A$501"),"&gt;="&amp;$I60,INDIRECT("'"&amp;$A60&amp;"'!$A$2:$A$501"),"&lt;"&amp;($BA60+1),INDIRECT("'"&amp;$A60&amp;"'!$G$2:$G$501"),"&lt;&gt;"),0)))</f>
        <v>2</v>
      </c>
      <c r="AZ60" s="30" t="str">
        <f aca="false">IF($A60="","",$A60&amp;"|"&amp;$L60)</f>
        <v>SAMPLE-CMP-007|9</v>
      </c>
      <c r="BA60" s="31" t="n">
        <f aca="false">IF($A60="","",IFERROR(IF(INDEX(drops!$R$2:$R$21,MATCH($H60,drops!$A$2:$A$21,0))="","",INDEX(drops!$R$2:$R$21,MATCH($H60,drops!$A$2:$A$21,0))),""))</f>
        <v>46475</v>
      </c>
      <c r="BB60" s="30" t="n">
        <f aca="false">IF(OR($A60="",$Q60&lt;&gt;"Y"),1000000,N($AL60))</f>
        <v>6</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Y</v>
      </c>
    </row>
    <row r="61" customFormat="false" ht="15" hidden="false" customHeight="false" outlineLevel="0" collapsed="false">
      <c r="A61" s="0" t="s">
        <v>576</v>
      </c>
      <c r="B61" s="0" t="s">
        <v>698</v>
      </c>
      <c r="C61" s="11" t="n">
        <v>46442</v>
      </c>
      <c r="D61" s="10" t="s">
        <v>496</v>
      </c>
      <c r="E61" s="11" t="n">
        <v>46443</v>
      </c>
      <c r="F61" s="10" t="s">
        <v>737</v>
      </c>
      <c r="H61" s="30" t="str">
        <f aca="false">IF($A61="","",IFERROR(IF(INDEX(campaigns!$B$2:$B$51,MATCH($A61,campaigns!$A$2:$A$51,0))="","",INDEX(campaigns!$B$2:$B$51,MATCH($A61,campaigns!$A$2:$A$51,0))),""))</f>
        <v>SAMPLE-DRP-004</v>
      </c>
      <c r="I61" s="31" t="n">
        <f aca="false">IF($A61="","",IFERROR(IF(INDEX(campaigns!$BG$2:$BG$51,MATCH($A61,campaigns!$A$2:$A$51,0))="","",INDEX(campaigns!$BG$2:$BG$51,MATCH($A61,campaigns!$A$2:$A$51,0))),""))</f>
        <v>46469</v>
      </c>
      <c r="J61" s="30" t="str">
        <f aca="false">IF($A61="","",IFERROR(IF(INDEX(campaigns!$BE$2:$BE$51,MATCH($A61,campaigns!$A$2:$A$51,0))="","",INDEX(campaigns!$BE$2:$BE$51,MATCH($A61,campaigns!$A$2:$A$51,0))),""))</f>
        <v>SAMPLE Brightside</v>
      </c>
      <c r="K61" s="30" t="str">
        <f aca="false">IF($B61="","",IFERROR(IF(INDEX(offices!$O$2:$O$61,MATCH($B61,offices!$A$2:$A$61,0))="","",INDEX(offices!$O$2:$O$61,MATCH($B61,offices!$A$2:$A$61,0))),""))</f>
        <v>SAMPLE Quill Nonprofit Press</v>
      </c>
      <c r="L61" s="30" t="n">
        <f aca="false">IF($A61="","",IF($Q61="N","",COUNTIFS($A$2:$A61,$A61,$Q$2:$Q61,"&lt;&gt;N")))</f>
        <v>10</v>
      </c>
      <c r="M61" s="30" t="str">
        <f aca="false">IF(OR($A61="",$L61=""),"",IF(AND(config!$B$34="names_if_public",IFERROR(IF(INDEX(offices!$AG$2:$AG$61,MATCH($B61,offices!$A$2:$A$61,0))="","",INDEX(offices!$AG$2:$AG$61,MATCH($B61,offices!$A$2:$A$61,0))),"")="Y"),$K61,CHAR(64+$L61)))</f>
        <v>J</v>
      </c>
      <c r="N61" s="30" t="n">
        <f aca="false">IF(OR($A61="",$I61=""),"",COUNTIFS(stops!$B$2:$B$151,$B61,stops!$P$2:$P$151,"&lt;"&amp;$I61,stops!$L$2:$L$151,"&lt;&gt;not_delivered")+1)</f>
        <v>3</v>
      </c>
      <c r="O61" s="30" t="str">
        <f aca="false">IF($A61="","",IF(N($N61)&lt;=config!$B$29,"explicit","opt-out"))</f>
        <v>explicit</v>
      </c>
      <c r="P61" s="30" t="str">
        <f aca="false">IF($A61="","",IF($O61="explicit",IF($D61="yes","Y",IF($D61="no","N","pending")),IF($D61="no","N",IF(AND($C61&lt;&gt;"",$I61&lt;&gt;"",$C61&lt;=WORKDAY(N($I61),-5,calendar!$A$2:$A$80)),"Y","pending"))))</f>
        <v>Y</v>
      </c>
      <c r="Q61" s="30" t="str">
        <f aca="false">IF($A61="","",IF($P61="N","N",IF($P61&lt;&gt;"Y","pending",IF(AND((COUNTIFS(stops!$A$2:$A$151,$H61,stops!$B$2:$B$151,$B61,stops!$L$2:$L$151,"declined")+COUNTIFS(stops!$A$2:$A$151,$H61,stops!$B$2:$B$151,$B61,stops!$L$2:$L$151,"building_refused")+COUNTIFS(stops!$A$2:$A$151,$H61,stops!$B$2:$B$151,$B61,stops!$L$2:$L$151,"not_delivered"))&gt;0,N($U61)=0),"N","Y"))))</f>
        <v>Y</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n">
        <f aca="false">IF($A61="","",IF($G61&lt;&gt;"",$G61,IFERROR(IF(INDEX(offices!$AM$2:$AM$61,MATCH($B61,offices!$A$2:$A$61,0))="","",INDEX(offices!$AM$2:$AM$61,MATCH($B61,offices!$A$2:$A$61,0))),"")))</f>
        <v>40</v>
      </c>
      <c r="T61" s="30" t="str">
        <f aca="false">IF($A61="","",$A61&amp;"."&amp;$B61)</f>
        <v>SAMPLE-CMP-007.SAMPLE-O-010</v>
      </c>
      <c r="U61" s="30" t="n">
        <f aca="false">IF($A61="","",SUMIFS(inventory!$G$2:$G$801,inventory!$C$2:$C$801,$A61,inventory!$D$2:$D$801,$B61,inventory!$E$2:$E$801,"delivered"))</f>
        <v>40</v>
      </c>
      <c r="V61" s="37" t="n">
        <f aca="false">IF($A61="","",IFERROR(1/(1/SUMPRODUCT(MAX((inventory!$C$2:$C$801=$A61)*(inventory!$D$2:$D$801=$B61)*(inventory!$E$2:$E$801="delivered")*(inventory!$A$2:$A$801+inventory!$B$2:$B$801)))),""))</f>
        <v>46469.4305555556</v>
      </c>
      <c r="W61" s="30" t="str">
        <f aca="false">IF($A61="","",IFERROR(IF(INDEX(inventory!$J$2:$J$801,MATCH($A61&amp;"|"&amp;$B61&amp;"|delivered",inventory!$R$2:$R$801,0))="","",INDEX(inventory!$J$2:$J$801,MATCH($A61&amp;"|"&amp;$B61&amp;"|delivered",inventory!$R$2:$R$801,0))),""))</f>
        <v>office_count</v>
      </c>
      <c r="X61" s="30" t="str">
        <f aca="false">IF($A61="","",IFERROR(IF(INDEX(photos!$H$2:$H$701,MATCH($A61&amp;"|"&amp;$B61&amp;"|placement|Y",photos!$R$2:$R$701,0))="","",INDEX(photos!$H$2:$H$701,MATCH($A61&amp;"|"&amp;$B61&amp;"|placement|Y",photos!$R$2:$R$701,0))),""))</f>
        <v>SAMPLE-CMP-007_SAMPLE-O-010_placement_2027-03-23.jpg</v>
      </c>
      <c r="Y61" s="31" t="n">
        <f aca="false">IF($A61="","",IFERROR(IF(INDEX(photos!$E$2:$E$701,MATCH($A61&amp;"|"&amp;$B61&amp;"|placement|Y",photos!$R$2:$R$701,0))="","",INDEX(photos!$E$2:$E$701,MATCH($A61&amp;"|"&amp;$B61&amp;"|placement|Y",photos!$R$2:$R$701,0))),""))</f>
        <v>46469</v>
      </c>
      <c r="Z61" s="30" t="n">
        <f aca="false">IF($A61="","",IF(COUNTIFS(counts!$C$2:$C$701,$A61,counts!$D$2:$D$701,$B61,counts!$E$2:$E$701,"placed")=0,"",SUMIFS(counts!$F$2:$F$701,counts!$C$2:$C$701,$A61,counts!$D$2:$D$701,$B61,counts!$E$2:$E$701,"placed")))</f>
        <v>40</v>
      </c>
      <c r="AA61" s="30" t="n">
        <f aca="false">IF($A61="","",IF($Y61="",0,N($Z61)))</f>
        <v>40</v>
      </c>
      <c r="AB61" s="30" t="str">
        <f aca="false">IF($A61="","",IF(OR($Y61="",$I61=""),"N",IF($Y61&lt;=WORKDAY(N($I61),1,calendar!$A$2:$A$80),"Y","N")))</f>
        <v>Y</v>
      </c>
      <c r="AC61" s="33" t="n">
        <f aca="false">IF(OR($A61="",$V61="",$Y61=""),"",ROUND(($Y61+N(IFERROR(IF(INDEX(photos!$F$2:$F$701,MATCH($A61&amp;"|"&amp;$B61&amp;"|placement|Y",photos!$R$2:$R$701,0))="","",INDEX(photos!$F$2:$F$701,MATCH($A61&amp;"|"&amp;$B61&amp;"|placement|Y",photos!$R$2:$R$701,0))),""))-$V61)*24,1))</f>
        <v>2.7</v>
      </c>
      <c r="AD61" s="30" t="n">
        <f aca="false">IF($A61="","",SUMIFS(inventory!$G$2:$G$801,inventory!$C$2:$C$801,$A61,inventory!$D$2:$D$801,$B61,inventory!$E$2:$E$801,"topped_up"))</f>
        <v>0</v>
      </c>
      <c r="AE61" s="30" t="n">
        <f aca="false">IF($A61="","",IF(COUNTIFS(counts!$C$2:$C$701,$A61,counts!$D$2:$D$701,$B61,counts!$E$2:$E$701,"remaining_day3")=0,"",SUMIFS(counts!$F$2:$F$701,counts!$C$2:$C$701,$A61,counts!$D$2:$D$701,$B61,counts!$E$2:$E$701,"remaining_day3")))</f>
        <v>10</v>
      </c>
      <c r="AF61" s="30" t="n">
        <f aca="false">IF($A61="","",IF(COUNTIFS(counts!$C$2:$C$701,$A61,counts!$D$2:$D$701,$B61,counts!$E$2:$E$701,"remaining_day5")=0,"",SUMIFS(counts!$F$2:$F$701,counts!$C$2:$C$701,$A61,counts!$D$2:$D$701,$B61,counts!$E$2:$E$701,"remaining_day5")))</f>
        <v>2</v>
      </c>
      <c r="AG61" s="30" t="n">
        <f aca="false">IF(OR($A61="",$AF61=""),"",MAX(0,$AA61+$AD61-$AF61))</f>
        <v>38</v>
      </c>
      <c r="AH61" s="30" t="str">
        <f aca="false">IF(OR($A61="",$AI61=""),"",IFERROR(IF(INDEX(photos!$H$2:$H$701,MATCH($A61&amp;"|"&amp;$B61&amp;"|later|Y|"&amp;$AI61,photos!$S$2:$S$701,0))="","",INDEX(photos!$H$2:$H$701,MATCH($A61&amp;"|"&amp;$B61&amp;"|later|Y|"&amp;$AI61,photos!$S$2:$S$701,0))),""))</f>
        <v>SAMPLE-CMP-007_SAMPLE-O-010_later_2027-03-29.jpg</v>
      </c>
      <c r="AI61" s="31" t="n">
        <f aca="false">IF($A61="","",IFERROR(1/(1/SUMPRODUCT(MAX((photos!$B$2:$B$701=$A61)*(photos!$C$2:$C$701=$B61)*(photos!$D$2:$D$701="later")*(photos!$O$2:$O$701="Y")*photos!$E$2:$E$701))),""))</f>
        <v>46475</v>
      </c>
      <c r="AJ61" s="30" t="n">
        <f aca="false">IF(OR($A61="",$AI61="",$I61=""),"",NETWORKDAYS($I61,$AI61,calendar!$A$2:$A$80))</f>
        <v>5</v>
      </c>
      <c r="AK61" s="30" t="str">
        <f aca="false">IF($A61="","",IF(AND($X61&lt;&gt;"",$AH61&lt;&gt;""),"Y","N"))</f>
        <v>Y</v>
      </c>
      <c r="AL61" s="30" t="n">
        <f aca="true">IF(OR($A61="",$I61=""),"",IF($BC61="Y",SUMIFS(survey_frozen!$C$2:$C$251,survey_frozen!$P$2:$P$251,$A61&amp;"|"&amp;$B61),IFERROR(COUNTIFS(INDIRECT("'"&amp;$A61&amp;"'!$B$2:$B$501"),$T61,INDIRECT("'"&amp;$A61&amp;"'!$A$2:$A$501"),"&gt;="&amp;$I61,INDIRECT("'"&amp;$A61&amp;"'!$A$2:$A$501"),"&lt;"&amp;($BA61+1)),0)))</f>
        <v>4</v>
      </c>
      <c r="AM61" s="30" t="n">
        <f aca="true">IF(OR($A61="",$I61=""),"",IF($BC61="Y",SUMIFS(survey_frozen!$D$2:$D$251,survey_frozen!$P$2:$P$251,$A61&amp;"|"&amp;$B61),IFERROR(COUNTIFS(INDIRECT("'"&amp;$A61&amp;"'!$B$2:$B$501"),$T61,INDIRECT("'"&amp;$A61&amp;"'!$A$2:$A$501"),"&gt;="&amp;$I61,INDIRECT("'"&amp;$A61&amp;"'!$A$2:$A$501"),"&lt;"&amp;($BA61+1),INDIRECT("'"&amp;$A61&amp;"'!$C$2:$C$501"),"Yes"),0)))</f>
        <v>4</v>
      </c>
      <c r="AN61" s="30" t="n">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5</v>
      </c>
      <c r="AO61" s="30" t="n">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8</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info: under 5 responses; </v>
      </c>
      <c r="AQ61" s="30" t="n">
        <f aca="true">IF(OR($A61="",$I61=""),"",IF($BC61="Y",SUMIFS(survey_frozen!$E$2:$E$251,survey_frozen!$P$2:$P$251,$A61&amp;"|"&amp;$B61),IFERROR(COUNTIFS(INDIRECT("'"&amp;$A61&amp;"'!$B$2:$B$501"),$T61,INDIRECT("'"&amp;$A61&amp;"'!$A$2:$A$501"),"&gt;="&amp;$I61,INDIRECT("'"&amp;$A61&amp;"'!$A$2:$A$501"),"&lt;"&amp;($BA61+1),INDIRECT("'"&amp;$A61&amp;"'!$F$2:$F$501"),"Didn't see it"),0)))</f>
        <v>0</v>
      </c>
      <c r="AR61" s="30" t="n">
        <f aca="true">IF(OR($A61="",$I61=""),"",IF($BC61="Y",SUMIFS(survey_frozen!$F$2:$F$251,survey_frozen!$P$2:$P$251,$A61&amp;"|"&amp;$B61),IFERROR(COUNTIFS(INDIRECT("'"&amp;$A61&amp;"'!$B$2:$B$501"),$T61,INDIRECT("'"&amp;$A61&amp;"'!$A$2:$A$501"),"&gt;="&amp;$I61,INDIRECT("'"&amp;$A61&amp;"'!$A$2:$A$501"),"&lt;"&amp;($BA61+1),INDIRECT("'"&amp;$A61&amp;"'!$F$2:$F$501"),"Not for me"),0)))</f>
        <v>0</v>
      </c>
      <c r="AS61" s="30" t="n">
        <f aca="true">IF(OR($A61="",$I61=""),"",IF($BC61="Y",SUMIFS(survey_frozen!$G$2:$G$251,survey_frozen!$P$2:$P$251,$A61&amp;"|"&amp;$B61),IFERROR(COUNTIFS(INDIRECT("'"&amp;$A61&amp;"'!$B$2:$B$501"),$T61,INDIRECT("'"&amp;$A61&amp;"'!$A$2:$A$501"),"&gt;="&amp;$I61,INDIRECT("'"&amp;$A61&amp;"'!$A$2:$A$501"),"&lt;"&amp;($BA61+1),INDIRECT("'"&amp;$A61&amp;"'!$F$2:$F$501"),"Gone by the time I looked"),0)))</f>
        <v>0</v>
      </c>
      <c r="AT61" s="30" t="n">
        <f aca="true">IF(OR($A61="",$I61=""),"",IF($BC61="Y",SUMIFS(survey_frozen!$H$2:$H$251,survey_frozen!$P$2:$P$251,$A61&amp;"|"&amp;$B61),IFERROR(COUNTIFS(INDIRECT("'"&amp;$A61&amp;"'!$B$2:$B$501"),$T61,INDIRECT("'"&amp;$A61&amp;"'!$A$2:$A$501"),"&gt;="&amp;$I61,INDIRECT("'"&amp;$A61&amp;"'!$A$2:$A$501"),"&lt;"&amp;($BA61+1),INDIRECT("'"&amp;$A61&amp;"'!$D$2:$D$501"),"&gt;=1"),0)))</f>
        <v>4</v>
      </c>
      <c r="AU61" s="30" t="n">
        <f aca="true">IF(OR($A61="",$I61=""),"",IF($BC61="Y",SUMIFS(survey_frozen!$I$2:$I$251,survey_frozen!$P$2:$P$251,$A61&amp;"|"&amp;$B61),IFERROR(SUMIFS(INDIRECT("'"&amp;$A61&amp;"'!$D$2:$D$501"),INDIRECT("'"&amp;$A61&amp;"'!$B$2:$B$501"),$T61,INDIRECT("'"&amp;$A61&amp;"'!$A$2:$A$501"),"&gt;="&amp;$I61,INDIRECT("'"&amp;$A61&amp;"'!$A$2:$A$501"),"&lt;"&amp;($BA61+1)),0)))</f>
        <v>20</v>
      </c>
      <c r="AV61" s="30" t="n">
        <f aca="true">IF(OR($A61="",$I61=""),"",IF($BC61="Y",SUMIFS(survey_frozen!$J$2:$J$251,survey_frozen!$P$2:$P$251,$A61&amp;"|"&amp;$B61),IFERROR(COUNTIFS(INDIRECT("'"&amp;$A61&amp;"'!$B$2:$B$501"),$T61,INDIRECT("'"&amp;$A61&amp;"'!$A$2:$A$501"),"&gt;="&amp;$I61,INDIRECT("'"&amp;$A61&amp;"'!$A$2:$A$501"),"&lt;"&amp;($BA61+1),INDIRECT("'"&amp;$A61&amp;"'!$E$2:$E$501"),"Yes"),0)))</f>
        <v>4</v>
      </c>
      <c r="AW61" s="30" t="n">
        <f aca="true">IF(OR($A61="",$I61=""),"",IF($BC61="Y",SUMIFS(survey_frozen!$K$2:$K$251,survey_frozen!$P$2:$P$251,$A61&amp;"|"&amp;$B61),IFERROR(COUNTIFS(INDIRECT("'"&amp;$A61&amp;"'!$B$2:$B$501"),$T61,INDIRECT("'"&amp;$A61&amp;"'!$A$2:$A$501"),"&gt;="&amp;$I61,INDIRECT("'"&amp;$A61&amp;"'!$A$2:$A$501"),"&lt;"&amp;($BA61+1),INDIRECT("'"&amp;$A61&amp;"'!$E$2:$E$501"),"Maybe"),0)))</f>
        <v>0</v>
      </c>
      <c r="AX61" s="30" t="n">
        <f aca="true">IF(OR($A61="",$I61=""),"",IF($BC61="Y",SUMIFS(survey_frozen!$L$2:$L$251,survey_frozen!$P$2:$P$251,$A61&amp;"|"&amp;$B61),IFERROR(COUNTIFS(INDIRECT("'"&amp;$A61&amp;"'!$B$2:$B$501"),$T61,INDIRECT("'"&amp;$A61&amp;"'!$A$2:$A$501"),"&gt;="&amp;$I61,INDIRECT("'"&amp;$A61&amp;"'!$A$2:$A$501"),"&lt;"&amp;($BA61+1),INDIRECT("'"&amp;$A61&amp;"'!$E$2:$E$501"),"No"),0)))</f>
        <v>0</v>
      </c>
      <c r="AY61" s="30" t="n">
        <f aca="true">IF(OR($A61="",$I61=""),"",IF($BC61="Y",SUMIFS(survey_frozen!$M$2:$M$251,survey_frozen!$P$2:$P$251,$A61&amp;"|"&amp;$B61),IFERROR(COUNTIFS(INDIRECT("'"&amp;$A61&amp;"'!$B$2:$B$501"),$T61,INDIRECT("'"&amp;$A61&amp;"'!$A$2:$A$501"),"&gt;="&amp;$I61,INDIRECT("'"&amp;$A61&amp;"'!$A$2:$A$501"),"&lt;"&amp;($BA61+1),INDIRECT("'"&amp;$A61&amp;"'!$G$2:$G$501"),"&lt;&gt;"),0)))</f>
        <v>0</v>
      </c>
      <c r="AZ61" s="30" t="str">
        <f aca="false">IF($A61="","",$A61&amp;"|"&amp;$L61)</f>
        <v>SAMPLE-CMP-007|10</v>
      </c>
      <c r="BA61" s="31" t="n">
        <f aca="false">IF($A61="","",IFERROR(IF(INDEX(drops!$R$2:$R$21,MATCH($H61,drops!$A$2:$A$21,0))="","",INDEX(drops!$R$2:$R$21,MATCH($H61,drops!$A$2:$A$21,0))),""))</f>
        <v>46475</v>
      </c>
      <c r="BB61" s="30" t="n">
        <f aca="false">IF(OR($A61="",$Q61&lt;&gt;"Y"),1000000,N($AL61))</f>
        <v>4</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A62" s="0" t="s">
        <v>584</v>
      </c>
      <c r="B62" s="0" t="s">
        <v>678</v>
      </c>
      <c r="C62" s="11" t="n">
        <v>46442</v>
      </c>
      <c r="D62" s="10"/>
      <c r="E62" s="11"/>
      <c r="H62" s="30" t="str">
        <f aca="false">IF($A62="","",IFERROR(IF(INDEX(campaigns!$B$2:$B$51,MATCH($A62,campaigns!$A$2:$A$51,0))="","",INDEX(campaigns!$B$2:$B$51,MATCH($A62,campaigns!$A$2:$A$51,0))),""))</f>
        <v>SAMPLE-DRP-004</v>
      </c>
      <c r="I62" s="31" t="n">
        <f aca="false">IF($A62="","",IFERROR(IF(INDEX(campaigns!$BG$2:$BG$51,MATCH($A62,campaigns!$A$2:$A$51,0))="","",INDEX(campaigns!$BG$2:$BG$51,MATCH($A62,campaigns!$A$2:$A$51,0))),""))</f>
        <v>46469</v>
      </c>
      <c r="J62" s="30" t="str">
        <f aca="false">IF($A62="","",IFERROR(IF(INDEX(campaigns!$BE$2:$BE$51,MATCH($A62,campaigns!$A$2:$A$51,0))="","",INDEX(campaigns!$BE$2:$BE$51,MATCH($A62,campaigns!$A$2:$A$51,0))),""))</f>
        <v>SAMPLE Tallgrass</v>
      </c>
      <c r="K62" s="30" t="str">
        <f aca="false">IF($B62="","",IFERROR(IF(INDEX(offices!$O$2:$O$61,MATCH($B62,offices!$A$2:$A$61,0))="","",INDEX(offices!$O$2:$O$61,MATCH($B62,offices!$A$2:$A$61,0))),""))</f>
        <v>SAMPLE Northpoint Software</v>
      </c>
      <c r="L62" s="30" t="n">
        <f aca="false">IF($A62="","",IF($Q62="N","",COUNTIFS($A$2:$A62,$A62,$Q$2:$Q62,"&lt;&gt;N")))</f>
        <v>1</v>
      </c>
      <c r="M62" s="30" t="str">
        <f aca="false">IF(OR($A62="",$L62=""),"",IF(AND(config!$B$34="names_if_public",IFERROR(IF(INDEX(offices!$AG$2:$AG$61,MATCH($B62,offices!$A$2:$A$61,0))="","",INDEX(offices!$AG$2:$AG$61,MATCH($B62,offices!$A$2:$A$61,0))),"")="Y"),$K62,CHAR(64+$L62)))</f>
        <v>A</v>
      </c>
      <c r="N62" s="30" t="n">
        <f aca="false">IF(OR($A62="",$I62=""),"",COUNTIFS(stops!$B$2:$B$151,$B62,stops!$P$2:$P$151,"&lt;"&amp;$I62,stops!$L$2:$L$151,"&lt;&gt;not_delivered")+1)</f>
        <v>4</v>
      </c>
      <c r="O62" s="30" t="str">
        <f aca="false">IF($A62="","",IF(N($N62)&lt;=config!$B$29,"explicit","opt-out"))</f>
        <v>opt-out</v>
      </c>
      <c r="P62" s="30" t="str">
        <f aca="false">IF($A62="","",IF($O62="explicit",IF($D62="yes","Y",IF($D62="no","N","pending")),IF($D62="no","N",IF(AND($C62&lt;&gt;"",$I62&lt;&gt;"",$C62&lt;=WORKDAY(N($I62),-5,calendar!$A$2:$A$80)),"Y","pending"))))</f>
        <v>Y</v>
      </c>
      <c r="Q62" s="30" t="str">
        <f aca="false">IF($A62="","",IF($P62="N","N",IF($P62&lt;&gt;"Y","pending",IF(AND((COUNTIFS(stops!$A$2:$A$151,$H62,stops!$B$2:$B$151,$B62,stops!$L$2:$L$151,"declined")+COUNTIFS(stops!$A$2:$A$151,$H62,stops!$B$2:$B$151,$B62,stops!$L$2:$L$151,"building_refused")+COUNTIFS(stops!$A$2:$A$151,$H62,stops!$B$2:$B$151,$B62,stops!$L$2:$L$151,"not_delivered"))&gt;0,N($U62)=0),"N","Y"))))</f>
        <v>Y</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n">
        <f aca="false">IF($A62="","",IF($G62&lt;&gt;"",$G62,IFERROR(IF(INDEX(offices!$AM$2:$AM$61,MATCH($B62,offices!$A$2:$A$61,0))="","",INDEX(offices!$AM$2:$AM$61,MATCH($B62,offices!$A$2:$A$61,0))),"")))</f>
        <v>40</v>
      </c>
      <c r="T62" s="30" t="str">
        <f aca="false">IF($A62="","",$A62&amp;"."&amp;$B62)</f>
        <v>SAMPLE-CMP-008.SAMPLE-O-001</v>
      </c>
      <c r="U62" s="30" t="n">
        <f aca="false">IF($A62="","",SUMIFS(inventory!$G$2:$G$801,inventory!$C$2:$C$801,$A62,inventory!$D$2:$D$801,$B62,inventory!$E$2:$E$801,"delivered"))</f>
        <v>40</v>
      </c>
      <c r="V62" s="37" t="n">
        <f aca="false">IF($A62="","",IFERROR(1/(1/SUMPRODUCT(MAX((inventory!$C$2:$C$801=$A62)*(inventory!$D$2:$D$801=$B62)*(inventory!$E$2:$E$801="delivered")*(inventory!$A$2:$A$801+inventory!$B$2:$B$801)))),""))</f>
        <v>46469.4243055556</v>
      </c>
      <c r="W62" s="30" t="str">
        <f aca="false">IF($A62="","",IFERROR(IF(INDEX(inventory!$J$2:$J$801,MATCH($A62&amp;"|"&amp;$B62&amp;"|delivered",inventory!$R$2:$R$801,0))="","",INDEX(inventory!$J$2:$J$801,MATCH($A62&amp;"|"&amp;$B62&amp;"|delivered",inventory!$R$2:$R$801,0))),""))</f>
        <v>office_count</v>
      </c>
      <c r="X62" s="30" t="str">
        <f aca="false">IF($A62="","",IFERROR(IF(INDEX(photos!$H$2:$H$701,MATCH($A62&amp;"|"&amp;$B62&amp;"|placement|Y",photos!$R$2:$R$701,0))="","",INDEX(photos!$H$2:$H$701,MATCH($A62&amp;"|"&amp;$B62&amp;"|placement|Y",photos!$R$2:$R$701,0))),""))</f>
        <v>SAMPLE-CMP-008_SAMPLE-O-001_placement_2027-03-23.jpg</v>
      </c>
      <c r="Y62" s="31" t="n">
        <f aca="false">IF($A62="","",IFERROR(IF(INDEX(photos!$E$2:$E$701,MATCH($A62&amp;"|"&amp;$B62&amp;"|placement|Y",photos!$R$2:$R$701,0))="","",INDEX(photos!$E$2:$E$701,MATCH($A62&amp;"|"&amp;$B62&amp;"|placement|Y",photos!$R$2:$R$701,0))),""))</f>
        <v>46469</v>
      </c>
      <c r="Z62" s="30" t="n">
        <f aca="false">IF($A62="","",IF(COUNTIFS(counts!$C$2:$C$701,$A62,counts!$D$2:$D$701,$B62,counts!$E$2:$E$701,"placed")=0,"",SUMIFS(counts!$F$2:$F$701,counts!$C$2:$C$701,$A62,counts!$D$2:$D$701,$B62,counts!$E$2:$E$701,"placed")))</f>
        <v>40</v>
      </c>
      <c r="AA62" s="30" t="n">
        <f aca="false">IF($A62="","",IF($Y62="",0,N($Z62)))</f>
        <v>40</v>
      </c>
      <c r="AB62" s="30" t="str">
        <f aca="false">IF($A62="","",IF(OR($Y62="",$I62=""),"N",IF($Y62&lt;=WORKDAY(N($I62),1,calendar!$A$2:$A$80),"Y","N")))</f>
        <v>Y</v>
      </c>
      <c r="AC62" s="33" t="n">
        <f aca="false">IF(OR($A62="",$V62="",$Y62=""),"",ROUND(($Y62+N(IFERROR(IF(INDEX(photos!$F$2:$F$701,MATCH($A62&amp;"|"&amp;$B62&amp;"|placement|Y",photos!$R$2:$R$701,0))="","",INDEX(photos!$F$2:$F$701,MATCH($A62&amp;"|"&amp;$B62&amp;"|placement|Y",photos!$R$2:$R$701,0))),""))-$V62)*24,1))</f>
        <v>2.8</v>
      </c>
      <c r="AD62" s="30" t="n">
        <f aca="false">IF($A62="","",SUMIFS(inventory!$G$2:$G$801,inventory!$C$2:$C$801,$A62,inventory!$D$2:$D$801,$B62,inventory!$E$2:$E$801,"topped_up"))</f>
        <v>0</v>
      </c>
      <c r="AE62" s="30" t="n">
        <f aca="false">IF($A62="","",IF(COUNTIFS(counts!$C$2:$C$701,$A62,counts!$D$2:$D$701,$B62,counts!$E$2:$E$701,"remaining_day3")=0,"",SUMIFS(counts!$F$2:$F$701,counts!$C$2:$C$701,$A62,counts!$D$2:$D$701,$B62,counts!$E$2:$E$701,"remaining_day3")))</f>
        <v>13</v>
      </c>
      <c r="AF62" s="30" t="n">
        <f aca="false">IF($A62="","",IF(COUNTIFS(counts!$C$2:$C$701,$A62,counts!$D$2:$D$701,$B62,counts!$E$2:$E$701,"remaining_day5")=0,"",SUMIFS(counts!$F$2:$F$701,counts!$C$2:$C$701,$A62,counts!$D$2:$D$701,$B62,counts!$E$2:$E$701,"remaining_day5")))</f>
        <v>2</v>
      </c>
      <c r="AG62" s="30" t="n">
        <f aca="false">IF(OR($A62="",$AF62=""),"",MAX(0,$AA62+$AD62-$AF62))</f>
        <v>38</v>
      </c>
      <c r="AH62" s="30" t="str">
        <f aca="false">IF(OR($A62="",$AI62=""),"",IFERROR(IF(INDEX(photos!$H$2:$H$701,MATCH($A62&amp;"|"&amp;$B62&amp;"|later|Y|"&amp;$AI62,photos!$S$2:$S$701,0))="","",INDEX(photos!$H$2:$H$701,MATCH($A62&amp;"|"&amp;$B62&amp;"|later|Y|"&amp;$AI62,photos!$S$2:$S$701,0))),""))</f>
        <v>SAMPLE-CMP-008_SAMPLE-O-001_later_2027-03-29.jpg</v>
      </c>
      <c r="AI62" s="31" t="n">
        <f aca="false">IF($A62="","",IFERROR(1/(1/SUMPRODUCT(MAX((photos!$B$2:$B$701=$A62)*(photos!$C$2:$C$701=$B62)*(photos!$D$2:$D$701="later")*(photos!$O$2:$O$701="Y")*photos!$E$2:$E$701))),""))</f>
        <v>46475</v>
      </c>
      <c r="AJ62" s="30" t="n">
        <f aca="false">IF(OR($A62="",$AI62="",$I62=""),"",NETWORKDAYS($I62,$AI62,calendar!$A$2:$A$80))</f>
        <v>5</v>
      </c>
      <c r="AK62" s="30" t="str">
        <f aca="false">IF($A62="","",IF(AND($X62&lt;&gt;"",$AH62&lt;&gt;""),"Y","N"))</f>
        <v>Y</v>
      </c>
      <c r="AL62" s="30" t="n">
        <f aca="true">IF(OR($A62="",$I62=""),"",IF($BC62="Y",SUMIFS(survey_frozen!$C$2:$C$251,survey_frozen!$P$2:$P$251,$A62&amp;"|"&amp;$B62),IFERROR(COUNTIFS(INDIRECT("'"&amp;$A62&amp;"'!$B$2:$B$501"),$T62,INDIRECT("'"&amp;$A62&amp;"'!$A$2:$A$501"),"&gt;="&amp;$I62,INDIRECT("'"&amp;$A62&amp;"'!$A$2:$A$501"),"&lt;"&amp;($BA62+1)),0)))</f>
        <v>6</v>
      </c>
      <c r="AM62" s="30" t="n">
        <f aca="true">IF(OR($A62="",$I62=""),"",IF($BC62="Y",SUMIFS(survey_frozen!$D$2:$D$251,survey_frozen!$P$2:$P$251,$A62&amp;"|"&amp;$B62),IFERROR(COUNTIFS(INDIRECT("'"&amp;$A62&amp;"'!$B$2:$B$501"),$T62,INDIRECT("'"&amp;$A62&amp;"'!$A$2:$A$501"),"&gt;="&amp;$I62,INDIRECT("'"&amp;$A62&amp;"'!$A$2:$A$501"),"&lt;"&amp;($BA62+1),INDIRECT("'"&amp;$A62&amp;"'!$C$2:$C$501"),"Yes"),0)))</f>
        <v>4</v>
      </c>
      <c r="AN62" s="30" t="n">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12</v>
      </c>
      <c r="AO62" s="30" t="n">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5</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n">
        <f aca="true">IF(OR($A62="",$I62=""),"",IF($BC62="Y",SUMIFS(survey_frozen!$E$2:$E$251,survey_frozen!$P$2:$P$251,$A62&amp;"|"&amp;$B62),IFERROR(COUNTIFS(INDIRECT("'"&amp;$A62&amp;"'!$B$2:$B$501"),$T62,INDIRECT("'"&amp;$A62&amp;"'!$A$2:$A$501"),"&gt;="&amp;$I62,INDIRECT("'"&amp;$A62&amp;"'!$A$2:$A$501"),"&lt;"&amp;($BA62+1),INDIRECT("'"&amp;$A62&amp;"'!$F$2:$F$501"),"Didn't see it"),0)))</f>
        <v>0</v>
      </c>
      <c r="AR62" s="30" t="n">
        <f aca="true">IF(OR($A62="",$I62=""),"",IF($BC62="Y",SUMIFS(survey_frozen!$F$2:$F$251,survey_frozen!$P$2:$P$251,$A62&amp;"|"&amp;$B62),IFERROR(COUNTIFS(INDIRECT("'"&amp;$A62&amp;"'!$B$2:$B$501"),$T62,INDIRECT("'"&amp;$A62&amp;"'!$A$2:$A$501"),"&gt;="&amp;$I62,INDIRECT("'"&amp;$A62&amp;"'!$A$2:$A$501"),"&lt;"&amp;($BA62+1),INDIRECT("'"&amp;$A62&amp;"'!$F$2:$F$501"),"Not for me"),0)))</f>
        <v>2</v>
      </c>
      <c r="AS62" s="30" t="n">
        <f aca="true">IF(OR($A62="",$I62=""),"",IF($BC62="Y",SUMIFS(survey_frozen!$G$2:$G$251,survey_frozen!$P$2:$P$251,$A62&amp;"|"&amp;$B62),IFERROR(COUNTIFS(INDIRECT("'"&amp;$A62&amp;"'!$B$2:$B$501"),$T62,INDIRECT("'"&amp;$A62&amp;"'!$A$2:$A$501"),"&gt;="&amp;$I62,INDIRECT("'"&amp;$A62&amp;"'!$A$2:$A$501"),"&lt;"&amp;($BA62+1),INDIRECT("'"&amp;$A62&amp;"'!$F$2:$F$501"),"Gone by the time I looked"),0)))</f>
        <v>0</v>
      </c>
      <c r="AT62" s="30" t="n">
        <f aca="true">IF(OR($A62="",$I62=""),"",IF($BC62="Y",SUMIFS(survey_frozen!$H$2:$H$251,survey_frozen!$P$2:$P$251,$A62&amp;"|"&amp;$B62),IFERROR(COUNTIFS(INDIRECT("'"&amp;$A62&amp;"'!$B$2:$B$501"),$T62,INDIRECT("'"&amp;$A62&amp;"'!$A$2:$A$501"),"&gt;="&amp;$I62,INDIRECT("'"&amp;$A62&amp;"'!$A$2:$A$501"),"&lt;"&amp;($BA62+1),INDIRECT("'"&amp;$A62&amp;"'!$D$2:$D$501"),"&gt;=1"),0)))</f>
        <v>4</v>
      </c>
      <c r="AU62" s="30" t="n">
        <f aca="true">IF(OR($A62="",$I62=""),"",IF($BC62="Y",SUMIFS(survey_frozen!$I$2:$I$251,survey_frozen!$P$2:$P$251,$A62&amp;"|"&amp;$B62),IFERROR(SUMIFS(INDIRECT("'"&amp;$A62&amp;"'!$D$2:$D$501"),INDIRECT("'"&amp;$A62&amp;"'!$B$2:$B$501"),$T62,INDIRECT("'"&amp;$A62&amp;"'!$A$2:$A$501"),"&gt;="&amp;$I62,INDIRECT("'"&amp;$A62&amp;"'!$A$2:$A$501"),"&lt;"&amp;($BA62+1)),0)))</f>
        <v>18</v>
      </c>
      <c r="AV62" s="30" t="n">
        <f aca="true">IF(OR($A62="",$I62=""),"",IF($BC62="Y",SUMIFS(survey_frozen!$J$2:$J$251,survey_frozen!$P$2:$P$251,$A62&amp;"|"&amp;$B62),IFERROR(COUNTIFS(INDIRECT("'"&amp;$A62&amp;"'!$B$2:$B$501"),$T62,INDIRECT("'"&amp;$A62&amp;"'!$A$2:$A$501"),"&gt;="&amp;$I62,INDIRECT("'"&amp;$A62&amp;"'!$A$2:$A$501"),"&lt;"&amp;($BA62+1),INDIRECT("'"&amp;$A62&amp;"'!$E$2:$E$501"),"Yes"),0)))</f>
        <v>1</v>
      </c>
      <c r="AW62" s="30" t="n">
        <f aca="true">IF(OR($A62="",$I62=""),"",IF($BC62="Y",SUMIFS(survey_frozen!$K$2:$K$251,survey_frozen!$P$2:$P$251,$A62&amp;"|"&amp;$B62),IFERROR(COUNTIFS(INDIRECT("'"&amp;$A62&amp;"'!$B$2:$B$501"),$T62,INDIRECT("'"&amp;$A62&amp;"'!$A$2:$A$501"),"&gt;="&amp;$I62,INDIRECT("'"&amp;$A62&amp;"'!$A$2:$A$501"),"&lt;"&amp;($BA62+1),INDIRECT("'"&amp;$A62&amp;"'!$E$2:$E$501"),"Maybe"),0)))</f>
        <v>3</v>
      </c>
      <c r="AX62" s="30" t="n">
        <f aca="true">IF(OR($A62="",$I62=""),"",IF($BC62="Y",SUMIFS(survey_frozen!$L$2:$L$251,survey_frozen!$P$2:$P$251,$A62&amp;"|"&amp;$B62),IFERROR(COUNTIFS(INDIRECT("'"&amp;$A62&amp;"'!$B$2:$B$501"),$T62,INDIRECT("'"&amp;$A62&amp;"'!$A$2:$A$501"),"&gt;="&amp;$I62,INDIRECT("'"&amp;$A62&amp;"'!$A$2:$A$501"),"&lt;"&amp;($BA62+1),INDIRECT("'"&amp;$A62&amp;"'!$E$2:$E$501"),"No"),0)))</f>
        <v>0</v>
      </c>
      <c r="AY62" s="30" t="n">
        <f aca="true">IF(OR($A62="",$I62=""),"",IF($BC62="Y",SUMIFS(survey_frozen!$M$2:$M$251,survey_frozen!$P$2:$P$251,$A62&amp;"|"&amp;$B62),IFERROR(COUNTIFS(INDIRECT("'"&amp;$A62&amp;"'!$B$2:$B$501"),$T62,INDIRECT("'"&amp;$A62&amp;"'!$A$2:$A$501"),"&gt;="&amp;$I62,INDIRECT("'"&amp;$A62&amp;"'!$A$2:$A$501"),"&lt;"&amp;($BA62+1),INDIRECT("'"&amp;$A62&amp;"'!$G$2:$G$501"),"&lt;&gt;"),0)))</f>
        <v>1</v>
      </c>
      <c r="AZ62" s="30" t="str">
        <f aca="false">IF($A62="","",$A62&amp;"|"&amp;$L62)</f>
        <v>SAMPLE-CMP-008|1</v>
      </c>
      <c r="BA62" s="31" t="n">
        <f aca="false">IF($A62="","",IFERROR(IF(INDEX(drops!$R$2:$R$21,MATCH($H62,drops!$A$2:$A$21,0))="","",INDEX(drops!$R$2:$R$21,MATCH($H62,drops!$A$2:$A$21,0))),""))</f>
        <v>46475</v>
      </c>
      <c r="BB62" s="30" t="n">
        <f aca="false">IF(OR($A62="",$Q62&lt;&gt;"Y"),1000000,N($AL62))</f>
        <v>6</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A63" s="0" t="s">
        <v>584</v>
      </c>
      <c r="B63" s="0" t="s">
        <v>681</v>
      </c>
      <c r="C63" s="11" t="n">
        <v>46442</v>
      </c>
      <c r="D63" s="10"/>
      <c r="E63" s="11"/>
      <c r="H63" s="30" t="str">
        <f aca="false">IF($A63="","",IFERROR(IF(INDEX(campaigns!$B$2:$B$51,MATCH($A63,campaigns!$A$2:$A$51,0))="","",INDEX(campaigns!$B$2:$B$51,MATCH($A63,campaigns!$A$2:$A$51,0))),""))</f>
        <v>SAMPLE-DRP-004</v>
      </c>
      <c r="I63" s="31" t="n">
        <f aca="false">IF($A63="","",IFERROR(IF(INDEX(campaigns!$BG$2:$BG$51,MATCH($A63,campaigns!$A$2:$A$51,0))="","",INDEX(campaigns!$BG$2:$BG$51,MATCH($A63,campaigns!$A$2:$A$51,0))),""))</f>
        <v>46469</v>
      </c>
      <c r="J63" s="30" t="str">
        <f aca="false">IF($A63="","",IFERROR(IF(INDEX(campaigns!$BE$2:$BE$51,MATCH($A63,campaigns!$A$2:$A$51,0))="","",INDEX(campaigns!$BE$2:$BE$51,MATCH($A63,campaigns!$A$2:$A$51,0))),""))</f>
        <v>SAMPLE Tallgrass</v>
      </c>
      <c r="K63" s="30" t="str">
        <f aca="false">IF($B63="","",IFERROR(IF(INDEX(offices!$O$2:$O$61,MATCH($B63,offices!$A$2:$A$61,0))="","",INDEX(offices!$O$2:$O$61,MATCH($B63,offices!$A$2:$A$61,0))),""))</f>
        <v>SAMPLE Ferro Architecture</v>
      </c>
      <c r="L63" s="30" t="n">
        <f aca="false">IF($A63="","",IF($Q63="N","",COUNTIFS($A$2:$A63,$A63,$Q$2:$Q63,"&lt;&gt;N")))</f>
        <v>2</v>
      </c>
      <c r="M63" s="30" t="str">
        <f aca="false">IF(OR($A63="",$L63=""),"",IF(AND(config!$B$34="names_if_public",IFERROR(IF(INDEX(offices!$AG$2:$AG$61,MATCH($B63,offices!$A$2:$A$61,0))="","",INDEX(offices!$AG$2:$AG$61,MATCH($B63,offices!$A$2:$A$61,0))),"")="Y"),$K63,CHAR(64+$L63)))</f>
        <v>B</v>
      </c>
      <c r="N63" s="30" t="n">
        <f aca="false">IF(OR($A63="",$I63=""),"",COUNTIFS(stops!$B$2:$B$151,$B63,stops!$P$2:$P$151,"&lt;"&amp;$I63,stops!$L$2:$L$151,"&lt;&gt;not_delivered")+1)</f>
        <v>4</v>
      </c>
      <c r="O63" s="30" t="str">
        <f aca="false">IF($A63="","",IF(N($N63)&lt;=config!$B$29,"explicit","opt-out"))</f>
        <v>opt-out</v>
      </c>
      <c r="P63" s="30" t="str">
        <f aca="false">IF($A63="","",IF($O63="explicit",IF($D63="yes","Y",IF($D63="no","N","pending")),IF($D63="no","N",IF(AND($C63&lt;&gt;"",$I63&lt;&gt;"",$C63&lt;=WORKDAY(N($I63),-5,calendar!$A$2:$A$80)),"Y","pending"))))</f>
        <v>Y</v>
      </c>
      <c r="Q63" s="30" t="str">
        <f aca="false">IF($A63="","",IF($P63="N","N",IF($P63&lt;&gt;"Y","pending",IF(AND((COUNTIFS(stops!$A$2:$A$151,$H63,stops!$B$2:$B$151,$B63,stops!$L$2:$L$151,"declined")+COUNTIFS(stops!$A$2:$A$151,$H63,stops!$B$2:$B$151,$B63,stops!$L$2:$L$151,"building_refused")+COUNTIFS(stops!$A$2:$A$151,$H63,stops!$B$2:$B$151,$B63,stops!$L$2:$L$151,"not_delivered"))&gt;0,N($U63)=0),"N","Y"))))</f>
        <v>Y</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n">
        <f aca="false">IF($A63="","",IF($G63&lt;&gt;"",$G63,IFERROR(IF(INDEX(offices!$AM$2:$AM$61,MATCH($B63,offices!$A$2:$A$61,0))="","",INDEX(offices!$AM$2:$AM$61,MATCH($B63,offices!$A$2:$A$61,0))),"")))</f>
        <v>40</v>
      </c>
      <c r="T63" s="30" t="str">
        <f aca="false">IF($A63="","",$A63&amp;"."&amp;$B63)</f>
        <v>SAMPLE-CMP-008.SAMPLE-O-002</v>
      </c>
      <c r="U63" s="30" t="n">
        <f aca="false">IF($A63="","",SUMIFS(inventory!$G$2:$G$801,inventory!$C$2:$C$801,$A63,inventory!$D$2:$D$801,$B63,inventory!$E$2:$E$801,"delivered"))</f>
        <v>40</v>
      </c>
      <c r="V63" s="37" t="n">
        <f aca="false">IF($A63="","",IFERROR(1/(1/SUMPRODUCT(MAX((inventory!$C$2:$C$801=$A63)*(inventory!$D$2:$D$801=$B63)*(inventory!$E$2:$E$801="delivered")*(inventory!$A$2:$A$801+inventory!$B$2:$B$801)))),""))</f>
        <v>46469.425</v>
      </c>
      <c r="W63" s="30" t="str">
        <f aca="false">IF($A63="","",IFERROR(IF(INDEX(inventory!$J$2:$J$801,MATCH($A63&amp;"|"&amp;$B63&amp;"|delivered",inventory!$R$2:$R$801,0))="","",INDEX(inventory!$J$2:$J$801,MATCH($A63&amp;"|"&amp;$B63&amp;"|delivered",inventory!$R$2:$R$801,0))),""))</f>
        <v>office_count</v>
      </c>
      <c r="X63" s="30" t="str">
        <f aca="false">IF($A63="","",IFERROR(IF(INDEX(photos!$H$2:$H$701,MATCH($A63&amp;"|"&amp;$B63&amp;"|placement|Y",photos!$R$2:$R$701,0))="","",INDEX(photos!$H$2:$H$701,MATCH($A63&amp;"|"&amp;$B63&amp;"|placement|Y",photos!$R$2:$R$701,0))),""))</f>
        <v>SAMPLE-CMP-008_SAMPLE-O-002_placement_2027-03-23.jpg</v>
      </c>
      <c r="Y63" s="31" t="n">
        <f aca="false">IF($A63="","",IFERROR(IF(INDEX(photos!$E$2:$E$701,MATCH($A63&amp;"|"&amp;$B63&amp;"|placement|Y",photos!$R$2:$R$701,0))="","",INDEX(photos!$E$2:$E$701,MATCH($A63&amp;"|"&amp;$B63&amp;"|placement|Y",photos!$R$2:$R$701,0))),""))</f>
        <v>46469</v>
      </c>
      <c r="Z63" s="30" t="n">
        <f aca="false">IF($A63="","",IF(COUNTIFS(counts!$C$2:$C$701,$A63,counts!$D$2:$D$701,$B63,counts!$E$2:$E$701,"placed")=0,"",SUMIFS(counts!$F$2:$F$701,counts!$C$2:$C$701,$A63,counts!$D$2:$D$701,$B63,counts!$E$2:$E$701,"placed")))</f>
        <v>40</v>
      </c>
      <c r="AA63" s="30" t="n">
        <f aca="false">IF($A63="","",IF($Y63="",0,N($Z63)))</f>
        <v>40</v>
      </c>
      <c r="AB63" s="30" t="str">
        <f aca="false">IF($A63="","",IF(OR($Y63="",$I63=""),"N",IF($Y63&lt;=WORKDAY(N($I63),1,calendar!$A$2:$A$80),"Y","N")))</f>
        <v>Y</v>
      </c>
      <c r="AC63" s="33" t="n">
        <f aca="false">IF(OR($A63="",$V63="",$Y63=""),"",ROUND(($Y63+N(IFERROR(IF(INDEX(photos!$F$2:$F$701,MATCH($A63&amp;"|"&amp;$B63&amp;"|placement|Y",photos!$R$2:$R$701,0))="","",INDEX(photos!$F$2:$F$701,MATCH($A63&amp;"|"&amp;$B63&amp;"|placement|Y",photos!$R$2:$R$701,0))),""))-$V63)*24,1))</f>
        <v>2.8</v>
      </c>
      <c r="AD63" s="30" t="n">
        <f aca="false">IF($A63="","",SUMIFS(inventory!$G$2:$G$801,inventory!$C$2:$C$801,$A63,inventory!$D$2:$D$801,$B63,inventory!$E$2:$E$801,"topped_up"))</f>
        <v>0</v>
      </c>
      <c r="AE63" s="30" t="n">
        <f aca="false">IF($A63="","",IF(COUNTIFS(counts!$C$2:$C$701,$A63,counts!$D$2:$D$701,$B63,counts!$E$2:$E$701,"remaining_day3")=0,"",SUMIFS(counts!$F$2:$F$701,counts!$C$2:$C$701,$A63,counts!$D$2:$D$701,$B63,counts!$E$2:$E$701,"remaining_day3")))</f>
        <v>18</v>
      </c>
      <c r="AF63" s="30" t="n">
        <f aca="false">IF($A63="","",IF(COUNTIFS(counts!$C$2:$C$701,$A63,counts!$D$2:$D$701,$B63,counts!$E$2:$E$701,"remaining_day5")=0,"",SUMIFS(counts!$F$2:$F$701,counts!$C$2:$C$701,$A63,counts!$D$2:$D$701,$B63,counts!$E$2:$E$701,"remaining_day5")))</f>
        <v>1</v>
      </c>
      <c r="AG63" s="30" t="n">
        <f aca="false">IF(OR($A63="",$AF63=""),"",MAX(0,$AA63+$AD63-$AF63))</f>
        <v>39</v>
      </c>
      <c r="AH63" s="30" t="str">
        <f aca="false">IF(OR($A63="",$AI63=""),"",IFERROR(IF(INDEX(photos!$H$2:$H$701,MATCH($A63&amp;"|"&amp;$B63&amp;"|later|Y|"&amp;$AI63,photos!$S$2:$S$701,0))="","",INDEX(photos!$H$2:$H$701,MATCH($A63&amp;"|"&amp;$B63&amp;"|later|Y|"&amp;$AI63,photos!$S$2:$S$701,0))),""))</f>
        <v>SAMPLE-CMP-008_SAMPLE-O-002_later_2027-03-29.jpg</v>
      </c>
      <c r="AI63" s="31" t="n">
        <f aca="false">IF($A63="","",IFERROR(1/(1/SUMPRODUCT(MAX((photos!$B$2:$B$701=$A63)*(photos!$C$2:$C$701=$B63)*(photos!$D$2:$D$701="later")*(photos!$O$2:$O$701="Y")*photos!$E$2:$E$701))),""))</f>
        <v>46475</v>
      </c>
      <c r="AJ63" s="30" t="n">
        <f aca="false">IF(OR($A63="",$AI63="",$I63=""),"",NETWORKDAYS($I63,$AI63,calendar!$A$2:$A$80))</f>
        <v>5</v>
      </c>
      <c r="AK63" s="30" t="str">
        <f aca="false">IF($A63="","",IF(AND($X63&lt;&gt;"",$AH63&lt;&gt;""),"Y","N"))</f>
        <v>Y</v>
      </c>
      <c r="AL63" s="30" t="n">
        <f aca="true">IF(OR($A63="",$I63=""),"",IF($BC63="Y",SUMIFS(survey_frozen!$C$2:$C$251,survey_frozen!$P$2:$P$251,$A63&amp;"|"&amp;$B63),IFERROR(COUNTIFS(INDIRECT("'"&amp;$A63&amp;"'!$B$2:$B$501"),$T63,INDIRECT("'"&amp;$A63&amp;"'!$A$2:$A$501"),"&gt;="&amp;$I63,INDIRECT("'"&amp;$A63&amp;"'!$A$2:$A$501"),"&lt;"&amp;($BA63+1)),0)))</f>
        <v>8</v>
      </c>
      <c r="AM63" s="30" t="n">
        <f aca="true">IF(OR($A63="",$I63=""),"",IF($BC63="Y",SUMIFS(survey_frozen!$D$2:$D$251,survey_frozen!$P$2:$P$251,$A63&amp;"|"&amp;$B63),IFERROR(COUNTIFS(INDIRECT("'"&amp;$A63&amp;"'!$B$2:$B$501"),$T63,INDIRECT("'"&amp;$A63&amp;"'!$A$2:$A$501"),"&gt;="&amp;$I63,INDIRECT("'"&amp;$A63&amp;"'!$A$2:$A$501"),"&lt;"&amp;($BA63+1),INDIRECT("'"&amp;$A63&amp;"'!$C$2:$C$501"),"Yes"),0)))</f>
        <v>7</v>
      </c>
      <c r="AN63" s="30" t="n">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4</v>
      </c>
      <c r="AO63" s="30" t="n">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7</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n">
        <f aca="true">IF(OR($A63="",$I63=""),"",IF($BC63="Y",SUMIFS(survey_frozen!$E$2:$E$251,survey_frozen!$P$2:$P$251,$A63&amp;"|"&amp;$B63),IFERROR(COUNTIFS(INDIRECT("'"&amp;$A63&amp;"'!$B$2:$B$501"),$T63,INDIRECT("'"&amp;$A63&amp;"'!$A$2:$A$501"),"&gt;="&amp;$I63,INDIRECT("'"&amp;$A63&amp;"'!$A$2:$A$501"),"&lt;"&amp;($BA63+1),INDIRECT("'"&amp;$A63&amp;"'!$F$2:$F$501"),"Didn't see it"),0)))</f>
        <v>0</v>
      </c>
      <c r="AR63" s="30" t="n">
        <f aca="true">IF(OR($A63="",$I63=""),"",IF($BC63="Y",SUMIFS(survey_frozen!$F$2:$F$251,survey_frozen!$P$2:$P$251,$A63&amp;"|"&amp;$B63),IFERROR(COUNTIFS(INDIRECT("'"&amp;$A63&amp;"'!$B$2:$B$501"),$T63,INDIRECT("'"&amp;$A63&amp;"'!$A$2:$A$501"),"&gt;="&amp;$I63,INDIRECT("'"&amp;$A63&amp;"'!$A$2:$A$501"),"&lt;"&amp;($BA63+1),INDIRECT("'"&amp;$A63&amp;"'!$F$2:$F$501"),"Not for me"),0)))</f>
        <v>0</v>
      </c>
      <c r="AS63" s="30" t="n">
        <f aca="true">IF(OR($A63="",$I63=""),"",IF($BC63="Y",SUMIFS(survey_frozen!$G$2:$G$251,survey_frozen!$P$2:$P$251,$A63&amp;"|"&amp;$B63),IFERROR(COUNTIFS(INDIRECT("'"&amp;$A63&amp;"'!$B$2:$B$501"),$T63,INDIRECT("'"&amp;$A63&amp;"'!$A$2:$A$501"),"&gt;="&amp;$I63,INDIRECT("'"&amp;$A63&amp;"'!$A$2:$A$501"),"&lt;"&amp;($BA63+1),INDIRECT("'"&amp;$A63&amp;"'!$F$2:$F$501"),"Gone by the time I looked"),0)))</f>
        <v>1</v>
      </c>
      <c r="AT63" s="30" t="n">
        <f aca="true">IF(OR($A63="",$I63=""),"",IF($BC63="Y",SUMIFS(survey_frozen!$H$2:$H$251,survey_frozen!$P$2:$P$251,$A63&amp;"|"&amp;$B63),IFERROR(COUNTIFS(INDIRECT("'"&amp;$A63&amp;"'!$B$2:$B$501"),$T63,INDIRECT("'"&amp;$A63&amp;"'!$A$2:$A$501"),"&gt;="&amp;$I63,INDIRECT("'"&amp;$A63&amp;"'!$A$2:$A$501"),"&lt;"&amp;($BA63+1),INDIRECT("'"&amp;$A63&amp;"'!$D$2:$D$501"),"&gt;=1"),0)))</f>
        <v>7</v>
      </c>
      <c r="AU63" s="30" t="n">
        <f aca="true">IF(OR($A63="",$I63=""),"",IF($BC63="Y",SUMIFS(survey_frozen!$I$2:$I$251,survey_frozen!$P$2:$P$251,$A63&amp;"|"&amp;$B63),IFERROR(SUMIFS(INDIRECT("'"&amp;$A63&amp;"'!$D$2:$D$501"),INDIRECT("'"&amp;$A63&amp;"'!$B$2:$B$501"),$T63,INDIRECT("'"&amp;$A63&amp;"'!$A$2:$A$501"),"&gt;="&amp;$I63,INDIRECT("'"&amp;$A63&amp;"'!$A$2:$A$501"),"&lt;"&amp;($BA63+1)),0)))</f>
        <v>30</v>
      </c>
      <c r="AV63" s="30" t="n">
        <f aca="true">IF(OR($A63="",$I63=""),"",IF($BC63="Y",SUMIFS(survey_frozen!$J$2:$J$251,survey_frozen!$P$2:$P$251,$A63&amp;"|"&amp;$B63),IFERROR(COUNTIFS(INDIRECT("'"&amp;$A63&amp;"'!$B$2:$B$501"),$T63,INDIRECT("'"&amp;$A63&amp;"'!$A$2:$A$501"),"&gt;="&amp;$I63,INDIRECT("'"&amp;$A63&amp;"'!$A$2:$A$501"),"&lt;"&amp;($BA63+1),INDIRECT("'"&amp;$A63&amp;"'!$E$2:$E$501"),"Yes"),0)))</f>
        <v>1</v>
      </c>
      <c r="AW63" s="30" t="n">
        <f aca="true">IF(OR($A63="",$I63=""),"",IF($BC63="Y",SUMIFS(survey_frozen!$K$2:$K$251,survey_frozen!$P$2:$P$251,$A63&amp;"|"&amp;$B63),IFERROR(COUNTIFS(INDIRECT("'"&amp;$A63&amp;"'!$B$2:$B$501"),$T63,INDIRECT("'"&amp;$A63&amp;"'!$A$2:$A$501"),"&gt;="&amp;$I63,INDIRECT("'"&amp;$A63&amp;"'!$A$2:$A$501"),"&lt;"&amp;($BA63+1),INDIRECT("'"&amp;$A63&amp;"'!$E$2:$E$501"),"Maybe"),0)))</f>
        <v>4</v>
      </c>
      <c r="AX63" s="30" t="n">
        <f aca="true">IF(OR($A63="",$I63=""),"",IF($BC63="Y",SUMIFS(survey_frozen!$L$2:$L$251,survey_frozen!$P$2:$P$251,$A63&amp;"|"&amp;$B63),IFERROR(COUNTIFS(INDIRECT("'"&amp;$A63&amp;"'!$B$2:$B$501"),$T63,INDIRECT("'"&amp;$A63&amp;"'!$A$2:$A$501"),"&gt;="&amp;$I63,INDIRECT("'"&amp;$A63&amp;"'!$A$2:$A$501"),"&lt;"&amp;($BA63+1),INDIRECT("'"&amp;$A63&amp;"'!$E$2:$E$501"),"No"),0)))</f>
        <v>2</v>
      </c>
      <c r="AY63" s="30" t="n">
        <f aca="true">IF(OR($A63="",$I63=""),"",IF($BC63="Y",SUMIFS(survey_frozen!$M$2:$M$251,survey_frozen!$P$2:$P$251,$A63&amp;"|"&amp;$B63),IFERROR(COUNTIFS(INDIRECT("'"&amp;$A63&amp;"'!$B$2:$B$501"),$T63,INDIRECT("'"&amp;$A63&amp;"'!$A$2:$A$501"),"&gt;="&amp;$I63,INDIRECT("'"&amp;$A63&amp;"'!$A$2:$A$501"),"&lt;"&amp;($BA63+1),INDIRECT("'"&amp;$A63&amp;"'!$G$2:$G$501"),"&lt;&gt;"),0)))</f>
        <v>5</v>
      </c>
      <c r="AZ63" s="30" t="str">
        <f aca="false">IF($A63="","",$A63&amp;"|"&amp;$L63)</f>
        <v>SAMPLE-CMP-008|2</v>
      </c>
      <c r="BA63" s="31" t="n">
        <f aca="false">IF($A63="","",IFERROR(IF(INDEX(drops!$R$2:$R$21,MATCH($H63,drops!$A$2:$A$21,0))="","",INDEX(drops!$R$2:$R$21,MATCH($H63,drops!$A$2:$A$21,0))),""))</f>
        <v>46475</v>
      </c>
      <c r="BB63" s="30" t="n">
        <f aca="false">IF(OR($A63="",$Q63&lt;&gt;"Y"),1000000,N($AL63))</f>
        <v>8</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A64" s="0" t="s">
        <v>584</v>
      </c>
      <c r="B64" s="0" t="s">
        <v>683</v>
      </c>
      <c r="C64" s="11" t="n">
        <v>46442</v>
      </c>
      <c r="D64" s="10"/>
      <c r="E64" s="11"/>
      <c r="H64" s="30" t="str">
        <f aca="false">IF($A64="","",IFERROR(IF(INDEX(campaigns!$B$2:$B$51,MATCH($A64,campaigns!$A$2:$A$51,0))="","",INDEX(campaigns!$B$2:$B$51,MATCH($A64,campaigns!$A$2:$A$51,0))),""))</f>
        <v>SAMPLE-DRP-004</v>
      </c>
      <c r="I64" s="31" t="n">
        <f aca="false">IF($A64="","",IFERROR(IF(INDEX(campaigns!$BG$2:$BG$51,MATCH($A64,campaigns!$A$2:$A$51,0))="","",INDEX(campaigns!$BG$2:$BG$51,MATCH($A64,campaigns!$A$2:$A$51,0))),""))</f>
        <v>46469</v>
      </c>
      <c r="J64" s="30" t="str">
        <f aca="false">IF($A64="","",IFERROR(IF(INDEX(campaigns!$BE$2:$BE$51,MATCH($A64,campaigns!$A$2:$A$51,0))="","",INDEX(campaigns!$BE$2:$BE$51,MATCH($A64,campaigns!$A$2:$A$51,0))),""))</f>
        <v>SAMPLE Tallgrass</v>
      </c>
      <c r="K64" s="30" t="str">
        <f aca="false">IF($B64="","",IFERROR(IF(INDEX(offices!$O$2:$O$61,MATCH($B64,offices!$A$2:$A$61,0))="","",INDEX(offices!$O$2:$O$61,MATCH($B64,offices!$A$2:$A$61,0))),""))</f>
        <v>SAMPLE Halcyon Media</v>
      </c>
      <c r="L64" s="30" t="n">
        <f aca="false">IF($A64="","",IF($Q64="N","",COUNTIFS($A$2:$A64,$A64,$Q$2:$Q64,"&lt;&gt;N")))</f>
        <v>3</v>
      </c>
      <c r="M64" s="30" t="str">
        <f aca="false">IF(OR($A64="",$L64=""),"",IF(AND(config!$B$34="names_if_public",IFERROR(IF(INDEX(offices!$AG$2:$AG$61,MATCH($B64,offices!$A$2:$A$61,0))="","",INDEX(offices!$AG$2:$AG$61,MATCH($B64,offices!$A$2:$A$61,0))),"")="Y"),$K64,CHAR(64+$L64)))</f>
        <v>C</v>
      </c>
      <c r="N64" s="30" t="n">
        <f aca="false">IF(OR($A64="",$I64=""),"",COUNTIFS(stops!$B$2:$B$151,$B64,stops!$P$2:$P$151,"&lt;"&amp;$I64,stops!$L$2:$L$151,"&lt;&gt;not_delivered")+1)</f>
        <v>4</v>
      </c>
      <c r="O64" s="30" t="str">
        <f aca="false">IF($A64="","",IF(N($N64)&lt;=config!$B$29,"explicit","opt-out"))</f>
        <v>opt-out</v>
      </c>
      <c r="P64" s="30" t="str">
        <f aca="false">IF($A64="","",IF($O64="explicit",IF($D64="yes","Y",IF($D64="no","N","pending")),IF($D64="no","N",IF(AND($C64&lt;&gt;"",$I64&lt;&gt;"",$C64&lt;=WORKDAY(N($I64),-5,calendar!$A$2:$A$80)),"Y","pending"))))</f>
        <v>Y</v>
      </c>
      <c r="Q64" s="30" t="str">
        <f aca="false">IF($A64="","",IF($P64="N","N",IF($P64&lt;&gt;"Y","pending",IF(AND((COUNTIFS(stops!$A$2:$A$151,$H64,stops!$B$2:$B$151,$B64,stops!$L$2:$L$151,"declined")+COUNTIFS(stops!$A$2:$A$151,$H64,stops!$B$2:$B$151,$B64,stops!$L$2:$L$151,"building_refused")+COUNTIFS(stops!$A$2:$A$151,$H64,stops!$B$2:$B$151,$B64,stops!$L$2:$L$151,"not_delivered"))&gt;0,N($U64)=0),"N","Y"))))</f>
        <v>Y</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n">
        <f aca="false">IF($A64="","",IF($G64&lt;&gt;"",$G64,IFERROR(IF(INDEX(offices!$AM$2:$AM$61,MATCH($B64,offices!$A$2:$A$61,0))="","",INDEX(offices!$AM$2:$AM$61,MATCH($B64,offices!$A$2:$A$61,0))),"")))</f>
        <v>50</v>
      </c>
      <c r="T64" s="30" t="str">
        <f aca="false">IF($A64="","",$A64&amp;"."&amp;$B64)</f>
        <v>SAMPLE-CMP-008.SAMPLE-O-003</v>
      </c>
      <c r="U64" s="30" t="n">
        <f aca="false">IF($A64="","",SUMIFS(inventory!$G$2:$G$801,inventory!$C$2:$C$801,$A64,inventory!$D$2:$D$801,$B64,inventory!$E$2:$E$801,"delivered"))</f>
        <v>50</v>
      </c>
      <c r="V64" s="37" t="n">
        <f aca="false">IF($A64="","",IFERROR(1/(1/SUMPRODUCT(MAX((inventory!$C$2:$C$801=$A64)*(inventory!$D$2:$D$801=$B64)*(inventory!$E$2:$E$801="delivered")*(inventory!$A$2:$A$801+inventory!$B$2:$B$801)))),""))</f>
        <v>46469.4256944444</v>
      </c>
      <c r="W64" s="30" t="str">
        <f aca="false">IF($A64="","",IFERROR(IF(INDEX(inventory!$J$2:$J$801,MATCH($A64&amp;"|"&amp;$B64&amp;"|delivered",inventory!$R$2:$R$801,0))="","",INDEX(inventory!$J$2:$J$801,MATCH($A64&amp;"|"&amp;$B64&amp;"|delivered",inventory!$R$2:$R$801,0))),""))</f>
        <v>office_count</v>
      </c>
      <c r="X64" s="30" t="str">
        <f aca="false">IF($A64="","",IFERROR(IF(INDEX(photos!$H$2:$H$701,MATCH($A64&amp;"|"&amp;$B64&amp;"|placement|Y",photos!$R$2:$R$701,0))="","",INDEX(photos!$H$2:$H$701,MATCH($A64&amp;"|"&amp;$B64&amp;"|placement|Y",photos!$R$2:$R$701,0))),""))</f>
        <v>SAMPLE-CMP-008_SAMPLE-O-003_placement_2027-03-23.jpg</v>
      </c>
      <c r="Y64" s="31" t="n">
        <f aca="false">IF($A64="","",IFERROR(IF(INDEX(photos!$E$2:$E$701,MATCH($A64&amp;"|"&amp;$B64&amp;"|placement|Y",photos!$R$2:$R$701,0))="","",INDEX(photos!$E$2:$E$701,MATCH($A64&amp;"|"&amp;$B64&amp;"|placement|Y",photos!$R$2:$R$701,0))),""))</f>
        <v>46469</v>
      </c>
      <c r="Z64" s="30" t="n">
        <f aca="false">IF($A64="","",IF(COUNTIFS(counts!$C$2:$C$701,$A64,counts!$D$2:$D$701,$B64,counts!$E$2:$E$701,"placed")=0,"",SUMIFS(counts!$F$2:$F$701,counts!$C$2:$C$701,$A64,counts!$D$2:$D$701,$B64,counts!$E$2:$E$701,"placed")))</f>
        <v>50</v>
      </c>
      <c r="AA64" s="30" t="n">
        <f aca="false">IF($A64="","",IF($Y64="",0,N($Z64)))</f>
        <v>50</v>
      </c>
      <c r="AB64" s="30" t="str">
        <f aca="false">IF($A64="","",IF(OR($Y64="",$I64=""),"N",IF($Y64&lt;=WORKDAY(N($I64),1,calendar!$A$2:$A$80),"Y","N")))</f>
        <v>Y</v>
      </c>
      <c r="AC64" s="33" t="n">
        <f aca="false">IF(OR($A64="",$V64="",$Y64=""),"",ROUND(($Y64+N(IFERROR(IF(INDEX(photos!$F$2:$F$701,MATCH($A64&amp;"|"&amp;$B64&amp;"|placement|Y",photos!$R$2:$R$701,0))="","",INDEX(photos!$F$2:$F$701,MATCH($A64&amp;"|"&amp;$B64&amp;"|placement|Y",photos!$R$2:$R$701,0))),""))-$V64)*24,1))</f>
        <v>2.8</v>
      </c>
      <c r="AD64" s="30" t="n">
        <f aca="false">IF($A64="","",SUMIFS(inventory!$G$2:$G$801,inventory!$C$2:$C$801,$A64,inventory!$D$2:$D$801,$B64,inventory!$E$2:$E$801,"topped_up"))</f>
        <v>0</v>
      </c>
      <c r="AE64" s="30" t="n">
        <f aca="false">IF($A64="","",IF(COUNTIFS(counts!$C$2:$C$701,$A64,counts!$D$2:$D$701,$B64,counts!$E$2:$E$701,"remaining_day3")=0,"",SUMIFS(counts!$F$2:$F$701,counts!$C$2:$C$701,$A64,counts!$D$2:$D$701,$B64,counts!$E$2:$E$701,"remaining_day3")))</f>
        <v>13</v>
      </c>
      <c r="AF64" s="30" t="n">
        <f aca="false">IF($A64="","",IF(COUNTIFS(counts!$C$2:$C$701,$A64,counts!$D$2:$D$701,$B64,counts!$E$2:$E$701,"remaining_day5")=0,"",SUMIFS(counts!$F$2:$F$701,counts!$C$2:$C$701,$A64,counts!$D$2:$D$701,$B64,counts!$E$2:$E$701,"remaining_day5")))</f>
        <v>1</v>
      </c>
      <c r="AG64" s="30" t="n">
        <f aca="false">IF(OR($A64="",$AF64=""),"",MAX(0,$AA64+$AD64-$AF64))</f>
        <v>49</v>
      </c>
      <c r="AH64" s="30" t="str">
        <f aca="false">IF(OR($A64="",$AI64=""),"",IFERROR(IF(INDEX(photos!$H$2:$H$701,MATCH($A64&amp;"|"&amp;$B64&amp;"|later|Y|"&amp;$AI64,photos!$S$2:$S$701,0))="","",INDEX(photos!$H$2:$H$701,MATCH($A64&amp;"|"&amp;$B64&amp;"|later|Y|"&amp;$AI64,photos!$S$2:$S$701,0))),""))</f>
        <v>SAMPLE-CMP-008_SAMPLE-O-003_later_2027-03-29.jpg</v>
      </c>
      <c r="AI64" s="31" t="n">
        <f aca="false">IF($A64="","",IFERROR(1/(1/SUMPRODUCT(MAX((photos!$B$2:$B$701=$A64)*(photos!$C$2:$C$701=$B64)*(photos!$D$2:$D$701="later")*(photos!$O$2:$O$701="Y")*photos!$E$2:$E$701))),""))</f>
        <v>46475</v>
      </c>
      <c r="AJ64" s="30" t="n">
        <f aca="false">IF(OR($A64="",$AI64="",$I64=""),"",NETWORKDAYS($I64,$AI64,calendar!$A$2:$A$80))</f>
        <v>5</v>
      </c>
      <c r="AK64" s="30" t="str">
        <f aca="false">IF($A64="","",IF(AND($X64&lt;&gt;"",$AH64&lt;&gt;""),"Y","N"))</f>
        <v>Y</v>
      </c>
      <c r="AL64" s="30" t="n">
        <f aca="true">IF(OR($A64="",$I64=""),"",IF($BC64="Y",SUMIFS(survey_frozen!$C$2:$C$251,survey_frozen!$P$2:$P$251,$A64&amp;"|"&amp;$B64),IFERROR(COUNTIFS(INDIRECT("'"&amp;$A64&amp;"'!$B$2:$B$501"),$T64,INDIRECT("'"&amp;$A64&amp;"'!$A$2:$A$501"),"&gt;="&amp;$I64,INDIRECT("'"&amp;$A64&amp;"'!$A$2:$A$501"),"&lt;"&amp;($BA64+1)),0)))</f>
        <v>5</v>
      </c>
      <c r="AM64" s="30" t="n">
        <f aca="true">IF(OR($A64="",$I64=""),"",IF($BC64="Y",SUMIFS(survey_frozen!$D$2:$D$251,survey_frozen!$P$2:$P$251,$A64&amp;"|"&amp;$B64),IFERROR(COUNTIFS(INDIRECT("'"&amp;$A64&amp;"'!$B$2:$B$501"),$T64,INDIRECT("'"&amp;$A64&amp;"'!$A$2:$A$501"),"&gt;="&amp;$I64,INDIRECT("'"&amp;$A64&amp;"'!$A$2:$A$501"),"&lt;"&amp;($BA64+1),INDIRECT("'"&amp;$A64&amp;"'!$C$2:$C$501"),"Yes"),0)))</f>
        <v>4</v>
      </c>
      <c r="AN64" s="30" t="n">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6</v>
      </c>
      <c r="AO64" s="30" t="n">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9</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n">
        <f aca="true">IF(OR($A64="",$I64=""),"",IF($BC64="Y",SUMIFS(survey_frozen!$E$2:$E$251,survey_frozen!$P$2:$P$251,$A64&amp;"|"&amp;$B64),IFERROR(COUNTIFS(INDIRECT("'"&amp;$A64&amp;"'!$B$2:$B$501"),$T64,INDIRECT("'"&amp;$A64&amp;"'!$A$2:$A$501"),"&gt;="&amp;$I64,INDIRECT("'"&amp;$A64&amp;"'!$A$2:$A$501"),"&lt;"&amp;($BA64+1),INDIRECT("'"&amp;$A64&amp;"'!$F$2:$F$501"),"Didn't see it"),0)))</f>
        <v>1</v>
      </c>
      <c r="AR64" s="30" t="n">
        <f aca="true">IF(OR($A64="",$I64=""),"",IF($BC64="Y",SUMIFS(survey_frozen!$F$2:$F$251,survey_frozen!$P$2:$P$251,$A64&amp;"|"&amp;$B64),IFERROR(COUNTIFS(INDIRECT("'"&amp;$A64&amp;"'!$B$2:$B$501"),$T64,INDIRECT("'"&amp;$A64&amp;"'!$A$2:$A$501"),"&gt;="&amp;$I64,INDIRECT("'"&amp;$A64&amp;"'!$A$2:$A$501"),"&lt;"&amp;($BA64+1),INDIRECT("'"&amp;$A64&amp;"'!$F$2:$F$501"),"Not for me"),0)))</f>
        <v>0</v>
      </c>
      <c r="AS64" s="30" t="n">
        <f aca="true">IF(OR($A64="",$I64=""),"",IF($BC64="Y",SUMIFS(survey_frozen!$G$2:$G$251,survey_frozen!$P$2:$P$251,$A64&amp;"|"&amp;$B64),IFERROR(COUNTIFS(INDIRECT("'"&amp;$A64&amp;"'!$B$2:$B$501"),$T64,INDIRECT("'"&amp;$A64&amp;"'!$A$2:$A$501"),"&gt;="&amp;$I64,INDIRECT("'"&amp;$A64&amp;"'!$A$2:$A$501"),"&lt;"&amp;($BA64+1),INDIRECT("'"&amp;$A64&amp;"'!$F$2:$F$501"),"Gone by the time I looked"),0)))</f>
        <v>0</v>
      </c>
      <c r="AT64" s="30" t="n">
        <f aca="true">IF(OR($A64="",$I64=""),"",IF($BC64="Y",SUMIFS(survey_frozen!$H$2:$H$251,survey_frozen!$P$2:$P$251,$A64&amp;"|"&amp;$B64),IFERROR(COUNTIFS(INDIRECT("'"&amp;$A64&amp;"'!$B$2:$B$501"),$T64,INDIRECT("'"&amp;$A64&amp;"'!$A$2:$A$501"),"&gt;="&amp;$I64,INDIRECT("'"&amp;$A64&amp;"'!$A$2:$A$501"),"&lt;"&amp;($BA64+1),INDIRECT("'"&amp;$A64&amp;"'!$D$2:$D$501"),"&gt;=1"),0)))</f>
        <v>4</v>
      </c>
      <c r="AU64" s="30" t="n">
        <f aca="true">IF(OR($A64="",$I64=""),"",IF($BC64="Y",SUMIFS(survey_frozen!$I$2:$I$251,survey_frozen!$P$2:$P$251,$A64&amp;"|"&amp;$B64),IFERROR(SUMIFS(INDIRECT("'"&amp;$A64&amp;"'!$D$2:$D$501"),INDIRECT("'"&amp;$A64&amp;"'!$B$2:$B$501"),$T64,INDIRECT("'"&amp;$A64&amp;"'!$A$2:$A$501"),"&gt;="&amp;$I64,INDIRECT("'"&amp;$A64&amp;"'!$A$2:$A$501"),"&lt;"&amp;($BA64+1)),0)))</f>
        <v>16</v>
      </c>
      <c r="AV64" s="30" t="n">
        <f aca="true">IF(OR($A64="",$I64=""),"",IF($BC64="Y",SUMIFS(survey_frozen!$J$2:$J$251,survey_frozen!$P$2:$P$251,$A64&amp;"|"&amp;$B64),IFERROR(COUNTIFS(INDIRECT("'"&amp;$A64&amp;"'!$B$2:$B$501"),$T64,INDIRECT("'"&amp;$A64&amp;"'!$A$2:$A$501"),"&gt;="&amp;$I64,INDIRECT("'"&amp;$A64&amp;"'!$A$2:$A$501"),"&lt;"&amp;($BA64+1),INDIRECT("'"&amp;$A64&amp;"'!$E$2:$E$501"),"Yes"),0)))</f>
        <v>0</v>
      </c>
      <c r="AW64" s="30" t="n">
        <f aca="true">IF(OR($A64="",$I64=""),"",IF($BC64="Y",SUMIFS(survey_frozen!$K$2:$K$251,survey_frozen!$P$2:$P$251,$A64&amp;"|"&amp;$B64),IFERROR(COUNTIFS(INDIRECT("'"&amp;$A64&amp;"'!$B$2:$B$501"),$T64,INDIRECT("'"&amp;$A64&amp;"'!$A$2:$A$501"),"&gt;="&amp;$I64,INDIRECT("'"&amp;$A64&amp;"'!$A$2:$A$501"),"&lt;"&amp;($BA64+1),INDIRECT("'"&amp;$A64&amp;"'!$E$2:$E$501"),"Maybe"),0)))</f>
        <v>3</v>
      </c>
      <c r="AX64" s="30" t="n">
        <f aca="true">IF(OR($A64="",$I64=""),"",IF($BC64="Y",SUMIFS(survey_frozen!$L$2:$L$251,survey_frozen!$P$2:$P$251,$A64&amp;"|"&amp;$B64),IFERROR(COUNTIFS(INDIRECT("'"&amp;$A64&amp;"'!$B$2:$B$501"),$T64,INDIRECT("'"&amp;$A64&amp;"'!$A$2:$A$501"),"&gt;="&amp;$I64,INDIRECT("'"&amp;$A64&amp;"'!$A$2:$A$501"),"&lt;"&amp;($BA64+1),INDIRECT("'"&amp;$A64&amp;"'!$E$2:$E$501"),"No"),0)))</f>
        <v>1</v>
      </c>
      <c r="AY64" s="30" t="n">
        <f aca="true">IF(OR($A64="",$I64=""),"",IF($BC64="Y",SUMIFS(survey_frozen!$M$2:$M$251,survey_frozen!$P$2:$P$251,$A64&amp;"|"&amp;$B64),IFERROR(COUNTIFS(INDIRECT("'"&amp;$A64&amp;"'!$B$2:$B$501"),$T64,INDIRECT("'"&amp;$A64&amp;"'!$A$2:$A$501"),"&gt;="&amp;$I64,INDIRECT("'"&amp;$A64&amp;"'!$A$2:$A$501"),"&lt;"&amp;($BA64+1),INDIRECT("'"&amp;$A64&amp;"'!$G$2:$G$501"),"&lt;&gt;"),0)))</f>
        <v>1</v>
      </c>
      <c r="AZ64" s="30" t="str">
        <f aca="false">IF($A64="","",$A64&amp;"|"&amp;$L64)</f>
        <v>SAMPLE-CMP-008|3</v>
      </c>
      <c r="BA64" s="31" t="n">
        <f aca="false">IF($A64="","",IFERROR(IF(INDEX(drops!$R$2:$R$21,MATCH($H64,drops!$A$2:$A$21,0))="","",INDEX(drops!$R$2:$R$21,MATCH($H64,drops!$A$2:$A$21,0))),""))</f>
        <v>46475</v>
      </c>
      <c r="BB64" s="30" t="n">
        <f aca="false">IF(OR($A64="",$Q64&lt;&gt;"Y"),1000000,N($AL64))</f>
        <v>5</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A65" s="0" t="s">
        <v>584</v>
      </c>
      <c r="B65" s="0" t="s">
        <v>686</v>
      </c>
      <c r="C65" s="11" t="n">
        <v>46442</v>
      </c>
      <c r="D65" s="10"/>
      <c r="E65" s="11"/>
      <c r="H65" s="30" t="str">
        <f aca="false">IF($A65="","",IFERROR(IF(INDEX(campaigns!$B$2:$B$51,MATCH($A65,campaigns!$A$2:$A$51,0))="","",INDEX(campaigns!$B$2:$B$51,MATCH($A65,campaigns!$A$2:$A$51,0))),""))</f>
        <v>SAMPLE-DRP-004</v>
      </c>
      <c r="I65" s="31" t="n">
        <f aca="false">IF($A65="","",IFERROR(IF(INDEX(campaigns!$BG$2:$BG$51,MATCH($A65,campaigns!$A$2:$A$51,0))="","",INDEX(campaigns!$BG$2:$BG$51,MATCH($A65,campaigns!$A$2:$A$51,0))),""))</f>
        <v>46469</v>
      </c>
      <c r="J65" s="30" t="str">
        <f aca="false">IF($A65="","",IFERROR(IF(INDEX(campaigns!$BE$2:$BE$51,MATCH($A65,campaigns!$A$2:$A$51,0))="","",INDEX(campaigns!$BE$2:$BE$51,MATCH($A65,campaigns!$A$2:$A$51,0))),""))</f>
        <v>SAMPLE Tallgrass</v>
      </c>
      <c r="K65" s="30" t="str">
        <f aca="false">IF($B65="","",IFERROR(IF(INDEX(offices!$O$2:$O$61,MATCH($B65,offices!$A$2:$A$61,0))="","",INDEX(offices!$O$2:$O$61,MATCH($B65,offices!$A$2:$A$61,0))),""))</f>
        <v>SAMPLE Union Food Fund</v>
      </c>
      <c r="L65" s="30" t="n">
        <f aca="false">IF($A65="","",IF($Q65="N","",COUNTIFS($A$2:$A65,$A65,$Q$2:$Q65,"&lt;&gt;N")))</f>
        <v>4</v>
      </c>
      <c r="M65" s="30" t="str">
        <f aca="false">IF(OR($A65="",$L65=""),"",IF(AND(config!$B$34="names_if_public",IFERROR(IF(INDEX(offices!$AG$2:$AG$61,MATCH($B65,offices!$A$2:$A$61,0))="","",INDEX(offices!$AG$2:$AG$61,MATCH($B65,offices!$A$2:$A$61,0))),"")="Y"),$K65,CHAR(64+$L65)))</f>
        <v>D</v>
      </c>
      <c r="N65" s="30" t="n">
        <f aca="false">IF(OR($A65="",$I65=""),"",COUNTIFS(stops!$B$2:$B$151,$B65,stops!$P$2:$P$151,"&lt;"&amp;$I65,stops!$L$2:$L$151,"&lt;&gt;not_delivered")+1)</f>
        <v>4</v>
      </c>
      <c r="O65" s="30" t="str">
        <f aca="false">IF($A65="","",IF(N($N65)&lt;=config!$B$29,"explicit","opt-out"))</f>
        <v>opt-out</v>
      </c>
      <c r="P65" s="30" t="str">
        <f aca="false">IF($A65="","",IF($O65="explicit",IF($D65="yes","Y",IF($D65="no","N","pending")),IF($D65="no","N",IF(AND($C65&lt;&gt;"",$I65&lt;&gt;"",$C65&lt;=WORKDAY(N($I65),-5,calendar!$A$2:$A$80)),"Y","pending"))))</f>
        <v>Y</v>
      </c>
      <c r="Q65" s="30" t="str">
        <f aca="false">IF($A65="","",IF($P65="N","N",IF($P65&lt;&gt;"Y","pending",IF(AND((COUNTIFS(stops!$A$2:$A$151,$H65,stops!$B$2:$B$151,$B65,stops!$L$2:$L$151,"declined")+COUNTIFS(stops!$A$2:$A$151,$H65,stops!$B$2:$B$151,$B65,stops!$L$2:$L$151,"building_refused")+COUNTIFS(stops!$A$2:$A$151,$H65,stops!$B$2:$B$151,$B65,stops!$L$2:$L$151,"not_delivered"))&gt;0,N($U65)=0),"N","Y"))))</f>
        <v>Y</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n">
        <f aca="false">IF($A65="","",IF($G65&lt;&gt;"",$G65,IFERROR(IF(INDEX(offices!$AM$2:$AM$61,MATCH($B65,offices!$A$2:$A$61,0))="","",INDEX(offices!$AM$2:$AM$61,MATCH($B65,offices!$A$2:$A$61,0))),"")))</f>
        <v>50</v>
      </c>
      <c r="T65" s="30" t="str">
        <f aca="false">IF($A65="","",$A65&amp;"."&amp;$B65)</f>
        <v>SAMPLE-CMP-008.SAMPLE-O-004</v>
      </c>
      <c r="U65" s="30" t="n">
        <f aca="false">IF($A65="","",SUMIFS(inventory!$G$2:$G$801,inventory!$C$2:$C$801,$A65,inventory!$D$2:$D$801,$B65,inventory!$E$2:$E$801,"delivered"))</f>
        <v>50</v>
      </c>
      <c r="V65" s="37" t="n">
        <f aca="false">IF($A65="","",IFERROR(1/(1/SUMPRODUCT(MAX((inventory!$C$2:$C$801=$A65)*(inventory!$D$2:$D$801=$B65)*(inventory!$E$2:$E$801="delivered")*(inventory!$A$2:$A$801+inventory!$B$2:$B$801)))),""))</f>
        <v>46469.4263888889</v>
      </c>
      <c r="W65" s="30" t="str">
        <f aca="false">IF($A65="","",IFERROR(IF(INDEX(inventory!$J$2:$J$801,MATCH($A65&amp;"|"&amp;$B65&amp;"|delivered",inventory!$R$2:$R$801,0))="","",INDEX(inventory!$J$2:$J$801,MATCH($A65&amp;"|"&amp;$B65&amp;"|delivered",inventory!$R$2:$R$801,0))),""))</f>
        <v>office_count</v>
      </c>
      <c r="X65" s="30" t="str">
        <f aca="false">IF($A65="","",IFERROR(IF(INDEX(photos!$H$2:$H$701,MATCH($A65&amp;"|"&amp;$B65&amp;"|placement|Y",photos!$R$2:$R$701,0))="","",INDEX(photos!$H$2:$H$701,MATCH($A65&amp;"|"&amp;$B65&amp;"|placement|Y",photos!$R$2:$R$701,0))),""))</f>
        <v>SAMPLE-CMP-008_SAMPLE-O-004_placement_2027-03-23.jpg</v>
      </c>
      <c r="Y65" s="31" t="n">
        <f aca="false">IF($A65="","",IFERROR(IF(INDEX(photos!$E$2:$E$701,MATCH($A65&amp;"|"&amp;$B65&amp;"|placement|Y",photos!$R$2:$R$701,0))="","",INDEX(photos!$E$2:$E$701,MATCH($A65&amp;"|"&amp;$B65&amp;"|placement|Y",photos!$R$2:$R$701,0))),""))</f>
        <v>46469</v>
      </c>
      <c r="Z65" s="30" t="n">
        <f aca="false">IF($A65="","",IF(COUNTIFS(counts!$C$2:$C$701,$A65,counts!$D$2:$D$701,$B65,counts!$E$2:$E$701,"placed")=0,"",SUMIFS(counts!$F$2:$F$701,counts!$C$2:$C$701,$A65,counts!$D$2:$D$701,$B65,counts!$E$2:$E$701,"placed")))</f>
        <v>50</v>
      </c>
      <c r="AA65" s="30" t="n">
        <f aca="false">IF($A65="","",IF($Y65="",0,N($Z65)))</f>
        <v>50</v>
      </c>
      <c r="AB65" s="30" t="str">
        <f aca="false">IF($A65="","",IF(OR($Y65="",$I65=""),"N",IF($Y65&lt;=WORKDAY(N($I65),1,calendar!$A$2:$A$80),"Y","N")))</f>
        <v>Y</v>
      </c>
      <c r="AC65" s="33" t="n">
        <f aca="false">IF(OR($A65="",$V65="",$Y65=""),"",ROUND(($Y65+N(IFERROR(IF(INDEX(photos!$F$2:$F$701,MATCH($A65&amp;"|"&amp;$B65&amp;"|placement|Y",photos!$R$2:$R$701,0))="","",INDEX(photos!$F$2:$F$701,MATCH($A65&amp;"|"&amp;$B65&amp;"|placement|Y",photos!$R$2:$R$701,0))),""))-$V65)*24,1))</f>
        <v>2.8</v>
      </c>
      <c r="AD65" s="30" t="n">
        <f aca="false">IF($A65="","",SUMIFS(inventory!$G$2:$G$801,inventory!$C$2:$C$801,$A65,inventory!$D$2:$D$801,$B65,inventory!$E$2:$E$801,"topped_up"))</f>
        <v>0</v>
      </c>
      <c r="AE65" s="30" t="n">
        <f aca="false">IF($A65="","",IF(COUNTIFS(counts!$C$2:$C$701,$A65,counts!$D$2:$D$701,$B65,counts!$E$2:$E$701,"remaining_day3")=0,"",SUMIFS(counts!$F$2:$F$701,counts!$C$2:$C$701,$A65,counts!$D$2:$D$701,$B65,counts!$E$2:$E$701,"remaining_day3")))</f>
        <v>10</v>
      </c>
      <c r="AF65" s="30" t="n">
        <f aca="false">IF($A65="","",IF(COUNTIFS(counts!$C$2:$C$701,$A65,counts!$D$2:$D$701,$B65,counts!$E$2:$E$701,"remaining_day5")=0,"",SUMIFS(counts!$F$2:$F$701,counts!$C$2:$C$701,$A65,counts!$D$2:$D$701,$B65,counts!$E$2:$E$701,"remaining_day5")))</f>
        <v>1</v>
      </c>
      <c r="AG65" s="30" t="n">
        <f aca="false">IF(OR($A65="",$AF65=""),"",MAX(0,$AA65+$AD65-$AF65))</f>
        <v>49</v>
      </c>
      <c r="AH65" s="30" t="str">
        <f aca="false">IF(OR($A65="",$AI65=""),"",IFERROR(IF(INDEX(photos!$H$2:$H$701,MATCH($A65&amp;"|"&amp;$B65&amp;"|later|Y|"&amp;$AI65,photos!$S$2:$S$701,0))="","",INDEX(photos!$H$2:$H$701,MATCH($A65&amp;"|"&amp;$B65&amp;"|later|Y|"&amp;$AI65,photos!$S$2:$S$701,0))),""))</f>
        <v>SAMPLE-CMP-008_SAMPLE-O-004_later_2027-03-29.jpg</v>
      </c>
      <c r="AI65" s="31" t="n">
        <f aca="false">IF($A65="","",IFERROR(1/(1/SUMPRODUCT(MAX((photos!$B$2:$B$701=$A65)*(photos!$C$2:$C$701=$B65)*(photos!$D$2:$D$701="later")*(photos!$O$2:$O$701="Y")*photos!$E$2:$E$701))),""))</f>
        <v>46475</v>
      </c>
      <c r="AJ65" s="30" t="n">
        <f aca="false">IF(OR($A65="",$AI65="",$I65=""),"",NETWORKDAYS($I65,$AI65,calendar!$A$2:$A$80))</f>
        <v>5</v>
      </c>
      <c r="AK65" s="30" t="str">
        <f aca="false">IF($A65="","",IF(AND($X65&lt;&gt;"",$AH65&lt;&gt;""),"Y","N"))</f>
        <v>Y</v>
      </c>
      <c r="AL65" s="30" t="n">
        <f aca="true">IF(OR($A65="",$I65=""),"",IF($BC65="Y",SUMIFS(survey_frozen!$C$2:$C$251,survey_frozen!$P$2:$P$251,$A65&amp;"|"&amp;$B65),IFERROR(COUNTIFS(INDIRECT("'"&amp;$A65&amp;"'!$B$2:$B$501"),$T65,INDIRECT("'"&amp;$A65&amp;"'!$A$2:$A$501"),"&gt;="&amp;$I65,INDIRECT("'"&amp;$A65&amp;"'!$A$2:$A$501"),"&lt;"&amp;($BA65+1)),0)))</f>
        <v>7</v>
      </c>
      <c r="AM65" s="30" t="n">
        <f aca="true">IF(OR($A65="",$I65=""),"",IF($BC65="Y",SUMIFS(survey_frozen!$D$2:$D$251,survey_frozen!$P$2:$P$251,$A65&amp;"|"&amp;$B65),IFERROR(COUNTIFS(INDIRECT("'"&amp;$A65&amp;"'!$B$2:$B$501"),$T65,INDIRECT("'"&amp;$A65&amp;"'!$A$2:$A$501"),"&gt;="&amp;$I65,INDIRECT("'"&amp;$A65&amp;"'!$A$2:$A$501"),"&lt;"&amp;($BA65+1),INDIRECT("'"&amp;$A65&amp;"'!$C$2:$C$501"),"Yes"),0)))</f>
        <v>5</v>
      </c>
      <c r="AN65" s="30" t="n">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8</v>
      </c>
      <c r="AO65" s="30" t="n">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11</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n">
        <f aca="true">IF(OR($A65="",$I65=""),"",IF($BC65="Y",SUMIFS(survey_frozen!$E$2:$E$251,survey_frozen!$P$2:$P$251,$A65&amp;"|"&amp;$B65),IFERROR(COUNTIFS(INDIRECT("'"&amp;$A65&amp;"'!$B$2:$B$501"),$T65,INDIRECT("'"&amp;$A65&amp;"'!$A$2:$A$501"),"&gt;="&amp;$I65,INDIRECT("'"&amp;$A65&amp;"'!$A$2:$A$501"),"&lt;"&amp;($BA65+1),INDIRECT("'"&amp;$A65&amp;"'!$F$2:$F$501"),"Didn't see it"),0)))</f>
        <v>0</v>
      </c>
      <c r="AR65" s="30" t="n">
        <f aca="true">IF(OR($A65="",$I65=""),"",IF($BC65="Y",SUMIFS(survey_frozen!$F$2:$F$251,survey_frozen!$P$2:$P$251,$A65&amp;"|"&amp;$B65),IFERROR(COUNTIFS(INDIRECT("'"&amp;$A65&amp;"'!$B$2:$B$501"),$T65,INDIRECT("'"&amp;$A65&amp;"'!$A$2:$A$501"),"&gt;="&amp;$I65,INDIRECT("'"&amp;$A65&amp;"'!$A$2:$A$501"),"&lt;"&amp;($BA65+1),INDIRECT("'"&amp;$A65&amp;"'!$F$2:$F$501"),"Not for me"),0)))</f>
        <v>2</v>
      </c>
      <c r="AS65" s="30" t="n">
        <f aca="true">IF(OR($A65="",$I65=""),"",IF($BC65="Y",SUMIFS(survey_frozen!$G$2:$G$251,survey_frozen!$P$2:$P$251,$A65&amp;"|"&amp;$B65),IFERROR(COUNTIFS(INDIRECT("'"&amp;$A65&amp;"'!$B$2:$B$501"),$T65,INDIRECT("'"&amp;$A65&amp;"'!$A$2:$A$501"),"&gt;="&amp;$I65,INDIRECT("'"&amp;$A65&amp;"'!$A$2:$A$501"),"&lt;"&amp;($BA65+1),INDIRECT("'"&amp;$A65&amp;"'!$F$2:$F$501"),"Gone by the time I looked"),0)))</f>
        <v>0</v>
      </c>
      <c r="AT65" s="30" t="n">
        <f aca="true">IF(OR($A65="",$I65=""),"",IF($BC65="Y",SUMIFS(survey_frozen!$H$2:$H$251,survey_frozen!$P$2:$P$251,$A65&amp;"|"&amp;$B65),IFERROR(COUNTIFS(INDIRECT("'"&amp;$A65&amp;"'!$B$2:$B$501"),$T65,INDIRECT("'"&amp;$A65&amp;"'!$A$2:$A$501"),"&gt;="&amp;$I65,INDIRECT("'"&amp;$A65&amp;"'!$A$2:$A$501"),"&lt;"&amp;($BA65+1),INDIRECT("'"&amp;$A65&amp;"'!$D$2:$D$501"),"&gt;=1"),0)))</f>
        <v>5</v>
      </c>
      <c r="AU65" s="30" t="n">
        <f aca="true">IF(OR($A65="",$I65=""),"",IF($BC65="Y",SUMIFS(survey_frozen!$I$2:$I$251,survey_frozen!$P$2:$P$251,$A65&amp;"|"&amp;$B65),IFERROR(SUMIFS(INDIRECT("'"&amp;$A65&amp;"'!$D$2:$D$501"),INDIRECT("'"&amp;$A65&amp;"'!$B$2:$B$501"),$T65,INDIRECT("'"&amp;$A65&amp;"'!$A$2:$A$501"),"&gt;="&amp;$I65,INDIRECT("'"&amp;$A65&amp;"'!$A$2:$A$501"),"&lt;"&amp;($BA65+1)),0)))</f>
        <v>24</v>
      </c>
      <c r="AV65" s="30" t="n">
        <f aca="true">IF(OR($A65="",$I65=""),"",IF($BC65="Y",SUMIFS(survey_frozen!$J$2:$J$251,survey_frozen!$P$2:$P$251,$A65&amp;"|"&amp;$B65),IFERROR(COUNTIFS(INDIRECT("'"&amp;$A65&amp;"'!$B$2:$B$501"),$T65,INDIRECT("'"&amp;$A65&amp;"'!$A$2:$A$501"),"&gt;="&amp;$I65,INDIRECT("'"&amp;$A65&amp;"'!$A$2:$A$501"),"&lt;"&amp;($BA65+1),INDIRECT("'"&amp;$A65&amp;"'!$E$2:$E$501"),"Yes"),0)))</f>
        <v>1</v>
      </c>
      <c r="AW65" s="30" t="n">
        <f aca="true">IF(OR($A65="",$I65=""),"",IF($BC65="Y",SUMIFS(survey_frozen!$K$2:$K$251,survey_frozen!$P$2:$P$251,$A65&amp;"|"&amp;$B65),IFERROR(COUNTIFS(INDIRECT("'"&amp;$A65&amp;"'!$B$2:$B$501"),$T65,INDIRECT("'"&amp;$A65&amp;"'!$A$2:$A$501"),"&gt;="&amp;$I65,INDIRECT("'"&amp;$A65&amp;"'!$A$2:$A$501"),"&lt;"&amp;($BA65+1),INDIRECT("'"&amp;$A65&amp;"'!$E$2:$E$501"),"Maybe"),0)))</f>
        <v>3</v>
      </c>
      <c r="AX65" s="30" t="n">
        <f aca="true">IF(OR($A65="",$I65=""),"",IF($BC65="Y",SUMIFS(survey_frozen!$L$2:$L$251,survey_frozen!$P$2:$P$251,$A65&amp;"|"&amp;$B65),IFERROR(COUNTIFS(INDIRECT("'"&amp;$A65&amp;"'!$B$2:$B$501"),$T65,INDIRECT("'"&amp;$A65&amp;"'!$A$2:$A$501"),"&gt;="&amp;$I65,INDIRECT("'"&amp;$A65&amp;"'!$A$2:$A$501"),"&lt;"&amp;($BA65+1),INDIRECT("'"&amp;$A65&amp;"'!$E$2:$E$501"),"No"),0)))</f>
        <v>1</v>
      </c>
      <c r="AY65" s="30" t="n">
        <f aca="true">IF(OR($A65="",$I65=""),"",IF($BC65="Y",SUMIFS(survey_frozen!$M$2:$M$251,survey_frozen!$P$2:$P$251,$A65&amp;"|"&amp;$B65),IFERROR(COUNTIFS(INDIRECT("'"&amp;$A65&amp;"'!$B$2:$B$501"),$T65,INDIRECT("'"&amp;$A65&amp;"'!$A$2:$A$501"),"&gt;="&amp;$I65,INDIRECT("'"&amp;$A65&amp;"'!$A$2:$A$501"),"&lt;"&amp;($BA65+1),INDIRECT("'"&amp;$A65&amp;"'!$G$2:$G$501"),"&lt;&gt;"),0)))</f>
        <v>2</v>
      </c>
      <c r="AZ65" s="30" t="str">
        <f aca="false">IF($A65="","",$A65&amp;"|"&amp;$L65)</f>
        <v>SAMPLE-CMP-008|4</v>
      </c>
      <c r="BA65" s="31" t="n">
        <f aca="false">IF($A65="","",IFERROR(IF(INDEX(drops!$R$2:$R$21,MATCH($H65,drops!$A$2:$A$21,0))="","",INDEX(drops!$R$2:$R$21,MATCH($H65,drops!$A$2:$A$21,0))),""))</f>
        <v>46475</v>
      </c>
      <c r="BB65" s="30" t="n">
        <f aca="false">IF(OR($A65="",$Q65&lt;&gt;"Y"),1000000,N($AL65))</f>
        <v>7</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A66" s="0" t="s">
        <v>584</v>
      </c>
      <c r="B66" s="0" t="s">
        <v>688</v>
      </c>
      <c r="C66" s="11" t="n">
        <v>46442</v>
      </c>
      <c r="D66" s="10"/>
      <c r="E66" s="11"/>
      <c r="H66" s="30" t="str">
        <f aca="false">IF($A66="","",IFERROR(IF(INDEX(campaigns!$B$2:$B$51,MATCH($A66,campaigns!$A$2:$A$51,0))="","",INDEX(campaigns!$B$2:$B$51,MATCH($A66,campaigns!$A$2:$A$51,0))),""))</f>
        <v>SAMPLE-DRP-004</v>
      </c>
      <c r="I66" s="31" t="n">
        <f aca="false">IF($A66="","",IFERROR(IF(INDEX(campaigns!$BG$2:$BG$51,MATCH($A66,campaigns!$A$2:$A$51,0))="","",INDEX(campaigns!$BG$2:$BG$51,MATCH($A66,campaigns!$A$2:$A$51,0))),""))</f>
        <v>46469</v>
      </c>
      <c r="J66" s="30" t="str">
        <f aca="false">IF($A66="","",IFERROR(IF(INDEX(campaigns!$BE$2:$BE$51,MATCH($A66,campaigns!$A$2:$A$51,0))="","",INDEX(campaigns!$BE$2:$BE$51,MATCH($A66,campaigns!$A$2:$A$51,0))),""))</f>
        <v>SAMPLE Tallgrass</v>
      </c>
      <c r="K66" s="30" t="str">
        <f aca="false">IF($B66="","",IFERROR(IF(INDEX(offices!$O$2:$O$61,MATCH($B66,offices!$A$2:$A$61,0))="","",INDEX(offices!$O$2:$O$61,MATCH($B66,offices!$A$2:$A$61,0))),""))</f>
        <v>SAMPLE Studio Marlow</v>
      </c>
      <c r="L66" s="30" t="n">
        <f aca="false">IF($A66="","",IF($Q66="N","",COUNTIFS($A$2:$A66,$A66,$Q$2:$Q66,"&lt;&gt;N")))</f>
        <v>5</v>
      </c>
      <c r="M66" s="30" t="str">
        <f aca="false">IF(OR($A66="",$L66=""),"",IF(AND(config!$B$34="names_if_public",IFERROR(IF(INDEX(offices!$AG$2:$AG$61,MATCH($B66,offices!$A$2:$A$61,0))="","",INDEX(offices!$AG$2:$AG$61,MATCH($B66,offices!$A$2:$A$61,0))),"")="Y"),$K66,CHAR(64+$L66)))</f>
        <v>E</v>
      </c>
      <c r="N66" s="30" t="n">
        <f aca="false">IF(OR($A66="",$I66=""),"",COUNTIFS(stops!$B$2:$B$151,$B66,stops!$P$2:$P$151,"&lt;"&amp;$I66,stops!$L$2:$L$151,"&lt;&gt;not_delivered")+1)</f>
        <v>4</v>
      </c>
      <c r="O66" s="30" t="str">
        <f aca="false">IF($A66="","",IF(N($N66)&lt;=config!$B$29,"explicit","opt-out"))</f>
        <v>opt-out</v>
      </c>
      <c r="P66" s="30" t="str">
        <f aca="false">IF($A66="","",IF($O66="explicit",IF($D66="yes","Y",IF($D66="no","N","pending")),IF($D66="no","N",IF(AND($C66&lt;&gt;"",$I66&lt;&gt;"",$C66&lt;=WORKDAY(N($I66),-5,calendar!$A$2:$A$80)),"Y","pending"))))</f>
        <v>Y</v>
      </c>
      <c r="Q66" s="30" t="str">
        <f aca="false">IF($A66="","",IF($P66="N","N",IF($P66&lt;&gt;"Y","pending",IF(AND((COUNTIFS(stops!$A$2:$A$151,$H66,stops!$B$2:$B$151,$B66,stops!$L$2:$L$151,"declined")+COUNTIFS(stops!$A$2:$A$151,$H66,stops!$B$2:$B$151,$B66,stops!$L$2:$L$151,"building_refused")+COUNTIFS(stops!$A$2:$A$151,$H66,stops!$B$2:$B$151,$B66,stops!$L$2:$L$151,"not_delivered"))&gt;0,N($U66)=0),"N","Y"))))</f>
        <v>Y</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n">
        <f aca="false">IF($A66="","",IF($G66&lt;&gt;"",$G66,IFERROR(IF(INDEX(offices!$AM$2:$AM$61,MATCH($B66,offices!$A$2:$A$61,0))="","",INDEX(offices!$AM$2:$AM$61,MATCH($B66,offices!$A$2:$A$61,0))),"")))</f>
        <v>70</v>
      </c>
      <c r="T66" s="30" t="str">
        <f aca="false">IF($A66="","",$A66&amp;"."&amp;$B66)</f>
        <v>SAMPLE-CMP-008.SAMPLE-O-005</v>
      </c>
      <c r="U66" s="30" t="n">
        <f aca="false">IF($A66="","",SUMIFS(inventory!$G$2:$G$801,inventory!$C$2:$C$801,$A66,inventory!$D$2:$D$801,$B66,inventory!$E$2:$E$801,"delivered"))</f>
        <v>70</v>
      </c>
      <c r="V66" s="37" t="n">
        <f aca="false">IF($A66="","",IFERROR(1/(1/SUMPRODUCT(MAX((inventory!$C$2:$C$801=$A66)*(inventory!$D$2:$D$801=$B66)*(inventory!$E$2:$E$801="delivered")*(inventory!$A$2:$A$801+inventory!$B$2:$B$801)))),""))</f>
        <v>46469.4270833333</v>
      </c>
      <c r="W66" s="30" t="str">
        <f aca="false">IF($A66="","",IFERROR(IF(INDEX(inventory!$J$2:$J$801,MATCH($A66&amp;"|"&amp;$B66&amp;"|delivered",inventory!$R$2:$R$801,0))="","",INDEX(inventory!$J$2:$J$801,MATCH($A66&amp;"|"&amp;$B66&amp;"|delivered",inventory!$R$2:$R$801,0))),""))</f>
        <v>office_count</v>
      </c>
      <c r="X66" s="30" t="str">
        <f aca="false">IF($A66="","",IFERROR(IF(INDEX(photos!$H$2:$H$701,MATCH($A66&amp;"|"&amp;$B66&amp;"|placement|Y",photos!$R$2:$R$701,0))="","",INDEX(photos!$H$2:$H$701,MATCH($A66&amp;"|"&amp;$B66&amp;"|placement|Y",photos!$R$2:$R$701,0))),""))</f>
        <v>SAMPLE-CMP-008_SAMPLE-O-005_placement_2027-03-23.jpg</v>
      </c>
      <c r="Y66" s="31" t="n">
        <f aca="false">IF($A66="","",IFERROR(IF(INDEX(photos!$E$2:$E$701,MATCH($A66&amp;"|"&amp;$B66&amp;"|placement|Y",photos!$R$2:$R$701,0))="","",INDEX(photos!$E$2:$E$701,MATCH($A66&amp;"|"&amp;$B66&amp;"|placement|Y",photos!$R$2:$R$701,0))),""))</f>
        <v>46469</v>
      </c>
      <c r="Z66" s="30" t="n">
        <f aca="false">IF($A66="","",IF(COUNTIFS(counts!$C$2:$C$701,$A66,counts!$D$2:$D$701,$B66,counts!$E$2:$E$701,"placed")=0,"",SUMIFS(counts!$F$2:$F$701,counts!$C$2:$C$701,$A66,counts!$D$2:$D$701,$B66,counts!$E$2:$E$701,"placed")))</f>
        <v>70</v>
      </c>
      <c r="AA66" s="30" t="n">
        <f aca="false">IF($A66="","",IF($Y66="",0,N($Z66)))</f>
        <v>70</v>
      </c>
      <c r="AB66" s="30" t="str">
        <f aca="false">IF($A66="","",IF(OR($Y66="",$I66=""),"N",IF($Y66&lt;=WORKDAY(N($I66),1,calendar!$A$2:$A$80),"Y","N")))</f>
        <v>Y</v>
      </c>
      <c r="AC66" s="33" t="n">
        <f aca="false">IF(OR($A66="",$V66="",$Y66=""),"",ROUND(($Y66+N(IFERROR(IF(INDEX(photos!$F$2:$F$701,MATCH($A66&amp;"|"&amp;$B66&amp;"|placement|Y",photos!$R$2:$R$701,0))="","",INDEX(photos!$F$2:$F$701,MATCH($A66&amp;"|"&amp;$B66&amp;"|placement|Y",photos!$R$2:$R$701,0))),""))-$V66)*24,1))</f>
        <v>2.8</v>
      </c>
      <c r="AD66" s="30" t="n">
        <f aca="false">IF($A66="","",SUMIFS(inventory!$G$2:$G$801,inventory!$C$2:$C$801,$A66,inventory!$D$2:$D$801,$B66,inventory!$E$2:$E$801,"topped_up"))</f>
        <v>0</v>
      </c>
      <c r="AE66" s="30" t="n">
        <f aca="false">IF($A66="","",IF(COUNTIFS(counts!$C$2:$C$701,$A66,counts!$D$2:$D$701,$B66,counts!$E$2:$E$701,"remaining_day3")=0,"",SUMIFS(counts!$F$2:$F$701,counts!$C$2:$C$701,$A66,counts!$D$2:$D$701,$B66,counts!$E$2:$E$701,"remaining_day3")))</f>
        <v>22</v>
      </c>
      <c r="AF66" s="30" t="n">
        <f aca="false">IF($A66="","",IF(COUNTIFS(counts!$C$2:$C$701,$A66,counts!$D$2:$D$701,$B66,counts!$E$2:$E$701,"remaining_day5")=0,"",SUMIFS(counts!$F$2:$F$701,counts!$C$2:$C$701,$A66,counts!$D$2:$D$701,$B66,counts!$E$2:$E$701,"remaining_day5")))</f>
        <v>1</v>
      </c>
      <c r="AG66" s="30" t="n">
        <f aca="false">IF(OR($A66="",$AF66=""),"",MAX(0,$AA66+$AD66-$AF66))</f>
        <v>69</v>
      </c>
      <c r="AH66" s="30" t="str">
        <f aca="false">IF(OR($A66="",$AI66=""),"",IFERROR(IF(INDEX(photos!$H$2:$H$701,MATCH($A66&amp;"|"&amp;$B66&amp;"|later|Y|"&amp;$AI66,photos!$S$2:$S$701,0))="","",INDEX(photos!$H$2:$H$701,MATCH($A66&amp;"|"&amp;$B66&amp;"|later|Y|"&amp;$AI66,photos!$S$2:$S$701,0))),""))</f>
        <v>SAMPLE-CMP-008_SAMPLE-O-005_later_2027-03-29.jpg</v>
      </c>
      <c r="AI66" s="31" t="n">
        <f aca="false">IF($A66="","",IFERROR(1/(1/SUMPRODUCT(MAX((photos!$B$2:$B$701=$A66)*(photos!$C$2:$C$701=$B66)*(photos!$D$2:$D$701="later")*(photos!$O$2:$O$701="Y")*photos!$E$2:$E$701))),""))</f>
        <v>46475</v>
      </c>
      <c r="AJ66" s="30" t="n">
        <f aca="false">IF(OR($A66="",$AI66="",$I66=""),"",NETWORKDAYS($I66,$AI66,calendar!$A$2:$A$80))</f>
        <v>5</v>
      </c>
      <c r="AK66" s="30" t="str">
        <f aca="false">IF($A66="","",IF(AND($X66&lt;&gt;"",$AH66&lt;&gt;""),"Y","N"))</f>
        <v>Y</v>
      </c>
      <c r="AL66" s="30" t="n">
        <f aca="true">IF(OR($A66="",$I66=""),"",IF($BC66="Y",SUMIFS(survey_frozen!$C$2:$C$251,survey_frozen!$P$2:$P$251,$A66&amp;"|"&amp;$B66),IFERROR(COUNTIFS(INDIRECT("'"&amp;$A66&amp;"'!$B$2:$B$501"),$T66,INDIRECT("'"&amp;$A66&amp;"'!$A$2:$A$501"),"&gt;="&amp;$I66,INDIRECT("'"&amp;$A66&amp;"'!$A$2:$A$501"),"&lt;"&amp;($BA66+1)),0)))</f>
        <v>9</v>
      </c>
      <c r="AM66" s="30" t="n">
        <f aca="true">IF(OR($A66="",$I66=""),"",IF($BC66="Y",SUMIFS(survey_frozen!$D$2:$D$251,survey_frozen!$P$2:$P$251,$A66&amp;"|"&amp;$B66),IFERROR(COUNTIFS(INDIRECT("'"&amp;$A66&amp;"'!$B$2:$B$501"),$T66,INDIRECT("'"&amp;$A66&amp;"'!$A$2:$A$501"),"&gt;="&amp;$I66,INDIRECT("'"&amp;$A66&amp;"'!$A$2:$A$501"),"&lt;"&amp;($BA66+1),INDIRECT("'"&amp;$A66&amp;"'!$C$2:$C$501"),"Yes"),0)))</f>
        <v>7</v>
      </c>
      <c r="AN66" s="30" t="n">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10</v>
      </c>
      <c r="AO66" s="30" t="n">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3</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n">
        <f aca="true">IF(OR($A66="",$I66=""),"",IF($BC66="Y",SUMIFS(survey_frozen!$E$2:$E$251,survey_frozen!$P$2:$P$251,$A66&amp;"|"&amp;$B66),IFERROR(COUNTIFS(INDIRECT("'"&amp;$A66&amp;"'!$B$2:$B$501"),$T66,INDIRECT("'"&amp;$A66&amp;"'!$A$2:$A$501"),"&gt;="&amp;$I66,INDIRECT("'"&amp;$A66&amp;"'!$A$2:$A$501"),"&lt;"&amp;($BA66+1),INDIRECT("'"&amp;$A66&amp;"'!$F$2:$F$501"),"Didn't see it"),0)))</f>
        <v>2</v>
      </c>
      <c r="AR66" s="30" t="n">
        <f aca="true">IF(OR($A66="",$I66=""),"",IF($BC66="Y",SUMIFS(survey_frozen!$F$2:$F$251,survey_frozen!$P$2:$P$251,$A66&amp;"|"&amp;$B66),IFERROR(COUNTIFS(INDIRECT("'"&amp;$A66&amp;"'!$B$2:$B$501"),$T66,INDIRECT("'"&amp;$A66&amp;"'!$A$2:$A$501"),"&gt;="&amp;$I66,INDIRECT("'"&amp;$A66&amp;"'!$A$2:$A$501"),"&lt;"&amp;($BA66+1),INDIRECT("'"&amp;$A66&amp;"'!$F$2:$F$501"),"Not for me"),0)))</f>
        <v>0</v>
      </c>
      <c r="AS66" s="30" t="n">
        <f aca="true">IF(OR($A66="",$I66=""),"",IF($BC66="Y",SUMIFS(survey_frozen!$G$2:$G$251,survey_frozen!$P$2:$P$251,$A66&amp;"|"&amp;$B66),IFERROR(COUNTIFS(INDIRECT("'"&amp;$A66&amp;"'!$B$2:$B$501"),$T66,INDIRECT("'"&amp;$A66&amp;"'!$A$2:$A$501"),"&gt;="&amp;$I66,INDIRECT("'"&amp;$A66&amp;"'!$A$2:$A$501"),"&lt;"&amp;($BA66+1),INDIRECT("'"&amp;$A66&amp;"'!$F$2:$F$501"),"Gone by the time I looked"),0)))</f>
        <v>0</v>
      </c>
      <c r="AT66" s="30" t="n">
        <f aca="true">IF(OR($A66="",$I66=""),"",IF($BC66="Y",SUMIFS(survey_frozen!$H$2:$H$251,survey_frozen!$P$2:$P$251,$A66&amp;"|"&amp;$B66),IFERROR(COUNTIFS(INDIRECT("'"&amp;$A66&amp;"'!$B$2:$B$501"),$T66,INDIRECT("'"&amp;$A66&amp;"'!$A$2:$A$501"),"&gt;="&amp;$I66,INDIRECT("'"&amp;$A66&amp;"'!$A$2:$A$501"),"&lt;"&amp;($BA66+1),INDIRECT("'"&amp;$A66&amp;"'!$D$2:$D$501"),"&gt;=1"),0)))</f>
        <v>7</v>
      </c>
      <c r="AU66" s="30" t="n">
        <f aca="true">IF(OR($A66="",$I66=""),"",IF($BC66="Y",SUMIFS(survey_frozen!$I$2:$I$251,survey_frozen!$P$2:$P$251,$A66&amp;"|"&amp;$B66),IFERROR(SUMIFS(INDIRECT("'"&amp;$A66&amp;"'!$D$2:$D$501"),INDIRECT("'"&amp;$A66&amp;"'!$B$2:$B$501"),$T66,INDIRECT("'"&amp;$A66&amp;"'!$A$2:$A$501"),"&gt;="&amp;$I66,INDIRECT("'"&amp;$A66&amp;"'!$A$2:$A$501"),"&lt;"&amp;($BA66+1)),0)))</f>
        <v>31</v>
      </c>
      <c r="AV66" s="30" t="n">
        <f aca="true">IF(OR($A66="",$I66=""),"",IF($BC66="Y",SUMIFS(survey_frozen!$J$2:$J$251,survey_frozen!$P$2:$P$251,$A66&amp;"|"&amp;$B66),IFERROR(COUNTIFS(INDIRECT("'"&amp;$A66&amp;"'!$B$2:$B$501"),$T66,INDIRECT("'"&amp;$A66&amp;"'!$A$2:$A$501"),"&gt;="&amp;$I66,INDIRECT("'"&amp;$A66&amp;"'!$A$2:$A$501"),"&lt;"&amp;($BA66+1),INDIRECT("'"&amp;$A66&amp;"'!$E$2:$E$501"),"Yes"),0)))</f>
        <v>4</v>
      </c>
      <c r="AW66" s="30" t="n">
        <f aca="true">IF(OR($A66="",$I66=""),"",IF($BC66="Y",SUMIFS(survey_frozen!$K$2:$K$251,survey_frozen!$P$2:$P$251,$A66&amp;"|"&amp;$B66),IFERROR(COUNTIFS(INDIRECT("'"&amp;$A66&amp;"'!$B$2:$B$501"),$T66,INDIRECT("'"&amp;$A66&amp;"'!$A$2:$A$501"),"&gt;="&amp;$I66,INDIRECT("'"&amp;$A66&amp;"'!$A$2:$A$501"),"&lt;"&amp;($BA66+1),INDIRECT("'"&amp;$A66&amp;"'!$E$2:$E$501"),"Maybe"),0)))</f>
        <v>1</v>
      </c>
      <c r="AX66" s="30" t="n">
        <f aca="true">IF(OR($A66="",$I66=""),"",IF($BC66="Y",SUMIFS(survey_frozen!$L$2:$L$251,survey_frozen!$P$2:$P$251,$A66&amp;"|"&amp;$B66),IFERROR(COUNTIFS(INDIRECT("'"&amp;$A66&amp;"'!$B$2:$B$501"),$T66,INDIRECT("'"&amp;$A66&amp;"'!$A$2:$A$501"),"&gt;="&amp;$I66,INDIRECT("'"&amp;$A66&amp;"'!$A$2:$A$501"),"&lt;"&amp;($BA66+1),INDIRECT("'"&amp;$A66&amp;"'!$E$2:$E$501"),"No"),0)))</f>
        <v>2</v>
      </c>
      <c r="AY66" s="30" t="n">
        <f aca="true">IF(OR($A66="",$I66=""),"",IF($BC66="Y",SUMIFS(survey_frozen!$M$2:$M$251,survey_frozen!$P$2:$P$251,$A66&amp;"|"&amp;$B66),IFERROR(COUNTIFS(INDIRECT("'"&amp;$A66&amp;"'!$B$2:$B$501"),$T66,INDIRECT("'"&amp;$A66&amp;"'!$A$2:$A$501"),"&gt;="&amp;$I66,INDIRECT("'"&amp;$A66&amp;"'!$A$2:$A$501"),"&lt;"&amp;($BA66+1),INDIRECT("'"&amp;$A66&amp;"'!$G$2:$G$501"),"&lt;&gt;"),0)))</f>
        <v>1</v>
      </c>
      <c r="AZ66" s="30" t="str">
        <f aca="false">IF($A66="","",$A66&amp;"|"&amp;$L66)</f>
        <v>SAMPLE-CMP-008|5</v>
      </c>
      <c r="BA66" s="31" t="n">
        <f aca="false">IF($A66="","",IFERROR(IF(INDEX(drops!$R$2:$R$21,MATCH($H66,drops!$A$2:$A$21,0))="","",INDEX(drops!$R$2:$R$21,MATCH($H66,drops!$A$2:$A$21,0))),""))</f>
        <v>46475</v>
      </c>
      <c r="BB66" s="30" t="n">
        <f aca="false">IF(OR($A66="",$Q66&lt;&gt;"Y"),1000000,N($AL66))</f>
        <v>9</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A67" s="0" t="s">
        <v>584</v>
      </c>
      <c r="B67" s="0" t="s">
        <v>690</v>
      </c>
      <c r="C67" s="11" t="n">
        <v>46442</v>
      </c>
      <c r="D67" s="10" t="s">
        <v>496</v>
      </c>
      <c r="E67" s="11" t="n">
        <v>46443</v>
      </c>
      <c r="F67" s="10" t="s">
        <v>737</v>
      </c>
      <c r="H67" s="30" t="str">
        <f aca="false">IF($A67="","",IFERROR(IF(INDEX(campaigns!$B$2:$B$51,MATCH($A67,campaigns!$A$2:$A$51,0))="","",INDEX(campaigns!$B$2:$B$51,MATCH($A67,campaigns!$A$2:$A$51,0))),""))</f>
        <v>SAMPLE-DRP-004</v>
      </c>
      <c r="I67" s="31" t="n">
        <f aca="false">IF($A67="","",IFERROR(IF(INDEX(campaigns!$BG$2:$BG$51,MATCH($A67,campaigns!$A$2:$A$51,0))="","",INDEX(campaigns!$BG$2:$BG$51,MATCH($A67,campaigns!$A$2:$A$51,0))),""))</f>
        <v>46469</v>
      </c>
      <c r="J67" s="30" t="str">
        <f aca="false">IF($A67="","",IFERROR(IF(INDEX(campaigns!$BE$2:$BE$51,MATCH($A67,campaigns!$A$2:$A$51,0))="","",INDEX(campaigns!$BE$2:$BE$51,MATCH($A67,campaigns!$A$2:$A$51,0))),""))</f>
        <v>SAMPLE Tallgrass</v>
      </c>
      <c r="K67" s="30" t="str">
        <f aca="false">IF($B67="","",IFERROR(IF(INDEX(offices!$O$2:$O$61,MATCH($B67,offices!$A$2:$A$61,0))="","",INDEX(offices!$O$2:$O$61,MATCH($B67,offices!$A$2:$A$61,0))),""))</f>
        <v>SAMPLE Kestrel Analytics</v>
      </c>
      <c r="L67" s="30" t="n">
        <f aca="false">IF($A67="","",IF($Q67="N","",COUNTIFS($A$2:$A67,$A67,$Q$2:$Q67,"&lt;&gt;N")))</f>
        <v>6</v>
      </c>
      <c r="M67" s="30" t="str">
        <f aca="false">IF(OR($A67="",$L67=""),"",IF(AND(config!$B$34="names_if_public",IFERROR(IF(INDEX(offices!$AG$2:$AG$61,MATCH($B67,offices!$A$2:$A$61,0))="","",INDEX(offices!$AG$2:$AG$61,MATCH($B67,offices!$A$2:$A$61,0))),"")="Y"),$K67,CHAR(64+$L67)))</f>
        <v>F</v>
      </c>
      <c r="N67" s="30" t="n">
        <f aca="false">IF(OR($A67="",$I67=""),"",COUNTIFS(stops!$B$2:$B$151,$B67,stops!$P$2:$P$151,"&lt;"&amp;$I67,stops!$L$2:$L$151,"&lt;&gt;not_delivered")+1)</f>
        <v>3</v>
      </c>
      <c r="O67" s="30" t="str">
        <f aca="false">IF($A67="","",IF(N($N67)&lt;=config!$B$29,"explicit","opt-out"))</f>
        <v>explicit</v>
      </c>
      <c r="P67" s="30" t="str">
        <f aca="false">IF($A67="","",IF($O67="explicit",IF($D67="yes","Y",IF($D67="no","N","pending")),IF($D67="no","N",IF(AND($C67&lt;&gt;"",$I67&lt;&gt;"",$C67&lt;=WORKDAY(N($I67),-5,calendar!$A$2:$A$80)),"Y","pending"))))</f>
        <v>Y</v>
      </c>
      <c r="Q67" s="30" t="str">
        <f aca="false">IF($A67="","",IF($P67="N","N",IF($P67&lt;&gt;"Y","pending",IF(AND((COUNTIFS(stops!$A$2:$A$151,$H67,stops!$B$2:$B$151,$B67,stops!$L$2:$L$151,"declined")+COUNTIFS(stops!$A$2:$A$151,$H67,stops!$B$2:$B$151,$B67,stops!$L$2:$L$151,"building_refused")+COUNTIFS(stops!$A$2:$A$151,$H67,stops!$B$2:$B$151,$B67,stops!$L$2:$L$151,"not_delivered"))&gt;0,N($U67)=0),"N","Y"))))</f>
        <v>Y</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n">
        <f aca="false">IF($A67="","",IF($G67&lt;&gt;"",$G67,IFERROR(IF(INDEX(offices!$AM$2:$AM$61,MATCH($B67,offices!$A$2:$A$61,0))="","",INDEX(offices!$AM$2:$AM$61,MATCH($B67,offices!$A$2:$A$61,0))),"")))</f>
        <v>45</v>
      </c>
      <c r="T67" s="30" t="str">
        <f aca="false">IF($A67="","",$A67&amp;"."&amp;$B67)</f>
        <v>SAMPLE-CMP-008.SAMPLE-O-006</v>
      </c>
      <c r="U67" s="30" t="n">
        <f aca="false">IF($A67="","",SUMIFS(inventory!$G$2:$G$801,inventory!$C$2:$C$801,$A67,inventory!$D$2:$D$801,$B67,inventory!$E$2:$E$801,"delivered"))</f>
        <v>45</v>
      </c>
      <c r="V67" s="37" t="n">
        <f aca="false">IF($A67="","",IFERROR(1/(1/SUMPRODUCT(MAX((inventory!$C$2:$C$801=$A67)*(inventory!$D$2:$D$801=$B67)*(inventory!$E$2:$E$801="delivered")*(inventory!$A$2:$A$801+inventory!$B$2:$B$801)))),""))</f>
        <v>46469.4277777778</v>
      </c>
      <c r="W67" s="30" t="str">
        <f aca="false">IF($A67="","",IFERROR(IF(INDEX(inventory!$J$2:$J$801,MATCH($A67&amp;"|"&amp;$B67&amp;"|delivered",inventory!$R$2:$R$801,0))="","",INDEX(inventory!$J$2:$J$801,MATCH($A67&amp;"|"&amp;$B67&amp;"|delivered",inventory!$R$2:$R$801,0))),""))</f>
        <v>office_count</v>
      </c>
      <c r="X67" s="30" t="str">
        <f aca="false">IF($A67="","",IFERROR(IF(INDEX(photos!$H$2:$H$701,MATCH($A67&amp;"|"&amp;$B67&amp;"|placement|Y",photos!$R$2:$R$701,0))="","",INDEX(photos!$H$2:$H$701,MATCH($A67&amp;"|"&amp;$B67&amp;"|placement|Y",photos!$R$2:$R$701,0))),""))</f>
        <v>SAMPLE-CMP-008_SAMPLE-O-006_placement_2027-03-23.jpg</v>
      </c>
      <c r="Y67" s="31" t="n">
        <f aca="false">IF($A67="","",IFERROR(IF(INDEX(photos!$E$2:$E$701,MATCH($A67&amp;"|"&amp;$B67&amp;"|placement|Y",photos!$R$2:$R$701,0))="","",INDEX(photos!$E$2:$E$701,MATCH($A67&amp;"|"&amp;$B67&amp;"|placement|Y",photos!$R$2:$R$701,0))),""))</f>
        <v>46469</v>
      </c>
      <c r="Z67" s="30" t="n">
        <f aca="false">IF($A67="","",IF(COUNTIFS(counts!$C$2:$C$701,$A67,counts!$D$2:$D$701,$B67,counts!$E$2:$E$701,"placed")=0,"",SUMIFS(counts!$F$2:$F$701,counts!$C$2:$C$701,$A67,counts!$D$2:$D$701,$B67,counts!$E$2:$E$701,"placed")))</f>
        <v>45</v>
      </c>
      <c r="AA67" s="30" t="n">
        <f aca="false">IF($A67="","",IF($Y67="",0,N($Z67)))</f>
        <v>45</v>
      </c>
      <c r="AB67" s="30" t="str">
        <f aca="false">IF($A67="","",IF(OR($Y67="",$I67=""),"N",IF($Y67&lt;=WORKDAY(N($I67),1,calendar!$A$2:$A$80),"Y","N")))</f>
        <v>Y</v>
      </c>
      <c r="AC67" s="33" t="n">
        <f aca="false">IF(OR($A67="",$V67="",$Y67=""),"",ROUND(($Y67+N(IFERROR(IF(INDEX(photos!$F$2:$F$701,MATCH($A67&amp;"|"&amp;$B67&amp;"|placement|Y",photos!$R$2:$R$701,0))="","",INDEX(photos!$F$2:$F$701,MATCH($A67&amp;"|"&amp;$B67&amp;"|placement|Y",photos!$R$2:$R$701,0))),""))-$V67)*24,1))</f>
        <v>2.7</v>
      </c>
      <c r="AD67" s="30" t="n">
        <f aca="false">IF($A67="","",SUMIFS(inventory!$G$2:$G$801,inventory!$C$2:$C$801,$A67,inventory!$D$2:$D$801,$B67,inventory!$E$2:$E$801,"topped_up"))</f>
        <v>0</v>
      </c>
      <c r="AE67" s="30" t="n">
        <f aca="false">IF($A67="","",IF(COUNTIFS(counts!$C$2:$C$701,$A67,counts!$D$2:$D$701,$B67,counts!$E$2:$E$701,"remaining_day3")=0,"",SUMIFS(counts!$F$2:$F$701,counts!$C$2:$C$701,$A67,counts!$D$2:$D$701,$B67,counts!$E$2:$E$701,"remaining_day3")))</f>
        <v>19</v>
      </c>
      <c r="AF67" s="30" t="n">
        <f aca="false">IF($A67="","",IF(COUNTIFS(counts!$C$2:$C$701,$A67,counts!$D$2:$D$701,$B67,counts!$E$2:$E$701,"remaining_day5")=0,"",SUMIFS(counts!$F$2:$F$701,counts!$C$2:$C$701,$A67,counts!$D$2:$D$701,$B67,counts!$E$2:$E$701,"remaining_day5")))</f>
        <v>4</v>
      </c>
      <c r="AG67" s="30" t="n">
        <f aca="false">IF(OR($A67="",$AF67=""),"",MAX(0,$AA67+$AD67-$AF67))</f>
        <v>41</v>
      </c>
      <c r="AH67" s="30" t="str">
        <f aca="false">IF(OR($A67="",$AI67=""),"",IFERROR(IF(INDEX(photos!$H$2:$H$701,MATCH($A67&amp;"|"&amp;$B67&amp;"|later|Y|"&amp;$AI67,photos!$S$2:$S$701,0))="","",INDEX(photos!$H$2:$H$701,MATCH($A67&amp;"|"&amp;$B67&amp;"|later|Y|"&amp;$AI67,photos!$S$2:$S$701,0))),""))</f>
        <v>SAMPLE-CMP-008_SAMPLE-O-006_later_2027-03-29.jpg</v>
      </c>
      <c r="AI67" s="31" t="n">
        <f aca="false">IF($A67="","",IFERROR(1/(1/SUMPRODUCT(MAX((photos!$B$2:$B$701=$A67)*(photos!$C$2:$C$701=$B67)*(photos!$D$2:$D$701="later")*(photos!$O$2:$O$701="Y")*photos!$E$2:$E$701))),""))</f>
        <v>46475</v>
      </c>
      <c r="AJ67" s="30" t="n">
        <f aca="false">IF(OR($A67="",$AI67="",$I67=""),"",NETWORKDAYS($I67,$AI67,calendar!$A$2:$A$80))</f>
        <v>5</v>
      </c>
      <c r="AK67" s="30" t="str">
        <f aca="false">IF($A67="","",IF(AND($X67&lt;&gt;"",$AH67&lt;&gt;""),"Y","N"))</f>
        <v>Y</v>
      </c>
      <c r="AL67" s="30" t="n">
        <f aca="true">IF(OR($A67="",$I67=""),"",IF($BC67="Y",SUMIFS(survey_frozen!$C$2:$C$251,survey_frozen!$P$2:$P$251,$A67&amp;"|"&amp;$B67),IFERROR(COUNTIFS(INDIRECT("'"&amp;$A67&amp;"'!$B$2:$B$501"),$T67,INDIRECT("'"&amp;$A67&amp;"'!$A$2:$A$501"),"&gt;="&amp;$I67,INDIRECT("'"&amp;$A67&amp;"'!$A$2:$A$501"),"&lt;"&amp;($BA67+1)),0)))</f>
        <v>6</v>
      </c>
      <c r="AM67" s="30" t="n">
        <f aca="true">IF(OR($A67="",$I67=""),"",IF($BC67="Y",SUMIFS(survey_frozen!$D$2:$D$251,survey_frozen!$P$2:$P$251,$A67&amp;"|"&amp;$B67),IFERROR(COUNTIFS(INDIRECT("'"&amp;$A67&amp;"'!$B$2:$B$501"),$T67,INDIRECT("'"&amp;$A67&amp;"'!$A$2:$A$501"),"&gt;="&amp;$I67,INDIRECT("'"&amp;$A67&amp;"'!$A$2:$A$501"),"&lt;"&amp;($BA67+1),INDIRECT("'"&amp;$A67&amp;"'!$C$2:$C$501"),"Yes"),0)))</f>
        <v>3</v>
      </c>
      <c r="AN67" s="30" t="n">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12</v>
      </c>
      <c r="AO67" s="30" t="n">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5</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n">
        <f aca="true">IF(OR($A67="",$I67=""),"",IF($BC67="Y",SUMIFS(survey_frozen!$E$2:$E$251,survey_frozen!$P$2:$P$251,$A67&amp;"|"&amp;$B67),IFERROR(COUNTIFS(INDIRECT("'"&amp;$A67&amp;"'!$B$2:$B$501"),$T67,INDIRECT("'"&amp;$A67&amp;"'!$A$2:$A$501"),"&gt;="&amp;$I67,INDIRECT("'"&amp;$A67&amp;"'!$A$2:$A$501"),"&lt;"&amp;($BA67+1),INDIRECT("'"&amp;$A67&amp;"'!$F$2:$F$501"),"Didn't see it"),0)))</f>
        <v>1</v>
      </c>
      <c r="AR67" s="30" t="n">
        <f aca="true">IF(OR($A67="",$I67=""),"",IF($BC67="Y",SUMIFS(survey_frozen!$F$2:$F$251,survey_frozen!$P$2:$P$251,$A67&amp;"|"&amp;$B67),IFERROR(COUNTIFS(INDIRECT("'"&amp;$A67&amp;"'!$B$2:$B$501"),$T67,INDIRECT("'"&amp;$A67&amp;"'!$A$2:$A$501"),"&gt;="&amp;$I67,INDIRECT("'"&amp;$A67&amp;"'!$A$2:$A$501"),"&lt;"&amp;($BA67+1),INDIRECT("'"&amp;$A67&amp;"'!$F$2:$F$501"),"Not for me"),0)))</f>
        <v>1</v>
      </c>
      <c r="AS67" s="30" t="n">
        <f aca="true">IF(OR($A67="",$I67=""),"",IF($BC67="Y",SUMIFS(survey_frozen!$G$2:$G$251,survey_frozen!$P$2:$P$251,$A67&amp;"|"&amp;$B67),IFERROR(COUNTIFS(INDIRECT("'"&amp;$A67&amp;"'!$B$2:$B$501"),$T67,INDIRECT("'"&amp;$A67&amp;"'!$A$2:$A$501"),"&gt;="&amp;$I67,INDIRECT("'"&amp;$A67&amp;"'!$A$2:$A$501"),"&lt;"&amp;($BA67+1),INDIRECT("'"&amp;$A67&amp;"'!$F$2:$F$501"),"Gone by the time I looked"),0)))</f>
        <v>1</v>
      </c>
      <c r="AT67" s="30" t="n">
        <f aca="true">IF(OR($A67="",$I67=""),"",IF($BC67="Y",SUMIFS(survey_frozen!$H$2:$H$251,survey_frozen!$P$2:$P$251,$A67&amp;"|"&amp;$B67),IFERROR(COUNTIFS(INDIRECT("'"&amp;$A67&amp;"'!$B$2:$B$501"),$T67,INDIRECT("'"&amp;$A67&amp;"'!$A$2:$A$501"),"&gt;="&amp;$I67,INDIRECT("'"&amp;$A67&amp;"'!$A$2:$A$501"),"&lt;"&amp;($BA67+1),INDIRECT("'"&amp;$A67&amp;"'!$D$2:$D$501"),"&gt;=1"),0)))</f>
        <v>3</v>
      </c>
      <c r="AU67" s="30" t="n">
        <f aca="true">IF(OR($A67="",$I67=""),"",IF($BC67="Y",SUMIFS(survey_frozen!$I$2:$I$251,survey_frozen!$P$2:$P$251,$A67&amp;"|"&amp;$B67),IFERROR(SUMIFS(INDIRECT("'"&amp;$A67&amp;"'!$D$2:$D$501"),INDIRECT("'"&amp;$A67&amp;"'!$B$2:$B$501"),$T67,INDIRECT("'"&amp;$A67&amp;"'!$A$2:$A$501"),"&gt;="&amp;$I67,INDIRECT("'"&amp;$A67&amp;"'!$A$2:$A$501"),"&lt;"&amp;($BA67+1)),0)))</f>
        <v>14</v>
      </c>
      <c r="AV67" s="30" t="n">
        <f aca="true">IF(OR($A67="",$I67=""),"",IF($BC67="Y",SUMIFS(survey_frozen!$J$2:$J$251,survey_frozen!$P$2:$P$251,$A67&amp;"|"&amp;$B67),IFERROR(COUNTIFS(INDIRECT("'"&amp;$A67&amp;"'!$B$2:$B$501"),$T67,INDIRECT("'"&amp;$A67&amp;"'!$A$2:$A$501"),"&gt;="&amp;$I67,INDIRECT("'"&amp;$A67&amp;"'!$A$2:$A$501"),"&lt;"&amp;($BA67+1),INDIRECT("'"&amp;$A67&amp;"'!$E$2:$E$501"),"Yes"),0)))</f>
        <v>0</v>
      </c>
      <c r="AW67" s="30" t="n">
        <f aca="true">IF(OR($A67="",$I67=""),"",IF($BC67="Y",SUMIFS(survey_frozen!$K$2:$K$251,survey_frozen!$P$2:$P$251,$A67&amp;"|"&amp;$B67),IFERROR(COUNTIFS(INDIRECT("'"&amp;$A67&amp;"'!$B$2:$B$501"),$T67,INDIRECT("'"&amp;$A67&amp;"'!$A$2:$A$501"),"&gt;="&amp;$I67,INDIRECT("'"&amp;$A67&amp;"'!$A$2:$A$501"),"&lt;"&amp;($BA67+1),INDIRECT("'"&amp;$A67&amp;"'!$E$2:$E$501"),"Maybe"),0)))</f>
        <v>2</v>
      </c>
      <c r="AX67" s="30" t="n">
        <f aca="true">IF(OR($A67="",$I67=""),"",IF($BC67="Y",SUMIFS(survey_frozen!$L$2:$L$251,survey_frozen!$P$2:$P$251,$A67&amp;"|"&amp;$B67),IFERROR(COUNTIFS(INDIRECT("'"&amp;$A67&amp;"'!$B$2:$B$501"),$T67,INDIRECT("'"&amp;$A67&amp;"'!$A$2:$A$501"),"&gt;="&amp;$I67,INDIRECT("'"&amp;$A67&amp;"'!$A$2:$A$501"),"&lt;"&amp;($BA67+1),INDIRECT("'"&amp;$A67&amp;"'!$E$2:$E$501"),"No"),0)))</f>
        <v>1</v>
      </c>
      <c r="AY67" s="30" t="n">
        <f aca="true">IF(OR($A67="",$I67=""),"",IF($BC67="Y",SUMIFS(survey_frozen!$M$2:$M$251,survey_frozen!$P$2:$P$251,$A67&amp;"|"&amp;$B67),IFERROR(COUNTIFS(INDIRECT("'"&amp;$A67&amp;"'!$B$2:$B$501"),$T67,INDIRECT("'"&amp;$A67&amp;"'!$A$2:$A$501"),"&gt;="&amp;$I67,INDIRECT("'"&amp;$A67&amp;"'!$A$2:$A$501"),"&lt;"&amp;($BA67+1),INDIRECT("'"&amp;$A67&amp;"'!$G$2:$G$501"),"&lt;&gt;"),0)))</f>
        <v>2</v>
      </c>
      <c r="AZ67" s="30" t="str">
        <f aca="false">IF($A67="","",$A67&amp;"|"&amp;$L67)</f>
        <v>SAMPLE-CMP-008|6</v>
      </c>
      <c r="BA67" s="31" t="n">
        <f aca="false">IF($A67="","",IFERROR(IF(INDEX(drops!$R$2:$R$21,MATCH($H67,drops!$A$2:$A$21,0))="","",INDEX(drops!$R$2:$R$21,MATCH($H67,drops!$A$2:$A$21,0))),""))</f>
        <v>46475</v>
      </c>
      <c r="BB67" s="30" t="n">
        <f aca="false">IF(OR($A67="",$Q67&lt;&gt;"Y"),1000000,N($AL67))</f>
        <v>6</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A68" s="0" t="s">
        <v>584</v>
      </c>
      <c r="B68" s="0" t="s">
        <v>692</v>
      </c>
      <c r="C68" s="11" t="n">
        <v>46442</v>
      </c>
      <c r="D68" s="10" t="s">
        <v>496</v>
      </c>
      <c r="E68" s="11" t="n">
        <v>46443</v>
      </c>
      <c r="F68" s="10" t="s">
        <v>737</v>
      </c>
      <c r="H68" s="30" t="str">
        <f aca="false">IF($A68="","",IFERROR(IF(INDEX(campaigns!$B$2:$B$51,MATCH($A68,campaigns!$A$2:$A$51,0))="","",INDEX(campaigns!$B$2:$B$51,MATCH($A68,campaigns!$A$2:$A$51,0))),""))</f>
        <v>SAMPLE-DRP-004</v>
      </c>
      <c r="I68" s="31" t="n">
        <f aca="false">IF($A68="","",IFERROR(IF(INDEX(campaigns!$BG$2:$BG$51,MATCH($A68,campaigns!$A$2:$A$51,0))="","",INDEX(campaigns!$BG$2:$BG$51,MATCH($A68,campaigns!$A$2:$A$51,0))),""))</f>
        <v>46469</v>
      </c>
      <c r="J68" s="30" t="str">
        <f aca="false">IF($A68="","",IFERROR(IF(INDEX(campaigns!$BE$2:$BE$51,MATCH($A68,campaigns!$A$2:$A$51,0))="","",INDEX(campaigns!$BE$2:$BE$51,MATCH($A68,campaigns!$A$2:$A$51,0))),""))</f>
        <v>SAMPLE Tallgrass</v>
      </c>
      <c r="K68" s="30" t="str">
        <f aca="false">IF($B68="","",IFERROR(IF(INDEX(offices!$O$2:$O$61,MATCH($B68,offices!$A$2:$A$61,0))="","",INDEX(offices!$O$2:$O$61,MATCH($B68,offices!$A$2:$A$61,0))),""))</f>
        <v>SAMPLE Brine &amp; Bell PR</v>
      </c>
      <c r="L68" s="30" t="n">
        <f aca="false">IF($A68="","",IF($Q68="N","",COUNTIFS($A$2:$A68,$A68,$Q$2:$Q68,"&lt;&gt;N")))</f>
        <v>7</v>
      </c>
      <c r="M68" s="30" t="str">
        <f aca="false">IF(OR($A68="",$L68=""),"",IF(AND(config!$B$34="names_if_public",IFERROR(IF(INDEX(offices!$AG$2:$AG$61,MATCH($B68,offices!$A$2:$A$61,0))="","",INDEX(offices!$AG$2:$AG$61,MATCH($B68,offices!$A$2:$A$61,0))),"")="Y"),$K68,CHAR(64+$L68)))</f>
        <v>G</v>
      </c>
      <c r="N68" s="30" t="n">
        <f aca="false">IF(OR($A68="",$I68=""),"",COUNTIFS(stops!$B$2:$B$151,$B68,stops!$P$2:$P$151,"&lt;"&amp;$I68,stops!$L$2:$L$151,"&lt;&gt;not_delivered")+1)</f>
        <v>3</v>
      </c>
      <c r="O68" s="30" t="str">
        <f aca="false">IF($A68="","",IF(N($N68)&lt;=config!$B$29,"explicit","opt-out"))</f>
        <v>explicit</v>
      </c>
      <c r="P68" s="30" t="str">
        <f aca="false">IF($A68="","",IF($O68="explicit",IF($D68="yes","Y",IF($D68="no","N","pending")),IF($D68="no","N",IF(AND($C68&lt;&gt;"",$I68&lt;&gt;"",$C68&lt;=WORKDAY(N($I68),-5,calendar!$A$2:$A$80)),"Y","pending"))))</f>
        <v>Y</v>
      </c>
      <c r="Q68" s="30" t="str">
        <f aca="false">IF($A68="","",IF($P68="N","N",IF($P68&lt;&gt;"Y","pending",IF(AND((COUNTIFS(stops!$A$2:$A$151,$H68,stops!$B$2:$B$151,$B68,stops!$L$2:$L$151,"declined")+COUNTIFS(stops!$A$2:$A$151,$H68,stops!$B$2:$B$151,$B68,stops!$L$2:$L$151,"building_refused")+COUNTIFS(stops!$A$2:$A$151,$H68,stops!$B$2:$B$151,$B68,stops!$L$2:$L$151,"not_delivered"))&gt;0,N($U68)=0),"N","Y"))))</f>
        <v>Y</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info: read the vetoes against the label; </v>
      </c>
      <c r="S68" s="30" t="n">
        <f aca="false">IF($A68="","",IF($G68&lt;&gt;"",$G68,IFERROR(IF(INDEX(offices!$AM$2:$AM$61,MATCH($B68,offices!$A$2:$A$61,0))="","",INDEX(offices!$AM$2:$AM$61,MATCH($B68,offices!$A$2:$A$61,0))),"")))</f>
        <v>60</v>
      </c>
      <c r="T68" s="30" t="str">
        <f aca="false">IF($A68="","",$A68&amp;"."&amp;$B68)</f>
        <v>SAMPLE-CMP-008.SAMPLE-O-007</v>
      </c>
      <c r="U68" s="30" t="n">
        <f aca="false">IF($A68="","",SUMIFS(inventory!$G$2:$G$801,inventory!$C$2:$C$801,$A68,inventory!$D$2:$D$801,$B68,inventory!$E$2:$E$801,"delivered"))</f>
        <v>60</v>
      </c>
      <c r="V68" s="37" t="n">
        <f aca="false">IF($A68="","",IFERROR(1/(1/SUMPRODUCT(MAX((inventory!$C$2:$C$801=$A68)*(inventory!$D$2:$D$801=$B68)*(inventory!$E$2:$E$801="delivered")*(inventory!$A$2:$A$801+inventory!$B$2:$B$801)))),""))</f>
        <v>46469.4284722222</v>
      </c>
      <c r="W68" s="30" t="str">
        <f aca="false">IF($A68="","",IFERROR(IF(INDEX(inventory!$J$2:$J$801,MATCH($A68&amp;"|"&amp;$B68&amp;"|delivered",inventory!$R$2:$R$801,0))="","",INDEX(inventory!$J$2:$J$801,MATCH($A68&amp;"|"&amp;$B68&amp;"|delivered",inventory!$R$2:$R$801,0))),""))</f>
        <v>office_count</v>
      </c>
      <c r="X68" s="30" t="str">
        <f aca="false">IF($A68="","",IFERROR(IF(INDEX(photos!$H$2:$H$701,MATCH($A68&amp;"|"&amp;$B68&amp;"|placement|Y",photos!$R$2:$R$701,0))="","",INDEX(photos!$H$2:$H$701,MATCH($A68&amp;"|"&amp;$B68&amp;"|placement|Y",photos!$R$2:$R$701,0))),""))</f>
        <v>SAMPLE-CMP-008_SAMPLE-O-007_placement_2027-03-23.jpg</v>
      </c>
      <c r="Y68" s="31" t="n">
        <f aca="false">IF($A68="","",IFERROR(IF(INDEX(photos!$E$2:$E$701,MATCH($A68&amp;"|"&amp;$B68&amp;"|placement|Y",photos!$R$2:$R$701,0))="","",INDEX(photos!$E$2:$E$701,MATCH($A68&amp;"|"&amp;$B68&amp;"|placement|Y",photos!$R$2:$R$701,0))),""))</f>
        <v>46469</v>
      </c>
      <c r="Z68" s="30" t="n">
        <f aca="false">IF($A68="","",IF(COUNTIFS(counts!$C$2:$C$701,$A68,counts!$D$2:$D$701,$B68,counts!$E$2:$E$701,"placed")=0,"",SUMIFS(counts!$F$2:$F$701,counts!$C$2:$C$701,$A68,counts!$D$2:$D$701,$B68,counts!$E$2:$E$701,"placed")))</f>
        <v>60</v>
      </c>
      <c r="AA68" s="30" t="n">
        <f aca="false">IF($A68="","",IF($Y68="",0,N($Z68)))</f>
        <v>60</v>
      </c>
      <c r="AB68" s="30" t="str">
        <f aca="false">IF($A68="","",IF(OR($Y68="",$I68=""),"N",IF($Y68&lt;=WORKDAY(N($I68),1,calendar!$A$2:$A$80),"Y","N")))</f>
        <v>Y</v>
      </c>
      <c r="AC68" s="33" t="n">
        <f aca="false">IF(OR($A68="",$V68="",$Y68=""),"",ROUND(($Y68+N(IFERROR(IF(INDEX(photos!$F$2:$F$701,MATCH($A68&amp;"|"&amp;$B68&amp;"|placement|Y",photos!$R$2:$R$701,0))="","",INDEX(photos!$F$2:$F$701,MATCH($A68&amp;"|"&amp;$B68&amp;"|placement|Y",photos!$R$2:$R$701,0))),""))-$V68)*24,1))</f>
        <v>2.7</v>
      </c>
      <c r="AD68" s="30" t="n">
        <f aca="false">IF($A68="","",SUMIFS(inventory!$G$2:$G$801,inventory!$C$2:$C$801,$A68,inventory!$D$2:$D$801,$B68,inventory!$E$2:$E$801,"topped_up"))</f>
        <v>0</v>
      </c>
      <c r="AE68" s="30" t="n">
        <f aca="false">IF($A68="","",IF(COUNTIFS(counts!$C$2:$C$701,$A68,counts!$D$2:$D$701,$B68,counts!$E$2:$E$701,"remaining_day3")=0,"",SUMIFS(counts!$F$2:$F$701,counts!$C$2:$C$701,$A68,counts!$D$2:$D$701,$B68,counts!$E$2:$E$701,"remaining_day3")))</f>
        <v>19</v>
      </c>
      <c r="AF68" s="30" t="n">
        <f aca="false">IF($A68="","",IF(COUNTIFS(counts!$C$2:$C$701,$A68,counts!$D$2:$D$701,$B68,counts!$E$2:$E$701,"remaining_day5")=0,"",SUMIFS(counts!$F$2:$F$701,counts!$C$2:$C$701,$A68,counts!$D$2:$D$701,$B68,counts!$E$2:$E$701,"remaining_day5")))</f>
        <v>2</v>
      </c>
      <c r="AG68" s="30" t="n">
        <f aca="false">IF(OR($A68="",$AF68=""),"",MAX(0,$AA68+$AD68-$AF68))</f>
        <v>58</v>
      </c>
      <c r="AH68" s="30" t="str">
        <f aca="false">IF(OR($A68="",$AI68=""),"",IFERROR(IF(INDEX(photos!$H$2:$H$701,MATCH($A68&amp;"|"&amp;$B68&amp;"|later|Y|"&amp;$AI68,photos!$S$2:$S$701,0))="","",INDEX(photos!$H$2:$H$701,MATCH($A68&amp;"|"&amp;$B68&amp;"|later|Y|"&amp;$AI68,photos!$S$2:$S$701,0))),""))</f>
        <v>SAMPLE-CMP-008_SAMPLE-O-007_later_2027-03-29.jpg</v>
      </c>
      <c r="AI68" s="31" t="n">
        <f aca="false">IF($A68="","",IFERROR(1/(1/SUMPRODUCT(MAX((photos!$B$2:$B$701=$A68)*(photos!$C$2:$C$701=$B68)*(photos!$D$2:$D$701="later")*(photos!$O$2:$O$701="Y")*photos!$E$2:$E$701))),""))</f>
        <v>46475</v>
      </c>
      <c r="AJ68" s="30" t="n">
        <f aca="false">IF(OR($A68="",$AI68="",$I68=""),"",NETWORKDAYS($I68,$AI68,calendar!$A$2:$A$80))</f>
        <v>5</v>
      </c>
      <c r="AK68" s="30" t="str">
        <f aca="false">IF($A68="","",IF(AND($X68&lt;&gt;"",$AH68&lt;&gt;""),"Y","N"))</f>
        <v>Y</v>
      </c>
      <c r="AL68" s="30" t="n">
        <f aca="true">IF(OR($A68="",$I68=""),"",IF($BC68="Y",SUMIFS(survey_frozen!$C$2:$C$251,survey_frozen!$P$2:$P$251,$A68&amp;"|"&amp;$B68),IFERROR(COUNTIFS(INDIRECT("'"&amp;$A68&amp;"'!$B$2:$B$501"),$T68,INDIRECT("'"&amp;$A68&amp;"'!$A$2:$A$501"),"&gt;="&amp;$I68,INDIRECT("'"&amp;$A68&amp;"'!$A$2:$A$501"),"&lt;"&amp;($BA68+1)),0)))</f>
        <v>8</v>
      </c>
      <c r="AM68" s="30" t="n">
        <f aca="true">IF(OR($A68="",$I68=""),"",IF($BC68="Y",SUMIFS(survey_frozen!$D$2:$D$251,survey_frozen!$P$2:$P$251,$A68&amp;"|"&amp;$B68),IFERROR(COUNTIFS(INDIRECT("'"&amp;$A68&amp;"'!$B$2:$B$501"),$T68,INDIRECT("'"&amp;$A68&amp;"'!$A$2:$A$501"),"&gt;="&amp;$I68,INDIRECT("'"&amp;$A68&amp;"'!$A$2:$A$501"),"&lt;"&amp;($BA68+1),INDIRECT("'"&amp;$A68&amp;"'!$C$2:$C$501"),"Yes"),0)))</f>
        <v>4</v>
      </c>
      <c r="AN68" s="30" t="n">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4</v>
      </c>
      <c r="AO68" s="30" t="n">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7</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info: read the vetoes against the label; </v>
      </c>
      <c r="AQ68" s="30" t="n">
        <f aca="true">IF(OR($A68="",$I68=""),"",IF($BC68="Y",SUMIFS(survey_frozen!$E$2:$E$251,survey_frozen!$P$2:$P$251,$A68&amp;"|"&amp;$B68),IFERROR(COUNTIFS(INDIRECT("'"&amp;$A68&amp;"'!$B$2:$B$501"),$T68,INDIRECT("'"&amp;$A68&amp;"'!$A$2:$A$501"),"&gt;="&amp;$I68,INDIRECT("'"&amp;$A68&amp;"'!$A$2:$A$501"),"&lt;"&amp;($BA68+1),INDIRECT("'"&amp;$A68&amp;"'!$F$2:$F$501"),"Didn't see it"),0)))</f>
        <v>1</v>
      </c>
      <c r="AR68" s="30" t="n">
        <f aca="true">IF(OR($A68="",$I68=""),"",IF($BC68="Y",SUMIFS(survey_frozen!$F$2:$F$251,survey_frozen!$P$2:$P$251,$A68&amp;"|"&amp;$B68),IFERROR(COUNTIFS(INDIRECT("'"&amp;$A68&amp;"'!$B$2:$B$501"),$T68,INDIRECT("'"&amp;$A68&amp;"'!$A$2:$A$501"),"&gt;="&amp;$I68,INDIRECT("'"&amp;$A68&amp;"'!$A$2:$A$501"),"&lt;"&amp;($BA68+1),INDIRECT("'"&amp;$A68&amp;"'!$F$2:$F$501"),"Not for me"),0)))</f>
        <v>1</v>
      </c>
      <c r="AS68" s="30" t="n">
        <f aca="true">IF(OR($A68="",$I68=""),"",IF($BC68="Y",SUMIFS(survey_frozen!$G$2:$G$251,survey_frozen!$P$2:$P$251,$A68&amp;"|"&amp;$B68),IFERROR(COUNTIFS(INDIRECT("'"&amp;$A68&amp;"'!$B$2:$B$501"),$T68,INDIRECT("'"&amp;$A68&amp;"'!$A$2:$A$501"),"&gt;="&amp;$I68,INDIRECT("'"&amp;$A68&amp;"'!$A$2:$A$501"),"&lt;"&amp;($BA68+1),INDIRECT("'"&amp;$A68&amp;"'!$F$2:$F$501"),"Gone by the time I looked"),0)))</f>
        <v>2</v>
      </c>
      <c r="AT68" s="30" t="n">
        <f aca="true">IF(OR($A68="",$I68=""),"",IF($BC68="Y",SUMIFS(survey_frozen!$H$2:$H$251,survey_frozen!$P$2:$P$251,$A68&amp;"|"&amp;$B68),IFERROR(COUNTIFS(INDIRECT("'"&amp;$A68&amp;"'!$B$2:$B$501"),$T68,INDIRECT("'"&amp;$A68&amp;"'!$A$2:$A$501"),"&gt;="&amp;$I68,INDIRECT("'"&amp;$A68&amp;"'!$A$2:$A$501"),"&lt;"&amp;($BA68+1),INDIRECT("'"&amp;$A68&amp;"'!$D$2:$D$501"),"&gt;=1"),0)))</f>
        <v>4</v>
      </c>
      <c r="AU68" s="30" t="n">
        <f aca="true">IF(OR($A68="",$I68=""),"",IF($BC68="Y",SUMIFS(survey_frozen!$I$2:$I$251,survey_frozen!$P$2:$P$251,$A68&amp;"|"&amp;$B68),IFERROR(SUMIFS(INDIRECT("'"&amp;$A68&amp;"'!$D$2:$D$501"),INDIRECT("'"&amp;$A68&amp;"'!$B$2:$B$501"),$T68,INDIRECT("'"&amp;$A68&amp;"'!$A$2:$A$501"),"&gt;="&amp;$I68,INDIRECT("'"&amp;$A68&amp;"'!$A$2:$A$501"),"&lt;"&amp;($BA68+1)),0)))</f>
        <v>15</v>
      </c>
      <c r="AV68" s="30" t="n">
        <f aca="true">IF(OR($A68="",$I68=""),"",IF($BC68="Y",SUMIFS(survey_frozen!$J$2:$J$251,survey_frozen!$P$2:$P$251,$A68&amp;"|"&amp;$B68),IFERROR(COUNTIFS(INDIRECT("'"&amp;$A68&amp;"'!$B$2:$B$501"),$T68,INDIRECT("'"&amp;$A68&amp;"'!$A$2:$A$501"),"&gt;="&amp;$I68,INDIRECT("'"&amp;$A68&amp;"'!$A$2:$A$501"),"&lt;"&amp;($BA68+1),INDIRECT("'"&amp;$A68&amp;"'!$E$2:$E$501"),"Yes"),0)))</f>
        <v>1</v>
      </c>
      <c r="AW68" s="30" t="n">
        <f aca="true">IF(OR($A68="",$I68=""),"",IF($BC68="Y",SUMIFS(survey_frozen!$K$2:$K$251,survey_frozen!$P$2:$P$251,$A68&amp;"|"&amp;$B68),IFERROR(COUNTIFS(INDIRECT("'"&amp;$A68&amp;"'!$B$2:$B$501"),$T68,INDIRECT("'"&amp;$A68&amp;"'!$A$2:$A$501"),"&gt;="&amp;$I68,INDIRECT("'"&amp;$A68&amp;"'!$A$2:$A$501"),"&lt;"&amp;($BA68+1),INDIRECT("'"&amp;$A68&amp;"'!$E$2:$E$501"),"Maybe"),0)))</f>
        <v>2</v>
      </c>
      <c r="AX68" s="30" t="n">
        <f aca="true">IF(OR($A68="",$I68=""),"",IF($BC68="Y",SUMIFS(survey_frozen!$L$2:$L$251,survey_frozen!$P$2:$P$251,$A68&amp;"|"&amp;$B68),IFERROR(COUNTIFS(INDIRECT("'"&amp;$A68&amp;"'!$B$2:$B$501"),$T68,INDIRECT("'"&amp;$A68&amp;"'!$A$2:$A$501"),"&gt;="&amp;$I68,INDIRECT("'"&amp;$A68&amp;"'!$A$2:$A$501"),"&lt;"&amp;($BA68+1),INDIRECT("'"&amp;$A68&amp;"'!$E$2:$E$501"),"No"),0)))</f>
        <v>1</v>
      </c>
      <c r="AY68" s="30" t="n">
        <f aca="true">IF(OR($A68="",$I68=""),"",IF($BC68="Y",SUMIFS(survey_frozen!$M$2:$M$251,survey_frozen!$P$2:$P$251,$A68&amp;"|"&amp;$B68),IFERROR(COUNTIFS(INDIRECT("'"&amp;$A68&amp;"'!$B$2:$B$501"),$T68,INDIRECT("'"&amp;$A68&amp;"'!$A$2:$A$501"),"&gt;="&amp;$I68,INDIRECT("'"&amp;$A68&amp;"'!$A$2:$A$501"),"&lt;"&amp;($BA68+1),INDIRECT("'"&amp;$A68&amp;"'!$G$2:$G$501"),"&lt;&gt;"),0)))</f>
        <v>2</v>
      </c>
      <c r="AZ68" s="30" t="str">
        <f aca="false">IF($A68="","",$A68&amp;"|"&amp;$L68)</f>
        <v>SAMPLE-CMP-008|7</v>
      </c>
      <c r="BA68" s="31" t="n">
        <f aca="false">IF($A68="","",IFERROR(IF(INDEX(drops!$R$2:$R$21,MATCH($H68,drops!$A$2:$A$21,0))="","",INDEX(drops!$R$2:$R$21,MATCH($H68,drops!$A$2:$A$21,0))),""))</f>
        <v>46475</v>
      </c>
      <c r="BB68" s="30" t="n">
        <f aca="false">IF(OR($A68="",$Q68&lt;&gt;"Y"),1000000,N($AL68))</f>
        <v>8</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A69" s="0" t="s">
        <v>584</v>
      </c>
      <c r="B69" s="0" t="s">
        <v>694</v>
      </c>
      <c r="C69" s="11" t="n">
        <v>46442</v>
      </c>
      <c r="D69" s="10" t="s">
        <v>496</v>
      </c>
      <c r="E69" s="11" t="n">
        <v>46443</v>
      </c>
      <c r="F69" s="10" t="s">
        <v>737</v>
      </c>
      <c r="H69" s="30" t="str">
        <f aca="false">IF($A69="","",IFERROR(IF(INDEX(campaigns!$B$2:$B$51,MATCH($A69,campaigns!$A$2:$A$51,0))="","",INDEX(campaigns!$B$2:$B$51,MATCH($A69,campaigns!$A$2:$A$51,0))),""))</f>
        <v>SAMPLE-DRP-004</v>
      </c>
      <c r="I69" s="31" t="n">
        <f aca="false">IF($A69="","",IFERROR(IF(INDEX(campaigns!$BG$2:$BG$51,MATCH($A69,campaigns!$A$2:$A$51,0))="","",INDEX(campaigns!$BG$2:$BG$51,MATCH($A69,campaigns!$A$2:$A$51,0))),""))</f>
        <v>46469</v>
      </c>
      <c r="J69" s="30" t="str">
        <f aca="false">IF($A69="","",IFERROR(IF(INDEX(campaigns!$BE$2:$BE$51,MATCH($A69,campaigns!$A$2:$A$51,0))="","",INDEX(campaigns!$BE$2:$BE$51,MATCH($A69,campaigns!$A$2:$A$51,0))),""))</f>
        <v>SAMPLE Tallgrass</v>
      </c>
      <c r="K69" s="30" t="str">
        <f aca="false">IF($B69="","",IFERROR(IF(INDEX(offices!$O$2:$O$61,MATCH($B69,offices!$A$2:$A$61,0))="","",INDEX(offices!$O$2:$O$61,MATCH($B69,offices!$A$2:$A$61,0))),""))</f>
        <v>SAMPLE Larch Legal</v>
      </c>
      <c r="L69" s="30" t="str">
        <f aca="false">IF($A69="","",IF($Q69="N","",COUNTIFS($A$2:$A69,$A69,$Q$2:$Q69,"&lt;&gt;N")))</f>
        <v/>
      </c>
      <c r="M69" s="30" t="str">
        <f aca="false">IF(OR($A69="",$L69=""),"",IF(AND(config!$B$34="names_if_public",IFERROR(IF(INDEX(offices!$AG$2:$AG$61,MATCH($B69,offices!$A$2:$A$61,0))="","",INDEX(offices!$AG$2:$AG$61,MATCH($B69,offices!$A$2:$A$61,0))),"")="Y"),$K69,CHAR(64+$L69)))</f>
        <v/>
      </c>
      <c r="N69" s="30" t="n">
        <f aca="false">IF(OR($A69="",$I69=""),"",COUNTIFS(stops!$B$2:$B$151,$B69,stops!$P$2:$P$151,"&lt;"&amp;$I69,stops!$L$2:$L$151,"&lt;&gt;not_delivered")+1)</f>
        <v>3</v>
      </c>
      <c r="O69" s="30" t="str">
        <f aca="false">IF($A69="","",IF(N($N69)&lt;=config!$B$29,"explicit","opt-out"))</f>
        <v>explicit</v>
      </c>
      <c r="P69" s="30" t="str">
        <f aca="false">IF($A69="","",IF($O69="explicit",IF($D69="yes","Y",IF($D69="no","N","pending")),IF($D69="no","N",IF(AND($C69&lt;&gt;"",$I69&lt;&gt;"",$C69&lt;=WORKDAY(N($I69),-5,calendar!$A$2:$A$80)),"Y","pending"))))</f>
        <v>Y</v>
      </c>
      <c r="Q69" s="30" t="str">
        <f aca="false">IF($A69="","",IF($P69="N","N",IF($P69&lt;&gt;"Y","pending",IF(AND((COUNTIFS(stops!$A$2:$A$151,$H69,stops!$B$2:$B$151,$B69,stops!$L$2:$L$151,"declined")+COUNTIFS(stops!$A$2:$A$151,$H69,stops!$B$2:$B$151,$B69,stops!$L$2:$L$151,"building_refused")+COUNTIFS(stops!$A$2:$A$151,$H69,stops!$B$2:$B$151,$B69,stops!$L$2:$L$151,"not_delivered"))&gt;0,N($U69)=0),"N","Y"))))</f>
        <v>N</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n">
        <f aca="false">IF($A69="","",IF($G69&lt;&gt;"",$G69,IFERROR(IF(INDEX(offices!$AM$2:$AM$61,MATCH($B69,offices!$A$2:$A$61,0))="","",INDEX(offices!$AM$2:$AM$61,MATCH($B69,offices!$A$2:$A$61,0))),"")))</f>
        <v>45</v>
      </c>
      <c r="T69" s="30" t="str">
        <f aca="false">IF($A69="","",$A69&amp;"."&amp;$B69)</f>
        <v>SAMPLE-CMP-008.SAMPLE-O-008</v>
      </c>
      <c r="U69" s="30" t="n">
        <f aca="false">IF($A69="","",SUMIFS(inventory!$G$2:$G$801,inventory!$C$2:$C$801,$A69,inventory!$D$2:$D$801,$B69,inventory!$E$2:$E$801,"delivered"))</f>
        <v>0</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n">
        <f aca="false">IF($A69="","",IF($Y69="",0,N($Z69)))</f>
        <v>0</v>
      </c>
      <c r="AB69" s="30" t="str">
        <f aca="false">IF($A69="","",IF(OR($Y69="",$I69=""),"N",IF($Y69&lt;=WORKDAY(N($I69),1,calendar!$A$2:$A$80),"Y","N")))</f>
        <v>N</v>
      </c>
      <c r="AC69" s="33" t="str">
        <f aca="false">IF(OR($A69="",$V69="",$Y69=""),"",ROUND(($Y69+N(IFERROR(IF(INDEX(photos!$F$2:$F$701,MATCH($A69&amp;"|"&amp;$B69&amp;"|placement|Y",photos!$R$2:$R$701,0))="","",INDEX(photos!$F$2:$F$701,MATCH($A69&amp;"|"&amp;$B69&amp;"|placement|Y",photos!$R$2:$R$701,0))),""))-$V69)*24,1))</f>
        <v/>
      </c>
      <c r="AD69" s="30" t="n">
        <f aca="false">IF($A69="","",SUMIFS(inventory!$G$2:$G$801,inventory!$C$2:$C$801,$A69,inventory!$D$2:$D$801,$B69,inventory!$E$2:$E$801,"topped_up"))</f>
        <v>0</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N</v>
      </c>
      <c r="AL69" s="30" t="n">
        <f aca="true">IF(OR($A69="",$I69=""),"",IF($BC69="Y",SUMIFS(survey_frozen!$C$2:$C$251,survey_frozen!$P$2:$P$251,$A69&amp;"|"&amp;$B69),IFERROR(COUNTIFS(INDIRECT("'"&amp;$A69&amp;"'!$B$2:$B$501"),$T69,INDIRECT("'"&amp;$A69&amp;"'!$A$2:$A$501"),"&gt;="&amp;$I69,INDIRECT("'"&amp;$A69&amp;"'!$A$2:$A$501"),"&lt;"&amp;($BA69+1)),0)))</f>
        <v>2</v>
      </c>
      <c r="AM69" s="30" t="n">
        <f aca="true">IF(OR($A69="",$I69=""),"",IF($BC69="Y",SUMIFS(survey_frozen!$D$2:$D$251,survey_frozen!$P$2:$P$251,$A69&amp;"|"&amp;$B69),IFERROR(COUNTIFS(INDIRECT("'"&amp;$A69&amp;"'!$B$2:$B$501"),$T69,INDIRECT("'"&amp;$A69&amp;"'!$A$2:$A$501"),"&gt;="&amp;$I69,INDIRECT("'"&amp;$A69&amp;"'!$A$2:$A$501"),"&lt;"&amp;($BA69+1),INDIRECT("'"&amp;$A69&amp;"'!$C$2:$C$501"),"Yes"),0)))</f>
        <v>0</v>
      </c>
      <c r="AN69" s="30" t="n">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0</v>
      </c>
      <c r="AO69" s="30" t="n">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3</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info: turned away at the door, so not on the drop (no letter, not in the report or Gate 2; the credit check is on campaigns); </v>
      </c>
      <c r="AQ69" s="30" t="n">
        <f aca="true">IF(OR($A69="",$I69=""),"",IF($BC69="Y",SUMIFS(survey_frozen!$E$2:$E$251,survey_frozen!$P$2:$P$251,$A69&amp;"|"&amp;$B69),IFERROR(COUNTIFS(INDIRECT("'"&amp;$A69&amp;"'!$B$2:$B$501"),$T69,INDIRECT("'"&amp;$A69&amp;"'!$A$2:$A$501"),"&gt;="&amp;$I69,INDIRECT("'"&amp;$A69&amp;"'!$A$2:$A$501"),"&lt;"&amp;($BA69+1),INDIRECT("'"&amp;$A69&amp;"'!$F$2:$F$501"),"Didn't see it"),0)))</f>
        <v>2</v>
      </c>
      <c r="AR69" s="30" t="n">
        <f aca="true">IF(OR($A69="",$I69=""),"",IF($BC69="Y",SUMIFS(survey_frozen!$F$2:$F$251,survey_frozen!$P$2:$P$251,$A69&amp;"|"&amp;$B69),IFERROR(COUNTIFS(INDIRECT("'"&amp;$A69&amp;"'!$B$2:$B$501"),$T69,INDIRECT("'"&amp;$A69&amp;"'!$A$2:$A$501"),"&gt;="&amp;$I69,INDIRECT("'"&amp;$A69&amp;"'!$A$2:$A$501"),"&lt;"&amp;($BA69+1),INDIRECT("'"&amp;$A69&amp;"'!$F$2:$F$501"),"Not for me"),0)))</f>
        <v>0</v>
      </c>
      <c r="AS69" s="30" t="n">
        <f aca="true">IF(OR($A69="",$I69=""),"",IF($BC69="Y",SUMIFS(survey_frozen!$G$2:$G$251,survey_frozen!$P$2:$P$251,$A69&amp;"|"&amp;$B69),IFERROR(COUNTIFS(INDIRECT("'"&amp;$A69&amp;"'!$B$2:$B$501"),$T69,INDIRECT("'"&amp;$A69&amp;"'!$A$2:$A$501"),"&gt;="&amp;$I69,INDIRECT("'"&amp;$A69&amp;"'!$A$2:$A$501"),"&lt;"&amp;($BA69+1),INDIRECT("'"&amp;$A69&amp;"'!$F$2:$F$501"),"Gone by the time I looked"),0)))</f>
        <v>0</v>
      </c>
      <c r="AT69" s="30" t="n">
        <f aca="true">IF(OR($A69="",$I69=""),"",IF($BC69="Y",SUMIFS(survey_frozen!$H$2:$H$251,survey_frozen!$P$2:$P$251,$A69&amp;"|"&amp;$B69),IFERROR(COUNTIFS(INDIRECT("'"&amp;$A69&amp;"'!$B$2:$B$501"),$T69,INDIRECT("'"&amp;$A69&amp;"'!$A$2:$A$501"),"&gt;="&amp;$I69,INDIRECT("'"&amp;$A69&amp;"'!$A$2:$A$501"),"&lt;"&amp;($BA69+1),INDIRECT("'"&amp;$A69&amp;"'!$D$2:$D$501"),"&gt;=1"),0)))</f>
        <v>0</v>
      </c>
      <c r="AU69" s="30" t="n">
        <f aca="true">IF(OR($A69="",$I69=""),"",IF($BC69="Y",SUMIFS(survey_frozen!$I$2:$I$251,survey_frozen!$P$2:$P$251,$A69&amp;"|"&amp;$B69),IFERROR(SUMIFS(INDIRECT("'"&amp;$A69&amp;"'!$D$2:$D$501"),INDIRECT("'"&amp;$A69&amp;"'!$B$2:$B$501"),$T69,INDIRECT("'"&amp;$A69&amp;"'!$A$2:$A$501"),"&gt;="&amp;$I69,INDIRECT("'"&amp;$A69&amp;"'!$A$2:$A$501"),"&lt;"&amp;($BA69+1)),0)))</f>
        <v>0</v>
      </c>
      <c r="AV69" s="30" t="n">
        <f aca="true">IF(OR($A69="",$I69=""),"",IF($BC69="Y",SUMIFS(survey_frozen!$J$2:$J$251,survey_frozen!$P$2:$P$251,$A69&amp;"|"&amp;$B69),IFERROR(COUNTIFS(INDIRECT("'"&amp;$A69&amp;"'!$B$2:$B$501"),$T69,INDIRECT("'"&amp;$A69&amp;"'!$A$2:$A$501"),"&gt;="&amp;$I69,INDIRECT("'"&amp;$A69&amp;"'!$A$2:$A$501"),"&lt;"&amp;($BA69+1),INDIRECT("'"&amp;$A69&amp;"'!$E$2:$E$501"),"Yes"),0)))</f>
        <v>0</v>
      </c>
      <c r="AW69" s="30" t="n">
        <f aca="true">IF(OR($A69="",$I69=""),"",IF($BC69="Y",SUMIFS(survey_frozen!$K$2:$K$251,survey_frozen!$P$2:$P$251,$A69&amp;"|"&amp;$B69),IFERROR(COUNTIFS(INDIRECT("'"&amp;$A69&amp;"'!$B$2:$B$501"),$T69,INDIRECT("'"&amp;$A69&amp;"'!$A$2:$A$501"),"&gt;="&amp;$I69,INDIRECT("'"&amp;$A69&amp;"'!$A$2:$A$501"),"&lt;"&amp;($BA69+1),INDIRECT("'"&amp;$A69&amp;"'!$E$2:$E$501"),"Maybe"),0)))</f>
        <v>0</v>
      </c>
      <c r="AX69" s="30" t="n">
        <f aca="true">IF(OR($A69="",$I69=""),"",IF($BC69="Y",SUMIFS(survey_frozen!$L$2:$L$251,survey_frozen!$P$2:$P$251,$A69&amp;"|"&amp;$B69),IFERROR(COUNTIFS(INDIRECT("'"&amp;$A69&amp;"'!$B$2:$B$501"),$T69,INDIRECT("'"&amp;$A69&amp;"'!$A$2:$A$501"),"&gt;="&amp;$I69,INDIRECT("'"&amp;$A69&amp;"'!$A$2:$A$501"),"&lt;"&amp;($BA69+1),INDIRECT("'"&amp;$A69&amp;"'!$E$2:$E$501"),"No"),0)))</f>
        <v>0</v>
      </c>
      <c r="AY69" s="30" t="n">
        <f aca="true">IF(OR($A69="",$I69=""),"",IF($BC69="Y",SUMIFS(survey_frozen!$M$2:$M$251,survey_frozen!$P$2:$P$251,$A69&amp;"|"&amp;$B69),IFERROR(COUNTIFS(INDIRECT("'"&amp;$A69&amp;"'!$B$2:$B$501"),$T69,INDIRECT("'"&amp;$A69&amp;"'!$A$2:$A$501"),"&gt;="&amp;$I69,INDIRECT("'"&amp;$A69&amp;"'!$A$2:$A$501"),"&lt;"&amp;($BA69+1),INDIRECT("'"&amp;$A69&amp;"'!$G$2:$G$501"),"&lt;&gt;"),0)))</f>
        <v>1</v>
      </c>
      <c r="AZ69" s="30" t="str">
        <f aca="false">IF($A69="","",$A69&amp;"|"&amp;$L69)</f>
        <v>SAMPLE-CMP-008|</v>
      </c>
      <c r="BA69" s="31" t="n">
        <f aca="false">IF($A69="","",IFERROR(IF(INDEX(drops!$R$2:$R$21,MATCH($H69,drops!$A$2:$A$21,0))="","",INDEX(drops!$R$2:$R$21,MATCH($H69,drops!$A$2:$A$21,0))),""))</f>
        <v>46475</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A70" s="0" t="s">
        <v>584</v>
      </c>
      <c r="B70" s="0" t="s">
        <v>696</v>
      </c>
      <c r="C70" s="11" t="n">
        <v>46442</v>
      </c>
      <c r="D70" s="10" t="s">
        <v>496</v>
      </c>
      <c r="E70" s="11" t="n">
        <v>46443</v>
      </c>
      <c r="F70" s="10" t="s">
        <v>737</v>
      </c>
      <c r="H70" s="30" t="str">
        <f aca="false">IF($A70="","",IFERROR(IF(INDEX(campaigns!$B$2:$B$51,MATCH($A70,campaigns!$A$2:$A$51,0))="","",INDEX(campaigns!$B$2:$B$51,MATCH($A70,campaigns!$A$2:$A$51,0))),""))</f>
        <v>SAMPLE-DRP-004</v>
      </c>
      <c r="I70" s="31" t="n">
        <f aca="false">IF($A70="","",IFERROR(IF(INDEX(campaigns!$BG$2:$BG$51,MATCH($A70,campaigns!$A$2:$A$51,0))="","",INDEX(campaigns!$BG$2:$BG$51,MATCH($A70,campaigns!$A$2:$A$51,0))),""))</f>
        <v>46469</v>
      </c>
      <c r="J70" s="30" t="str">
        <f aca="false">IF($A70="","",IFERROR(IF(INDEX(campaigns!$BE$2:$BE$51,MATCH($A70,campaigns!$A$2:$A$51,0))="","",INDEX(campaigns!$BE$2:$BE$51,MATCH($A70,campaigns!$A$2:$A$51,0))),""))</f>
        <v>SAMPLE Tallgrass</v>
      </c>
      <c r="K70" s="30" t="str">
        <f aca="false">IF($B70="","",IFERROR(IF(INDEX(offices!$O$2:$O$61,MATCH($B70,offices!$A$2:$A$61,0))="","",INDEX(offices!$O$2:$O$61,MATCH($B70,offices!$A$2:$A$61,0))),""))</f>
        <v>SAMPLE Overlook Games</v>
      </c>
      <c r="L70" s="30" t="n">
        <f aca="false">IF($A70="","",IF($Q70="N","",COUNTIFS($A$2:$A70,$A70,$Q$2:$Q70,"&lt;&gt;N")))</f>
        <v>8</v>
      </c>
      <c r="M70" s="30" t="str">
        <f aca="false">IF(OR($A70="",$L70=""),"",IF(AND(config!$B$34="names_if_public",IFERROR(IF(INDEX(offices!$AG$2:$AG$61,MATCH($B70,offices!$A$2:$A$61,0))="","",INDEX(offices!$AG$2:$AG$61,MATCH($B70,offices!$A$2:$A$61,0))),"")="Y"),$K70,CHAR(64+$L70)))</f>
        <v>H</v>
      </c>
      <c r="N70" s="30" t="n">
        <f aca="false">IF(OR($A70="",$I70=""),"",COUNTIFS(stops!$B$2:$B$151,$B70,stops!$P$2:$P$151,"&lt;"&amp;$I70,stops!$L$2:$L$151,"&lt;&gt;not_delivered")+1)</f>
        <v>3</v>
      </c>
      <c r="O70" s="30" t="str">
        <f aca="false">IF($A70="","",IF(N($N70)&lt;=config!$B$29,"explicit","opt-out"))</f>
        <v>explicit</v>
      </c>
      <c r="P70" s="30" t="str">
        <f aca="false">IF($A70="","",IF($O70="explicit",IF($D70="yes","Y",IF($D70="no","N","pending")),IF($D70="no","N",IF(AND($C70&lt;&gt;"",$I70&lt;&gt;"",$C70&lt;=WORKDAY(N($I70),-5,calendar!$A$2:$A$80)),"Y","pending"))))</f>
        <v>Y</v>
      </c>
      <c r="Q70" s="30" t="str">
        <f aca="false">IF($A70="","",IF($P70="N","N",IF($P70&lt;&gt;"Y","pending",IF(AND((COUNTIFS(stops!$A$2:$A$151,$H70,stops!$B$2:$B$151,$B70,stops!$L$2:$L$151,"declined")+COUNTIFS(stops!$A$2:$A$151,$H70,stops!$B$2:$B$151,$B70,stops!$L$2:$L$151,"building_refused")+COUNTIFS(stops!$A$2:$A$151,$H70,stops!$B$2:$B$151,$B70,stops!$L$2:$L$151,"not_delivered"))&gt;0,N($U70)=0),"N","Y"))))</f>
        <v>Y</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n">
        <f aca="false">IF($A70="","",IF($G70&lt;&gt;"",$G70,IFERROR(IF(INDEX(offices!$AM$2:$AM$61,MATCH($B70,offices!$A$2:$A$61,0))="","",INDEX(offices!$AM$2:$AM$61,MATCH($B70,offices!$A$2:$A$61,0))),"")))</f>
        <v>75</v>
      </c>
      <c r="T70" s="30" t="str">
        <f aca="false">IF($A70="","",$A70&amp;"."&amp;$B70)</f>
        <v>SAMPLE-CMP-008.SAMPLE-O-009</v>
      </c>
      <c r="U70" s="30" t="n">
        <f aca="false">IF($A70="","",SUMIFS(inventory!$G$2:$G$801,inventory!$C$2:$C$801,$A70,inventory!$D$2:$D$801,$B70,inventory!$E$2:$E$801,"delivered"))</f>
        <v>75</v>
      </c>
      <c r="V70" s="37" t="n">
        <f aca="false">IF($A70="","",IFERROR(1/(1/SUMPRODUCT(MAX((inventory!$C$2:$C$801=$A70)*(inventory!$D$2:$D$801=$B70)*(inventory!$E$2:$E$801="delivered")*(inventory!$A$2:$A$801+inventory!$B$2:$B$801)))),""))</f>
        <v>46469.4388888889</v>
      </c>
      <c r="W70" s="30" t="str">
        <f aca="false">IF($A70="","",IFERROR(IF(INDEX(inventory!$J$2:$J$801,MATCH($A70&amp;"|"&amp;$B70&amp;"|delivered",inventory!$R$2:$R$801,0))="","",INDEX(inventory!$J$2:$J$801,MATCH($A70&amp;"|"&amp;$B70&amp;"|delivered",inventory!$R$2:$R$801,0))),""))</f>
        <v>founder_count</v>
      </c>
      <c r="X70" s="30" t="str">
        <f aca="false">IF($A70="","",IFERROR(IF(INDEX(photos!$H$2:$H$701,MATCH($A70&amp;"|"&amp;$B70&amp;"|placement|Y",photos!$R$2:$R$701,0))="","",INDEX(photos!$H$2:$H$701,MATCH($A70&amp;"|"&amp;$B70&amp;"|placement|Y",photos!$R$2:$R$701,0))),""))</f>
        <v>SAMPLE-CMP-008_SAMPLE-O-009_placement_2027-03-23.jpg</v>
      </c>
      <c r="Y70" s="31" t="n">
        <f aca="false">IF($A70="","",IFERROR(IF(INDEX(photos!$E$2:$E$701,MATCH($A70&amp;"|"&amp;$B70&amp;"|placement|Y",photos!$R$2:$R$701,0))="","",INDEX(photos!$E$2:$E$701,MATCH($A70&amp;"|"&amp;$B70&amp;"|placement|Y",photos!$R$2:$R$701,0))),""))</f>
        <v>46469</v>
      </c>
      <c r="Z70" s="30" t="n">
        <f aca="false">IF($A70="","",IF(COUNTIFS(counts!$C$2:$C$701,$A70,counts!$D$2:$D$701,$B70,counts!$E$2:$E$701,"placed")=0,"",SUMIFS(counts!$F$2:$F$701,counts!$C$2:$C$701,$A70,counts!$D$2:$D$701,$B70,counts!$E$2:$E$701,"placed")))</f>
        <v>75</v>
      </c>
      <c r="AA70" s="30" t="n">
        <f aca="false">IF($A70="","",IF($Y70="",0,N($Z70)))</f>
        <v>75</v>
      </c>
      <c r="AB70" s="30" t="str">
        <f aca="false">IF($A70="","",IF(OR($Y70="",$I70=""),"N",IF($Y70&lt;=WORKDAY(N($I70),1,calendar!$A$2:$A$80),"Y","N")))</f>
        <v>Y</v>
      </c>
      <c r="AC70" s="33" t="n">
        <f aca="false">IF(OR($A70="",$V70="",$Y70=""),"",ROUND(($Y70+N(IFERROR(IF(INDEX(photos!$F$2:$F$701,MATCH($A70&amp;"|"&amp;$B70&amp;"|placement|Y",photos!$R$2:$R$701,0))="","",INDEX(photos!$F$2:$F$701,MATCH($A70&amp;"|"&amp;$B70&amp;"|placement|Y",photos!$R$2:$R$701,0))),""))-$V70)*24,1))</f>
        <v>0.1</v>
      </c>
      <c r="AD70" s="30" t="n">
        <f aca="false">IF($A70="","",SUMIFS(inventory!$G$2:$G$801,inventory!$C$2:$C$801,$A70,inventory!$D$2:$D$801,$B70,inventory!$E$2:$E$801,"topped_up"))</f>
        <v>6</v>
      </c>
      <c r="AE70" s="30" t="n">
        <f aca="false">IF($A70="","",IF(COUNTIFS(counts!$C$2:$C$701,$A70,counts!$D$2:$D$701,$B70,counts!$E$2:$E$701,"remaining_day3")=0,"",SUMIFS(counts!$F$2:$F$701,counts!$C$2:$C$701,$A70,counts!$D$2:$D$701,$B70,counts!$E$2:$E$701,"remaining_day3")))</f>
        <v>19</v>
      </c>
      <c r="AF70" s="30" t="n">
        <f aca="false">IF($A70="","",IF(COUNTIFS(counts!$C$2:$C$701,$A70,counts!$D$2:$D$701,$B70,counts!$E$2:$E$701,"remaining_day5")=0,"",SUMIFS(counts!$F$2:$F$701,counts!$C$2:$C$701,$A70,counts!$D$2:$D$701,$B70,counts!$E$2:$E$701,"remaining_day5")))</f>
        <v>3</v>
      </c>
      <c r="AG70" s="30" t="n">
        <f aca="false">IF(OR($A70="",$AF70=""),"",MAX(0,$AA70+$AD70-$AF70))</f>
        <v>78</v>
      </c>
      <c r="AH70" s="30" t="str">
        <f aca="false">IF(OR($A70="",$AI70=""),"",IFERROR(IF(INDEX(photos!$H$2:$H$701,MATCH($A70&amp;"|"&amp;$B70&amp;"|later|Y|"&amp;$AI70,photos!$S$2:$S$701,0))="","",INDEX(photos!$H$2:$H$701,MATCH($A70&amp;"|"&amp;$B70&amp;"|later|Y|"&amp;$AI70,photos!$S$2:$S$701,0))),""))</f>
        <v>SAMPLE-CMP-008_SAMPLE-O-009_later_2027-03-29.jpg</v>
      </c>
      <c r="AI70" s="31" t="n">
        <f aca="false">IF($A70="","",IFERROR(1/(1/SUMPRODUCT(MAX((photos!$B$2:$B$701=$A70)*(photos!$C$2:$C$701=$B70)*(photos!$D$2:$D$701="later")*(photos!$O$2:$O$701="Y")*photos!$E$2:$E$701))),""))</f>
        <v>46475</v>
      </c>
      <c r="AJ70" s="30" t="n">
        <f aca="false">IF(OR($A70="",$AI70="",$I70=""),"",NETWORKDAYS($I70,$AI70,calendar!$A$2:$A$80))</f>
        <v>5</v>
      </c>
      <c r="AK70" s="30" t="str">
        <f aca="false">IF($A70="","",IF(AND($X70&lt;&gt;"",$AH70&lt;&gt;""),"Y","N"))</f>
        <v>Y</v>
      </c>
      <c r="AL70" s="30" t="n">
        <f aca="true">IF(OR($A70="",$I70=""),"",IF($BC70="Y",SUMIFS(survey_frozen!$C$2:$C$251,survey_frozen!$P$2:$P$251,$A70&amp;"|"&amp;$B70),IFERROR(COUNTIFS(INDIRECT("'"&amp;$A70&amp;"'!$B$2:$B$501"),$T70,INDIRECT("'"&amp;$A70&amp;"'!$A$2:$A$501"),"&gt;="&amp;$I70,INDIRECT("'"&amp;$A70&amp;"'!$A$2:$A$501"),"&lt;"&amp;($BA70+1)),0)))</f>
        <v>7</v>
      </c>
      <c r="AM70" s="30" t="n">
        <f aca="true">IF(OR($A70="",$I70=""),"",IF($BC70="Y",SUMIFS(survey_frozen!$D$2:$D$251,survey_frozen!$P$2:$P$251,$A70&amp;"|"&amp;$B70),IFERROR(COUNTIFS(INDIRECT("'"&amp;$A70&amp;"'!$B$2:$B$501"),$T70,INDIRECT("'"&amp;$A70&amp;"'!$A$2:$A$501"),"&gt;="&amp;$I70,INDIRECT("'"&amp;$A70&amp;"'!$A$2:$A$501"),"&lt;"&amp;($BA70+1),INDIRECT("'"&amp;$A70&amp;"'!$C$2:$C$501"),"Yes"),0)))</f>
        <v>5</v>
      </c>
      <c r="AN70" s="30" t="n">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8</v>
      </c>
      <c r="AO70" s="30" t="n">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11</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n">
        <f aca="true">IF(OR($A70="",$I70=""),"",IF($BC70="Y",SUMIFS(survey_frozen!$E$2:$E$251,survey_frozen!$P$2:$P$251,$A70&amp;"|"&amp;$B70),IFERROR(COUNTIFS(INDIRECT("'"&amp;$A70&amp;"'!$B$2:$B$501"),$T70,INDIRECT("'"&amp;$A70&amp;"'!$A$2:$A$501"),"&gt;="&amp;$I70,INDIRECT("'"&amp;$A70&amp;"'!$A$2:$A$501"),"&lt;"&amp;($BA70+1),INDIRECT("'"&amp;$A70&amp;"'!$F$2:$F$501"),"Didn't see it"),0)))</f>
        <v>0</v>
      </c>
      <c r="AR70" s="30" t="n">
        <f aca="true">IF(OR($A70="",$I70=""),"",IF($BC70="Y",SUMIFS(survey_frozen!$F$2:$F$251,survey_frozen!$P$2:$P$251,$A70&amp;"|"&amp;$B70),IFERROR(COUNTIFS(INDIRECT("'"&amp;$A70&amp;"'!$B$2:$B$501"),$T70,INDIRECT("'"&amp;$A70&amp;"'!$A$2:$A$501"),"&gt;="&amp;$I70,INDIRECT("'"&amp;$A70&amp;"'!$A$2:$A$501"),"&lt;"&amp;($BA70+1),INDIRECT("'"&amp;$A70&amp;"'!$F$2:$F$501"),"Not for me"),0)))</f>
        <v>1</v>
      </c>
      <c r="AS70" s="30" t="n">
        <f aca="true">IF(OR($A70="",$I70=""),"",IF($BC70="Y",SUMIFS(survey_frozen!$G$2:$G$251,survey_frozen!$P$2:$P$251,$A70&amp;"|"&amp;$B70),IFERROR(COUNTIFS(INDIRECT("'"&amp;$A70&amp;"'!$B$2:$B$501"),$T70,INDIRECT("'"&amp;$A70&amp;"'!$A$2:$A$501"),"&gt;="&amp;$I70,INDIRECT("'"&amp;$A70&amp;"'!$A$2:$A$501"),"&lt;"&amp;($BA70+1),INDIRECT("'"&amp;$A70&amp;"'!$F$2:$F$501"),"Gone by the time I looked"),0)))</f>
        <v>1</v>
      </c>
      <c r="AT70" s="30" t="n">
        <f aca="true">IF(OR($A70="",$I70=""),"",IF($BC70="Y",SUMIFS(survey_frozen!$H$2:$H$251,survey_frozen!$P$2:$P$251,$A70&amp;"|"&amp;$B70),IFERROR(COUNTIFS(INDIRECT("'"&amp;$A70&amp;"'!$B$2:$B$501"),$T70,INDIRECT("'"&amp;$A70&amp;"'!$A$2:$A$501"),"&gt;="&amp;$I70,INDIRECT("'"&amp;$A70&amp;"'!$A$2:$A$501"),"&lt;"&amp;($BA70+1),INDIRECT("'"&amp;$A70&amp;"'!$D$2:$D$501"),"&gt;=1"),0)))</f>
        <v>5</v>
      </c>
      <c r="AU70" s="30" t="n">
        <f aca="true">IF(OR($A70="",$I70=""),"",IF($BC70="Y",SUMIFS(survey_frozen!$I$2:$I$251,survey_frozen!$P$2:$P$251,$A70&amp;"|"&amp;$B70),IFERROR(SUMIFS(INDIRECT("'"&amp;$A70&amp;"'!$D$2:$D$501"),INDIRECT("'"&amp;$A70&amp;"'!$B$2:$B$501"),$T70,INDIRECT("'"&amp;$A70&amp;"'!$A$2:$A$501"),"&gt;="&amp;$I70,INDIRECT("'"&amp;$A70&amp;"'!$A$2:$A$501"),"&lt;"&amp;($BA70+1)),0)))</f>
        <v>21</v>
      </c>
      <c r="AV70" s="30" t="n">
        <f aca="true">IF(OR($A70="",$I70=""),"",IF($BC70="Y",SUMIFS(survey_frozen!$J$2:$J$251,survey_frozen!$P$2:$P$251,$A70&amp;"|"&amp;$B70),IFERROR(COUNTIFS(INDIRECT("'"&amp;$A70&amp;"'!$B$2:$B$501"),$T70,INDIRECT("'"&amp;$A70&amp;"'!$A$2:$A$501"),"&gt;="&amp;$I70,INDIRECT("'"&amp;$A70&amp;"'!$A$2:$A$501"),"&lt;"&amp;($BA70+1),INDIRECT("'"&amp;$A70&amp;"'!$E$2:$E$501"),"Yes"),0)))</f>
        <v>1</v>
      </c>
      <c r="AW70" s="30" t="n">
        <f aca="true">IF(OR($A70="",$I70=""),"",IF($BC70="Y",SUMIFS(survey_frozen!$K$2:$K$251,survey_frozen!$P$2:$P$251,$A70&amp;"|"&amp;$B70),IFERROR(COUNTIFS(INDIRECT("'"&amp;$A70&amp;"'!$B$2:$B$501"),$T70,INDIRECT("'"&amp;$A70&amp;"'!$A$2:$A$501"),"&gt;="&amp;$I70,INDIRECT("'"&amp;$A70&amp;"'!$A$2:$A$501"),"&lt;"&amp;($BA70+1),INDIRECT("'"&amp;$A70&amp;"'!$E$2:$E$501"),"Maybe"),0)))</f>
        <v>2</v>
      </c>
      <c r="AX70" s="30" t="n">
        <f aca="true">IF(OR($A70="",$I70=""),"",IF($BC70="Y",SUMIFS(survey_frozen!$L$2:$L$251,survey_frozen!$P$2:$P$251,$A70&amp;"|"&amp;$B70),IFERROR(COUNTIFS(INDIRECT("'"&amp;$A70&amp;"'!$B$2:$B$501"),$T70,INDIRECT("'"&amp;$A70&amp;"'!$A$2:$A$501"),"&gt;="&amp;$I70,INDIRECT("'"&amp;$A70&amp;"'!$A$2:$A$501"),"&lt;"&amp;($BA70+1),INDIRECT("'"&amp;$A70&amp;"'!$E$2:$E$501"),"No"),0)))</f>
        <v>2</v>
      </c>
      <c r="AY70" s="30" t="n">
        <f aca="true">IF(OR($A70="",$I70=""),"",IF($BC70="Y",SUMIFS(survey_frozen!$M$2:$M$251,survey_frozen!$P$2:$P$251,$A70&amp;"|"&amp;$B70),IFERROR(COUNTIFS(INDIRECT("'"&amp;$A70&amp;"'!$B$2:$B$501"),$T70,INDIRECT("'"&amp;$A70&amp;"'!$A$2:$A$501"),"&gt;="&amp;$I70,INDIRECT("'"&amp;$A70&amp;"'!$A$2:$A$501"),"&lt;"&amp;($BA70+1),INDIRECT("'"&amp;$A70&amp;"'!$G$2:$G$501"),"&lt;&gt;"),0)))</f>
        <v>4</v>
      </c>
      <c r="AZ70" s="30" t="str">
        <f aca="false">IF($A70="","",$A70&amp;"|"&amp;$L70)</f>
        <v>SAMPLE-CMP-008|8</v>
      </c>
      <c r="BA70" s="31" t="n">
        <f aca="false">IF($A70="","",IFERROR(IF(INDEX(drops!$R$2:$R$21,MATCH($H70,drops!$A$2:$A$21,0))="","",INDEX(drops!$R$2:$R$21,MATCH($H70,drops!$A$2:$A$21,0))),""))</f>
        <v>46475</v>
      </c>
      <c r="BB70" s="30" t="n">
        <f aca="false">IF(OR($A70="",$Q70&lt;&gt;"Y"),1000000,N($AL70))</f>
        <v>7</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Y</v>
      </c>
    </row>
    <row r="71" customFormat="false" ht="15" hidden="false" customHeight="false" outlineLevel="0" collapsed="false">
      <c r="A71" s="0" t="s">
        <v>584</v>
      </c>
      <c r="B71" s="0" t="s">
        <v>698</v>
      </c>
      <c r="C71" s="11" t="n">
        <v>46442</v>
      </c>
      <c r="D71" s="10" t="s">
        <v>496</v>
      </c>
      <c r="E71" s="11" t="n">
        <v>46443</v>
      </c>
      <c r="F71" s="10" t="s">
        <v>737</v>
      </c>
      <c r="H71" s="30" t="str">
        <f aca="false">IF($A71="","",IFERROR(IF(INDEX(campaigns!$B$2:$B$51,MATCH($A71,campaigns!$A$2:$A$51,0))="","",INDEX(campaigns!$B$2:$B$51,MATCH($A71,campaigns!$A$2:$A$51,0))),""))</f>
        <v>SAMPLE-DRP-004</v>
      </c>
      <c r="I71" s="31" t="n">
        <f aca="false">IF($A71="","",IFERROR(IF(INDEX(campaigns!$BG$2:$BG$51,MATCH($A71,campaigns!$A$2:$A$51,0))="","",INDEX(campaigns!$BG$2:$BG$51,MATCH($A71,campaigns!$A$2:$A$51,0))),""))</f>
        <v>46469</v>
      </c>
      <c r="J71" s="30" t="str">
        <f aca="false">IF($A71="","",IFERROR(IF(INDEX(campaigns!$BE$2:$BE$51,MATCH($A71,campaigns!$A$2:$A$51,0))="","",INDEX(campaigns!$BE$2:$BE$51,MATCH($A71,campaigns!$A$2:$A$51,0))),""))</f>
        <v>SAMPLE Tallgrass</v>
      </c>
      <c r="K71" s="30" t="str">
        <f aca="false">IF($B71="","",IFERROR(IF(INDEX(offices!$O$2:$O$61,MATCH($B71,offices!$A$2:$A$61,0))="","",INDEX(offices!$O$2:$O$61,MATCH($B71,offices!$A$2:$A$61,0))),""))</f>
        <v>SAMPLE Quill Nonprofit Press</v>
      </c>
      <c r="L71" s="30" t="n">
        <f aca="false">IF($A71="","",IF($Q71="N","",COUNTIFS($A$2:$A71,$A71,$Q$2:$Q71,"&lt;&gt;N")))</f>
        <v>9</v>
      </c>
      <c r="M71" s="30" t="str">
        <f aca="false">IF(OR($A71="",$L71=""),"",IF(AND(config!$B$34="names_if_public",IFERROR(IF(INDEX(offices!$AG$2:$AG$61,MATCH($B71,offices!$A$2:$A$61,0))="","",INDEX(offices!$AG$2:$AG$61,MATCH($B71,offices!$A$2:$A$61,0))),"")="Y"),$K71,CHAR(64+$L71)))</f>
        <v>I</v>
      </c>
      <c r="N71" s="30" t="n">
        <f aca="false">IF(OR($A71="",$I71=""),"",COUNTIFS(stops!$B$2:$B$151,$B71,stops!$P$2:$P$151,"&lt;"&amp;$I71,stops!$L$2:$L$151,"&lt;&gt;not_delivered")+1)</f>
        <v>3</v>
      </c>
      <c r="O71" s="30" t="str">
        <f aca="false">IF($A71="","",IF(N($N71)&lt;=config!$B$29,"explicit","opt-out"))</f>
        <v>explicit</v>
      </c>
      <c r="P71" s="30" t="str">
        <f aca="false">IF($A71="","",IF($O71="explicit",IF($D71="yes","Y",IF($D71="no","N","pending")),IF($D71="no","N",IF(AND($C71&lt;&gt;"",$I71&lt;&gt;"",$C71&lt;=WORKDAY(N($I71),-5,calendar!$A$2:$A$80)),"Y","pending"))))</f>
        <v>Y</v>
      </c>
      <c r="Q71" s="30" t="str">
        <f aca="false">IF($A71="","",IF($P71="N","N",IF($P71&lt;&gt;"Y","pending",IF(AND((COUNTIFS(stops!$A$2:$A$151,$H71,stops!$B$2:$B$151,$B71,stops!$L$2:$L$151,"declined")+COUNTIFS(stops!$A$2:$A$151,$H71,stops!$B$2:$B$151,$B71,stops!$L$2:$L$151,"building_refused")+COUNTIFS(stops!$A$2:$A$151,$H71,stops!$B$2:$B$151,$B71,stops!$L$2:$L$151,"not_delivered"))&gt;0,N($U71)=0),"N","Y"))))</f>
        <v>Y</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n">
        <f aca="false">IF($A71="","",IF($G71&lt;&gt;"",$G71,IFERROR(IF(INDEX(offices!$AM$2:$AM$61,MATCH($B71,offices!$A$2:$A$61,0))="","",INDEX(offices!$AM$2:$AM$61,MATCH($B71,offices!$A$2:$A$61,0))),"")))</f>
        <v>40</v>
      </c>
      <c r="T71" s="30" t="str">
        <f aca="false">IF($A71="","",$A71&amp;"."&amp;$B71)</f>
        <v>SAMPLE-CMP-008.SAMPLE-O-010</v>
      </c>
      <c r="U71" s="30" t="n">
        <f aca="false">IF($A71="","",SUMIFS(inventory!$G$2:$G$801,inventory!$C$2:$C$801,$A71,inventory!$D$2:$D$801,$B71,inventory!$E$2:$E$801,"delivered"))</f>
        <v>40</v>
      </c>
      <c r="V71" s="37" t="n">
        <f aca="false">IF($A71="","",IFERROR(1/(1/SUMPRODUCT(MAX((inventory!$C$2:$C$801=$A71)*(inventory!$D$2:$D$801=$B71)*(inventory!$E$2:$E$801="delivered")*(inventory!$A$2:$A$801+inventory!$B$2:$B$801)))),""))</f>
        <v>46469.4305555556</v>
      </c>
      <c r="W71" s="30" t="str">
        <f aca="false">IF($A71="","",IFERROR(IF(INDEX(inventory!$J$2:$J$801,MATCH($A71&amp;"|"&amp;$B71&amp;"|delivered",inventory!$R$2:$R$801,0))="","",INDEX(inventory!$J$2:$J$801,MATCH($A71&amp;"|"&amp;$B71&amp;"|delivered",inventory!$R$2:$R$801,0))),""))</f>
        <v>office_count</v>
      </c>
      <c r="X71" s="30" t="str">
        <f aca="false">IF($A71="","",IFERROR(IF(INDEX(photos!$H$2:$H$701,MATCH($A71&amp;"|"&amp;$B71&amp;"|placement|Y",photos!$R$2:$R$701,0))="","",INDEX(photos!$H$2:$H$701,MATCH($A71&amp;"|"&amp;$B71&amp;"|placement|Y",photos!$R$2:$R$701,0))),""))</f>
        <v>SAMPLE-CMP-008_SAMPLE-O-010_placement_2027-03-23.jpg</v>
      </c>
      <c r="Y71" s="31" t="n">
        <f aca="false">IF($A71="","",IFERROR(IF(INDEX(photos!$E$2:$E$701,MATCH($A71&amp;"|"&amp;$B71&amp;"|placement|Y",photos!$R$2:$R$701,0))="","",INDEX(photos!$E$2:$E$701,MATCH($A71&amp;"|"&amp;$B71&amp;"|placement|Y",photos!$R$2:$R$701,0))),""))</f>
        <v>46469</v>
      </c>
      <c r="Z71" s="30" t="n">
        <f aca="false">IF($A71="","",IF(COUNTIFS(counts!$C$2:$C$701,$A71,counts!$D$2:$D$701,$B71,counts!$E$2:$E$701,"placed")=0,"",SUMIFS(counts!$F$2:$F$701,counts!$C$2:$C$701,$A71,counts!$D$2:$D$701,$B71,counts!$E$2:$E$701,"placed")))</f>
        <v>40</v>
      </c>
      <c r="AA71" s="30" t="n">
        <f aca="false">IF($A71="","",IF($Y71="",0,N($Z71)))</f>
        <v>40</v>
      </c>
      <c r="AB71" s="30" t="str">
        <f aca="false">IF($A71="","",IF(OR($Y71="",$I71=""),"N",IF($Y71&lt;=WORKDAY(N($I71),1,calendar!$A$2:$A$80),"Y","N")))</f>
        <v>Y</v>
      </c>
      <c r="AC71" s="33" t="n">
        <f aca="false">IF(OR($A71="",$V71="",$Y71=""),"",ROUND(($Y71+N(IFERROR(IF(INDEX(photos!$F$2:$F$701,MATCH($A71&amp;"|"&amp;$B71&amp;"|placement|Y",photos!$R$2:$R$701,0))="","",INDEX(photos!$F$2:$F$701,MATCH($A71&amp;"|"&amp;$B71&amp;"|placement|Y",photos!$R$2:$R$701,0))),""))-$V71)*24,1))</f>
        <v>2.7</v>
      </c>
      <c r="AD71" s="30" t="n">
        <f aca="false">IF($A71="","",SUMIFS(inventory!$G$2:$G$801,inventory!$C$2:$C$801,$A71,inventory!$D$2:$D$801,$B71,inventory!$E$2:$E$801,"topped_up"))</f>
        <v>0</v>
      </c>
      <c r="AE71" s="30" t="n">
        <f aca="false">IF($A71="","",IF(COUNTIFS(counts!$C$2:$C$701,$A71,counts!$D$2:$D$701,$B71,counts!$E$2:$E$701,"remaining_day3")=0,"",SUMIFS(counts!$F$2:$F$701,counts!$C$2:$C$701,$A71,counts!$D$2:$D$701,$B71,counts!$E$2:$E$701,"remaining_day3")))</f>
        <v>11</v>
      </c>
      <c r="AF71" s="30" t="n">
        <f aca="false">IF($A71="","",IF(COUNTIFS(counts!$C$2:$C$701,$A71,counts!$D$2:$D$701,$B71,counts!$E$2:$E$701,"remaining_day5")=0,"",SUMIFS(counts!$F$2:$F$701,counts!$C$2:$C$701,$A71,counts!$D$2:$D$701,$B71,counts!$E$2:$E$701,"remaining_day5")))</f>
        <v>1</v>
      </c>
      <c r="AG71" s="30" t="n">
        <f aca="false">IF(OR($A71="",$AF71=""),"",MAX(0,$AA71+$AD71-$AF71))</f>
        <v>39</v>
      </c>
      <c r="AH71" s="30" t="str">
        <f aca="false">IF(OR($A71="",$AI71=""),"",IFERROR(IF(INDEX(photos!$H$2:$H$701,MATCH($A71&amp;"|"&amp;$B71&amp;"|later|Y|"&amp;$AI71,photos!$S$2:$S$701,0))="","",INDEX(photos!$H$2:$H$701,MATCH($A71&amp;"|"&amp;$B71&amp;"|later|Y|"&amp;$AI71,photos!$S$2:$S$701,0))),""))</f>
        <v>SAMPLE-CMP-008_SAMPLE-O-010_later_2027-03-29.jpg</v>
      </c>
      <c r="AI71" s="31" t="n">
        <f aca="false">IF($A71="","",IFERROR(1/(1/SUMPRODUCT(MAX((photos!$B$2:$B$701=$A71)*(photos!$C$2:$C$701=$B71)*(photos!$D$2:$D$701="later")*(photos!$O$2:$O$701="Y")*photos!$E$2:$E$701))),""))</f>
        <v>46475</v>
      </c>
      <c r="AJ71" s="30" t="n">
        <f aca="false">IF(OR($A71="",$AI71="",$I71=""),"",NETWORKDAYS($I71,$AI71,calendar!$A$2:$A$80))</f>
        <v>5</v>
      </c>
      <c r="AK71" s="30" t="str">
        <f aca="false">IF($A71="","",IF(AND($X71&lt;&gt;"",$AH71&lt;&gt;""),"Y","N"))</f>
        <v>Y</v>
      </c>
      <c r="AL71" s="30" t="n">
        <f aca="true">IF(OR($A71="",$I71=""),"",IF($BC71="Y",SUMIFS(survey_frozen!$C$2:$C$251,survey_frozen!$P$2:$P$251,$A71&amp;"|"&amp;$B71),IFERROR(COUNTIFS(INDIRECT("'"&amp;$A71&amp;"'!$B$2:$B$501"),$T71,INDIRECT("'"&amp;$A71&amp;"'!$A$2:$A$501"),"&gt;="&amp;$I71,INDIRECT("'"&amp;$A71&amp;"'!$A$2:$A$501"),"&lt;"&amp;($BA71+1)),0)))</f>
        <v>5</v>
      </c>
      <c r="AM71" s="30" t="n">
        <f aca="true">IF(OR($A71="",$I71=""),"",IF($BC71="Y",SUMIFS(survey_frozen!$D$2:$D$251,survey_frozen!$P$2:$P$251,$A71&amp;"|"&amp;$B71),IFERROR(COUNTIFS(INDIRECT("'"&amp;$A71&amp;"'!$B$2:$B$501"),$T71,INDIRECT("'"&amp;$A71&amp;"'!$A$2:$A$501"),"&gt;="&amp;$I71,INDIRECT("'"&amp;$A71&amp;"'!$A$2:$A$501"),"&lt;"&amp;($BA71+1),INDIRECT("'"&amp;$A71&amp;"'!$C$2:$C$501"),"Yes"),0)))</f>
        <v>5</v>
      </c>
      <c r="AN71" s="30" t="n">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11</v>
      </c>
      <c r="AO71" s="30" t="n">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4</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n">
        <f aca="true">IF(OR($A71="",$I71=""),"",IF($BC71="Y",SUMIFS(survey_frozen!$E$2:$E$251,survey_frozen!$P$2:$P$251,$A71&amp;"|"&amp;$B71),IFERROR(COUNTIFS(INDIRECT("'"&amp;$A71&amp;"'!$B$2:$B$501"),$T71,INDIRECT("'"&amp;$A71&amp;"'!$A$2:$A$501"),"&gt;="&amp;$I71,INDIRECT("'"&amp;$A71&amp;"'!$A$2:$A$501"),"&lt;"&amp;($BA71+1),INDIRECT("'"&amp;$A71&amp;"'!$F$2:$F$501"),"Didn't see it"),0)))</f>
        <v>0</v>
      </c>
      <c r="AR71" s="30" t="n">
        <f aca="true">IF(OR($A71="",$I71=""),"",IF($BC71="Y",SUMIFS(survey_frozen!$F$2:$F$251,survey_frozen!$P$2:$P$251,$A71&amp;"|"&amp;$B71),IFERROR(COUNTIFS(INDIRECT("'"&amp;$A71&amp;"'!$B$2:$B$501"),$T71,INDIRECT("'"&amp;$A71&amp;"'!$A$2:$A$501"),"&gt;="&amp;$I71,INDIRECT("'"&amp;$A71&amp;"'!$A$2:$A$501"),"&lt;"&amp;($BA71+1),INDIRECT("'"&amp;$A71&amp;"'!$F$2:$F$501"),"Not for me"),0)))</f>
        <v>0</v>
      </c>
      <c r="AS71" s="30" t="n">
        <f aca="true">IF(OR($A71="",$I71=""),"",IF($BC71="Y",SUMIFS(survey_frozen!$G$2:$G$251,survey_frozen!$P$2:$P$251,$A71&amp;"|"&amp;$B71),IFERROR(COUNTIFS(INDIRECT("'"&amp;$A71&amp;"'!$B$2:$B$501"),$T71,INDIRECT("'"&amp;$A71&amp;"'!$A$2:$A$501"),"&gt;="&amp;$I71,INDIRECT("'"&amp;$A71&amp;"'!$A$2:$A$501"),"&lt;"&amp;($BA71+1),INDIRECT("'"&amp;$A71&amp;"'!$F$2:$F$501"),"Gone by the time I looked"),0)))</f>
        <v>0</v>
      </c>
      <c r="AT71" s="30" t="n">
        <f aca="true">IF(OR($A71="",$I71=""),"",IF($BC71="Y",SUMIFS(survey_frozen!$H$2:$H$251,survey_frozen!$P$2:$P$251,$A71&amp;"|"&amp;$B71),IFERROR(COUNTIFS(INDIRECT("'"&amp;$A71&amp;"'!$B$2:$B$501"),$T71,INDIRECT("'"&amp;$A71&amp;"'!$A$2:$A$501"),"&gt;="&amp;$I71,INDIRECT("'"&amp;$A71&amp;"'!$A$2:$A$501"),"&lt;"&amp;($BA71+1),INDIRECT("'"&amp;$A71&amp;"'!$D$2:$D$501"),"&gt;=1"),0)))</f>
        <v>5</v>
      </c>
      <c r="AU71" s="30" t="n">
        <f aca="true">IF(OR($A71="",$I71=""),"",IF($BC71="Y",SUMIFS(survey_frozen!$I$2:$I$251,survey_frozen!$P$2:$P$251,$A71&amp;"|"&amp;$B71),IFERROR(SUMIFS(INDIRECT("'"&amp;$A71&amp;"'!$D$2:$D$501"),INDIRECT("'"&amp;$A71&amp;"'!$B$2:$B$501"),$T71,INDIRECT("'"&amp;$A71&amp;"'!$A$2:$A$501"),"&gt;="&amp;$I71,INDIRECT("'"&amp;$A71&amp;"'!$A$2:$A$501"),"&lt;"&amp;($BA71+1)),0)))</f>
        <v>20</v>
      </c>
      <c r="AV71" s="30" t="n">
        <f aca="true">IF(OR($A71="",$I71=""),"",IF($BC71="Y",SUMIFS(survey_frozen!$J$2:$J$251,survey_frozen!$P$2:$P$251,$A71&amp;"|"&amp;$B71),IFERROR(COUNTIFS(INDIRECT("'"&amp;$A71&amp;"'!$B$2:$B$501"),$T71,INDIRECT("'"&amp;$A71&amp;"'!$A$2:$A$501"),"&gt;="&amp;$I71,INDIRECT("'"&amp;$A71&amp;"'!$A$2:$A$501"),"&lt;"&amp;($BA71+1),INDIRECT("'"&amp;$A71&amp;"'!$E$2:$E$501"),"Yes"),0)))</f>
        <v>2</v>
      </c>
      <c r="AW71" s="30" t="n">
        <f aca="true">IF(OR($A71="",$I71=""),"",IF($BC71="Y",SUMIFS(survey_frozen!$K$2:$K$251,survey_frozen!$P$2:$P$251,$A71&amp;"|"&amp;$B71),IFERROR(COUNTIFS(INDIRECT("'"&amp;$A71&amp;"'!$B$2:$B$501"),$T71,INDIRECT("'"&amp;$A71&amp;"'!$A$2:$A$501"),"&gt;="&amp;$I71,INDIRECT("'"&amp;$A71&amp;"'!$A$2:$A$501"),"&lt;"&amp;($BA71+1),INDIRECT("'"&amp;$A71&amp;"'!$E$2:$E$501"),"Maybe"),0)))</f>
        <v>1</v>
      </c>
      <c r="AX71" s="30" t="n">
        <f aca="true">IF(OR($A71="",$I71=""),"",IF($BC71="Y",SUMIFS(survey_frozen!$L$2:$L$251,survey_frozen!$P$2:$P$251,$A71&amp;"|"&amp;$B71),IFERROR(COUNTIFS(INDIRECT("'"&amp;$A71&amp;"'!$B$2:$B$501"),$T71,INDIRECT("'"&amp;$A71&amp;"'!$A$2:$A$501"),"&gt;="&amp;$I71,INDIRECT("'"&amp;$A71&amp;"'!$A$2:$A$501"),"&lt;"&amp;($BA71+1),INDIRECT("'"&amp;$A71&amp;"'!$E$2:$E$501"),"No"),0)))</f>
        <v>2</v>
      </c>
      <c r="AY71" s="30" t="n">
        <f aca="true">IF(OR($A71="",$I71=""),"",IF($BC71="Y",SUMIFS(survey_frozen!$M$2:$M$251,survey_frozen!$P$2:$P$251,$A71&amp;"|"&amp;$B71),IFERROR(COUNTIFS(INDIRECT("'"&amp;$A71&amp;"'!$B$2:$B$501"),$T71,INDIRECT("'"&amp;$A71&amp;"'!$A$2:$A$501"),"&gt;="&amp;$I71,INDIRECT("'"&amp;$A71&amp;"'!$A$2:$A$501"),"&lt;"&amp;($BA71+1),INDIRECT("'"&amp;$A71&amp;"'!$G$2:$G$501"),"&lt;&gt;"),0)))</f>
        <v>0</v>
      </c>
      <c r="AZ71" s="30" t="str">
        <f aca="false">IF($A71="","",$A71&amp;"|"&amp;$L71)</f>
        <v>SAMPLE-CMP-008|9</v>
      </c>
      <c r="BA71" s="31" t="n">
        <f aca="false">IF($A71="","",IFERROR(IF(INDEX(drops!$R$2:$R$21,MATCH($H71,drops!$A$2:$A$21,0))="","",INDEX(drops!$R$2:$R$21,MATCH($H71,drops!$A$2:$A$21,0))),""))</f>
        <v>46475</v>
      </c>
      <c r="BB71" s="30" t="n">
        <f aca="false">IF(OR($A71="",$Q71&lt;&gt;"Y"),1000000,N($AL71))</f>
        <v>5</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642</v>
      </c>
      <c r="C1" s="28" t="s">
        <v>738</v>
      </c>
      <c r="D1" s="28" t="s">
        <v>739</v>
      </c>
      <c r="E1" s="28" t="s">
        <v>740</v>
      </c>
      <c r="F1" s="28" t="s">
        <v>741</v>
      </c>
      <c r="G1" s="28" t="s">
        <v>742</v>
      </c>
      <c r="H1" s="28" t="s">
        <v>743</v>
      </c>
      <c r="I1" s="28" t="s">
        <v>744</v>
      </c>
      <c r="J1" s="28" t="s">
        <v>745</v>
      </c>
      <c r="K1" s="28" t="s">
        <v>746</v>
      </c>
      <c r="L1" s="28" t="s">
        <v>747</v>
      </c>
      <c r="M1" s="28" t="s">
        <v>305</v>
      </c>
      <c r="N1" s="28" t="s">
        <v>748</v>
      </c>
      <c r="O1" s="28" t="s">
        <v>749</v>
      </c>
      <c r="P1" s="29" t="s">
        <v>300</v>
      </c>
      <c r="Q1" s="29" t="s">
        <v>138</v>
      </c>
      <c r="R1" s="29" t="s">
        <v>654</v>
      </c>
      <c r="S1" s="29" t="s">
        <v>655</v>
      </c>
      <c r="T1" s="29" t="s">
        <v>661</v>
      </c>
      <c r="U1" s="29" t="s">
        <v>660</v>
      </c>
      <c r="V1" s="29" t="s">
        <v>657</v>
      </c>
      <c r="W1" s="29" t="s">
        <v>670</v>
      </c>
      <c r="X1" s="29" t="s">
        <v>648</v>
      </c>
      <c r="Y1" s="29" t="s">
        <v>650</v>
      </c>
      <c r="Z1" s="29" t="s">
        <v>750</v>
      </c>
      <c r="AA1" s="29" t="s">
        <v>751</v>
      </c>
      <c r="AB1" s="29" t="s">
        <v>752</v>
      </c>
      <c r="AC1" s="29" t="s">
        <v>753</v>
      </c>
      <c r="AD1" s="29" t="s">
        <v>120</v>
      </c>
      <c r="AE1" s="29" t="s">
        <v>649</v>
      </c>
      <c r="AF1" s="29" t="s">
        <v>754</v>
      </c>
    </row>
    <row r="2" customFormat="false" ht="15" hidden="false" customHeight="false" outlineLevel="0" collapsed="false">
      <c r="A2" s="0" t="s">
        <v>337</v>
      </c>
      <c r="B2" s="0" t="s">
        <v>678</v>
      </c>
      <c r="C2" s="0" t="n">
        <v>1</v>
      </c>
      <c r="D2" s="38" t="n">
        <v>0.340277777777778</v>
      </c>
      <c r="E2" s="11" t="n">
        <v>46394</v>
      </c>
      <c r="F2" s="11" t="n">
        <v>46398</v>
      </c>
      <c r="G2" s="11"/>
      <c r="I2" s="38" t="n">
        <v>0.347222222222222</v>
      </c>
      <c r="J2" s="38" t="n">
        <v>0.359722222222222</v>
      </c>
      <c r="K2" s="10" t="s">
        <v>755</v>
      </c>
      <c r="L2" s="10" t="s">
        <v>756</v>
      </c>
      <c r="N2" s="11" t="n">
        <v>46412</v>
      </c>
      <c r="O2" s="10" t="s">
        <v>496</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683</v>
      </c>
      <c r="C3" s="0" t="n">
        <v>2</v>
      </c>
      <c r="D3" s="38" t="n">
        <v>0.371527777777778</v>
      </c>
      <c r="E3" s="11" t="n">
        <v>46394</v>
      </c>
      <c r="F3" s="11" t="n">
        <v>46398</v>
      </c>
      <c r="G3" s="11"/>
      <c r="I3" s="38" t="n">
        <v>0.372916666666667</v>
      </c>
      <c r="J3" s="38" t="n">
        <v>0.384722222222222</v>
      </c>
      <c r="K3" s="10" t="s">
        <v>755</v>
      </c>
      <c r="L3" s="10" t="s">
        <v>756</v>
      </c>
      <c r="N3" s="11" t="n">
        <v>46412</v>
      </c>
      <c r="O3" s="10" t="s">
        <v>496</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681</v>
      </c>
      <c r="C4" s="0" t="n">
        <v>3</v>
      </c>
      <c r="D4" s="38" t="n">
        <v>0.395833333333333</v>
      </c>
      <c r="E4" s="11" t="n">
        <v>46394</v>
      </c>
      <c r="F4" s="11" t="n">
        <v>46398</v>
      </c>
      <c r="G4" s="11"/>
      <c r="I4" s="38" t="n">
        <v>0.396527777777778</v>
      </c>
      <c r="J4" s="38" t="n">
        <v>0.406944444444444</v>
      </c>
      <c r="K4" s="10" t="s">
        <v>755</v>
      </c>
      <c r="L4" s="10" t="s">
        <v>757</v>
      </c>
      <c r="N4" s="11" t="n">
        <v>46412</v>
      </c>
      <c r="O4" s="10" t="s">
        <v>496</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688</v>
      </c>
      <c r="C5" s="0" t="n">
        <v>4</v>
      </c>
      <c r="D5" s="38" t="n">
        <v>0.423611111111111</v>
      </c>
      <c r="E5" s="11" t="n">
        <v>46394</v>
      </c>
      <c r="F5" s="11" t="n">
        <v>46398</v>
      </c>
      <c r="G5" s="11"/>
      <c r="I5" s="38" t="n">
        <v>0.426388888888889</v>
      </c>
      <c r="J5" s="38" t="n">
        <v>0.441666666666667</v>
      </c>
      <c r="K5" s="10" t="s">
        <v>755</v>
      </c>
      <c r="L5" s="10" t="s">
        <v>757</v>
      </c>
      <c r="N5" s="11" t="n">
        <v>46412</v>
      </c>
      <c r="O5" s="10" t="s">
        <v>496</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686</v>
      </c>
      <c r="C6" s="0" t="n">
        <v>5</v>
      </c>
      <c r="D6" s="38" t="n">
        <v>0.451388888888889</v>
      </c>
      <c r="E6" s="11" t="n">
        <v>46394</v>
      </c>
      <c r="F6" s="11" t="n">
        <v>46398</v>
      </c>
      <c r="G6" s="11"/>
      <c r="I6" s="38" t="n">
        <v>0.452777777777778</v>
      </c>
      <c r="J6" s="38" t="n">
        <v>0.461111111111111</v>
      </c>
      <c r="K6" s="10" t="s">
        <v>758</v>
      </c>
      <c r="L6" s="10" t="s">
        <v>759</v>
      </c>
      <c r="M6" s="10" t="s">
        <v>760</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678</v>
      </c>
      <c r="C7" s="0" t="n">
        <v>1</v>
      </c>
      <c r="D7" s="38" t="n">
        <v>0.336805555555556</v>
      </c>
      <c r="E7" s="11" t="n">
        <v>46422</v>
      </c>
      <c r="F7" s="11" t="n">
        <v>46426</v>
      </c>
      <c r="G7" s="11"/>
      <c r="I7" s="38" t="n">
        <v>0.3375</v>
      </c>
      <c r="J7" s="38" t="n">
        <v>0.345833333333333</v>
      </c>
      <c r="K7" s="10" t="s">
        <v>755</v>
      </c>
      <c r="L7" s="10" t="s">
        <v>757</v>
      </c>
      <c r="N7" s="11" t="n">
        <v>46435</v>
      </c>
      <c r="O7" s="10" t="s">
        <v>496</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690</v>
      </c>
      <c r="C8" s="0" t="n">
        <v>2</v>
      </c>
      <c r="D8" s="38" t="n">
        <v>0.348611111111111</v>
      </c>
      <c r="E8" s="11" t="n">
        <v>46422</v>
      </c>
      <c r="F8" s="11" t="n">
        <v>46426</v>
      </c>
      <c r="G8" s="11"/>
      <c r="I8" s="38" t="n">
        <v>0.349305555555556</v>
      </c>
      <c r="J8" s="38" t="n">
        <v>0.357638888888889</v>
      </c>
      <c r="K8" s="10" t="s">
        <v>755</v>
      </c>
      <c r="L8" s="10" t="s">
        <v>757</v>
      </c>
      <c r="N8" s="11" t="n">
        <v>46435</v>
      </c>
      <c r="O8" s="10" t="s">
        <v>496</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698</v>
      </c>
      <c r="C9" s="0" t="n">
        <v>3</v>
      </c>
      <c r="D9" s="38" t="n">
        <v>0.361111111111111</v>
      </c>
      <c r="E9" s="11" t="n">
        <v>46422</v>
      </c>
      <c r="F9" s="11" t="n">
        <v>46426</v>
      </c>
      <c r="G9" s="11"/>
      <c r="I9" s="38" t="n">
        <v>0.361805555555556</v>
      </c>
      <c r="J9" s="38" t="n">
        <v>0.370138888888889</v>
      </c>
      <c r="K9" s="10" t="s">
        <v>755</v>
      </c>
      <c r="L9" s="10" t="s">
        <v>757</v>
      </c>
      <c r="N9" s="11" t="n">
        <v>46435</v>
      </c>
      <c r="O9" s="10" t="s">
        <v>496</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683</v>
      </c>
      <c r="C10" s="0" t="n">
        <v>4</v>
      </c>
      <c r="D10" s="38" t="n">
        <v>0.376388888888889</v>
      </c>
      <c r="E10" s="11" t="n">
        <v>46422</v>
      </c>
      <c r="F10" s="11" t="n">
        <v>46426</v>
      </c>
      <c r="G10" s="11"/>
      <c r="I10" s="38" t="n">
        <v>0.377083333333333</v>
      </c>
      <c r="J10" s="38" t="n">
        <v>0.385416666666667</v>
      </c>
      <c r="K10" s="10" t="s">
        <v>755</v>
      </c>
      <c r="L10" s="10" t="s">
        <v>757</v>
      </c>
      <c r="N10" s="11" t="n">
        <v>46435</v>
      </c>
      <c r="O10" s="10" t="s">
        <v>496</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681</v>
      </c>
      <c r="C11" s="0" t="n">
        <v>5</v>
      </c>
      <c r="D11" s="38" t="n">
        <v>0.388888888888889</v>
      </c>
      <c r="E11" s="11" t="n">
        <v>46422</v>
      </c>
      <c r="F11" s="11" t="n">
        <v>46426</v>
      </c>
      <c r="G11" s="11"/>
      <c r="I11" s="38" t="n">
        <v>0.389583333333333</v>
      </c>
      <c r="J11" s="38" t="n">
        <v>0.397916666666667</v>
      </c>
      <c r="K11" s="10" t="s">
        <v>755</v>
      </c>
      <c r="L11" s="10" t="s">
        <v>757</v>
      </c>
      <c r="N11" s="11" t="n">
        <v>46435</v>
      </c>
      <c r="O11" s="10" t="s">
        <v>496</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692</v>
      </c>
      <c r="C12" s="0" t="n">
        <v>6</v>
      </c>
      <c r="D12" s="38" t="n">
        <v>0.401388888888889</v>
      </c>
      <c r="E12" s="11" t="n">
        <v>46422</v>
      </c>
      <c r="F12" s="11" t="n">
        <v>46426</v>
      </c>
      <c r="G12" s="11"/>
      <c r="I12" s="38" t="n">
        <v>0.402083333333333</v>
      </c>
      <c r="J12" s="38" t="n">
        <v>0.410416666666667</v>
      </c>
      <c r="K12" s="10" t="s">
        <v>755</v>
      </c>
      <c r="L12" s="10" t="s">
        <v>757</v>
      </c>
      <c r="N12" s="11" t="n">
        <v>46435</v>
      </c>
      <c r="O12" s="10" t="s">
        <v>496</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694</v>
      </c>
      <c r="C13" s="0" t="n">
        <v>7</v>
      </c>
      <c r="D13" s="38" t="n">
        <v>0.415277777777778</v>
      </c>
      <c r="E13" s="11" t="n">
        <v>46422</v>
      </c>
      <c r="F13" s="11" t="n">
        <v>46426</v>
      </c>
      <c r="G13" s="11"/>
      <c r="I13" s="38" t="n">
        <v>0.415972222222222</v>
      </c>
      <c r="J13" s="38" t="n">
        <v>0.424305555555556</v>
      </c>
      <c r="K13" s="10" t="s">
        <v>755</v>
      </c>
      <c r="L13" s="10" t="s">
        <v>757</v>
      </c>
      <c r="N13" s="11" t="n">
        <v>46435</v>
      </c>
      <c r="O13" s="10" t="s">
        <v>496</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686</v>
      </c>
      <c r="C14" s="0" t="n">
        <v>8</v>
      </c>
      <c r="D14" s="38" t="n">
        <v>0.429166666666667</v>
      </c>
      <c r="E14" s="11" t="n">
        <v>46422</v>
      </c>
      <c r="F14" s="11" t="n">
        <v>46426</v>
      </c>
      <c r="G14" s="11"/>
      <c r="I14" s="38" t="n">
        <v>0.429861111111111</v>
      </c>
      <c r="J14" s="38" t="n">
        <v>0.438194444444444</v>
      </c>
      <c r="K14" s="10" t="s">
        <v>755</v>
      </c>
      <c r="L14" s="10" t="s">
        <v>757</v>
      </c>
      <c r="N14" s="11" t="n">
        <v>46435</v>
      </c>
      <c r="O14" s="10" t="s">
        <v>496</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688</v>
      </c>
      <c r="C15" s="0" t="n">
        <v>9</v>
      </c>
      <c r="D15" s="38" t="n">
        <v>0.444444444444444</v>
      </c>
      <c r="E15" s="11" t="n">
        <v>46422</v>
      </c>
      <c r="F15" s="11" t="n">
        <v>46426</v>
      </c>
      <c r="G15" s="11"/>
      <c r="I15" s="38" t="n">
        <v>0.445138888888889</v>
      </c>
      <c r="J15" s="38" t="n">
        <v>0.453472222222222</v>
      </c>
      <c r="K15" s="10" t="s">
        <v>755</v>
      </c>
      <c r="L15" s="10" t="s">
        <v>757</v>
      </c>
      <c r="N15" s="11" t="n">
        <v>46435</v>
      </c>
      <c r="O15" s="10" t="s">
        <v>496</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696</v>
      </c>
      <c r="C16" s="0" t="n">
        <v>10</v>
      </c>
      <c r="D16" s="38" t="n">
        <v>0.459722222222222</v>
      </c>
      <c r="E16" s="11" t="n">
        <v>46422</v>
      </c>
      <c r="F16" s="11" t="n">
        <v>46426</v>
      </c>
      <c r="G16" s="11"/>
      <c r="I16" s="38" t="n">
        <v>0.460416666666667</v>
      </c>
      <c r="J16" s="38" t="n">
        <v>0.46875</v>
      </c>
      <c r="K16" s="10" t="s">
        <v>761</v>
      </c>
      <c r="L16" s="10" t="s">
        <v>762</v>
      </c>
      <c r="M16" s="10" t="s">
        <v>763</v>
      </c>
      <c r="N16" s="11" t="n">
        <v>46435</v>
      </c>
      <c r="O16" s="10" t="s">
        <v>496</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678</v>
      </c>
      <c r="C17" s="0" t="n">
        <v>1</v>
      </c>
      <c r="D17" s="38" t="n">
        <v>0.336805555555556</v>
      </c>
      <c r="E17" s="11" t="n">
        <v>46436</v>
      </c>
      <c r="F17" s="11" t="n">
        <v>46440</v>
      </c>
      <c r="G17" s="11"/>
      <c r="I17" s="38" t="n">
        <v>0.3375</v>
      </c>
      <c r="J17" s="38" t="n">
        <v>0.345138888888889</v>
      </c>
      <c r="K17" s="10" t="s">
        <v>755</v>
      </c>
      <c r="L17" s="10" t="s">
        <v>757</v>
      </c>
      <c r="N17" s="11" t="n">
        <v>46450</v>
      </c>
      <c r="O17" s="10" t="s">
        <v>496</v>
      </c>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690</v>
      </c>
      <c r="C18" s="0" t="n">
        <v>2</v>
      </c>
      <c r="D18" s="38" t="n">
        <v>0.348611111111111</v>
      </c>
      <c r="E18" s="11" t="n">
        <v>46436</v>
      </c>
      <c r="F18" s="11" t="n">
        <v>46440</v>
      </c>
      <c r="G18" s="11"/>
      <c r="I18" s="38" t="n">
        <v>0.349305555555556</v>
      </c>
      <c r="J18" s="38" t="n">
        <v>0.356944444444445</v>
      </c>
      <c r="K18" s="10" t="s">
        <v>755</v>
      </c>
      <c r="L18" s="10" t="s">
        <v>764</v>
      </c>
      <c r="M18" s="10" t="s">
        <v>765</v>
      </c>
      <c r="N18" s="11" t="n">
        <v>46450</v>
      </c>
      <c r="O18" s="10" t="s">
        <v>145</v>
      </c>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698</v>
      </c>
      <c r="C19" s="0" t="n">
        <v>3</v>
      </c>
      <c r="D19" s="38" t="n">
        <v>0.361111111111111</v>
      </c>
      <c r="E19" s="11" t="n">
        <v>46436</v>
      </c>
      <c r="F19" s="11" t="n">
        <v>46440</v>
      </c>
      <c r="G19" s="11"/>
      <c r="I19" s="38" t="n">
        <v>0.361805555555556</v>
      </c>
      <c r="J19" s="38" t="n">
        <v>0.369444444444445</v>
      </c>
      <c r="K19" s="10" t="s">
        <v>755</v>
      </c>
      <c r="L19" s="10" t="s">
        <v>757</v>
      </c>
      <c r="N19" s="11" t="n">
        <v>46450</v>
      </c>
      <c r="O19" s="10" t="s">
        <v>496</v>
      </c>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683</v>
      </c>
      <c r="C20" s="0" t="n">
        <v>4</v>
      </c>
      <c r="D20" s="38" t="n">
        <v>0.376388888888889</v>
      </c>
      <c r="E20" s="11" t="n">
        <v>46436</v>
      </c>
      <c r="F20" s="11" t="n">
        <v>46440</v>
      </c>
      <c r="G20" s="11"/>
      <c r="I20" s="38" t="n">
        <v>0.377083333333333</v>
      </c>
      <c r="J20" s="38" t="n">
        <v>0.384722222222222</v>
      </c>
      <c r="K20" s="10" t="s">
        <v>755</v>
      </c>
      <c r="L20" s="10" t="s">
        <v>757</v>
      </c>
      <c r="N20" s="11" t="n">
        <v>46450</v>
      </c>
      <c r="O20" s="10" t="s">
        <v>496</v>
      </c>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681</v>
      </c>
      <c r="C21" s="0" t="n">
        <v>5</v>
      </c>
      <c r="D21" s="38" t="n">
        <v>0.388888888888889</v>
      </c>
      <c r="E21" s="11" t="n">
        <v>46436</v>
      </c>
      <c r="F21" s="11" t="n">
        <v>46440</v>
      </c>
      <c r="G21" s="11"/>
      <c r="I21" s="38" t="n">
        <v>0.389583333333333</v>
      </c>
      <c r="J21" s="38" t="n">
        <v>0.397222222222222</v>
      </c>
      <c r="K21" s="10" t="s">
        <v>755</v>
      </c>
      <c r="L21" s="10" t="s">
        <v>757</v>
      </c>
      <c r="N21" s="11" t="n">
        <v>46450</v>
      </c>
      <c r="O21" s="10" t="s">
        <v>496</v>
      </c>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692</v>
      </c>
      <c r="C22" s="0" t="n">
        <v>6</v>
      </c>
      <c r="D22" s="38" t="n">
        <v>0.401388888888889</v>
      </c>
      <c r="E22" s="11" t="n">
        <v>46436</v>
      </c>
      <c r="F22" s="11" t="n">
        <v>46440</v>
      </c>
      <c r="G22" s="11"/>
      <c r="I22" s="38" t="n">
        <v>0.402083333333333</v>
      </c>
      <c r="J22" s="38" t="n">
        <v>0.409722222222222</v>
      </c>
      <c r="K22" s="10" t="s">
        <v>755</v>
      </c>
      <c r="L22" s="10" t="s">
        <v>757</v>
      </c>
      <c r="N22" s="11" t="n">
        <v>46450</v>
      </c>
      <c r="O22" s="10" t="s">
        <v>496</v>
      </c>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694</v>
      </c>
      <c r="C23" s="0" t="n">
        <v>7</v>
      </c>
      <c r="D23" s="38" t="n">
        <v>0.415277777777778</v>
      </c>
      <c r="E23" s="11" t="n">
        <v>46436</v>
      </c>
      <c r="F23" s="11" t="n">
        <v>46440</v>
      </c>
      <c r="G23" s="11"/>
      <c r="I23" s="38" t="n">
        <v>0.415972222222222</v>
      </c>
      <c r="J23" s="38" t="n">
        <v>0.423611111111111</v>
      </c>
      <c r="K23" s="10" t="s">
        <v>755</v>
      </c>
      <c r="L23" s="10" t="s">
        <v>757</v>
      </c>
      <c r="N23" s="11" t="n">
        <v>46450</v>
      </c>
      <c r="O23" s="10" t="s">
        <v>496</v>
      </c>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686</v>
      </c>
      <c r="C24" s="0" t="n">
        <v>8</v>
      </c>
      <c r="D24" s="38" t="n">
        <v>0.429166666666667</v>
      </c>
      <c r="E24" s="11" t="n">
        <v>46436</v>
      </c>
      <c r="F24" s="11" t="n">
        <v>46440</v>
      </c>
      <c r="G24" s="11"/>
      <c r="I24" s="38" t="n">
        <v>0.429861111111111</v>
      </c>
      <c r="J24" s="38" t="n">
        <v>0.4375</v>
      </c>
      <c r="K24" s="10" t="s">
        <v>755</v>
      </c>
      <c r="L24" s="10" t="s">
        <v>757</v>
      </c>
      <c r="N24" s="11" t="n">
        <v>46450</v>
      </c>
      <c r="O24" s="10" t="s">
        <v>496</v>
      </c>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688</v>
      </c>
      <c r="C25" s="0" t="n">
        <v>9</v>
      </c>
      <c r="D25" s="38" t="n">
        <v>0.444444444444444</v>
      </c>
      <c r="E25" s="11" t="n">
        <v>46436</v>
      </c>
      <c r="F25" s="11" t="n">
        <v>46440</v>
      </c>
      <c r="G25" s="11"/>
      <c r="I25" s="38" t="n">
        <v>0.445138888888889</v>
      </c>
      <c r="J25" s="38" t="n">
        <v>0.452777777777778</v>
      </c>
      <c r="K25" s="10" t="s">
        <v>755</v>
      </c>
      <c r="L25" s="10" t="s">
        <v>757</v>
      </c>
      <c r="N25" s="11" t="n">
        <v>46450</v>
      </c>
      <c r="O25" s="10" t="s">
        <v>496</v>
      </c>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696</v>
      </c>
      <c r="C26" s="0" t="n">
        <v>10</v>
      </c>
      <c r="D26" s="38" t="n">
        <v>0.459722222222222</v>
      </c>
      <c r="E26" s="11" t="n">
        <v>46436</v>
      </c>
      <c r="F26" s="11" t="n">
        <v>46440</v>
      </c>
      <c r="G26" s="11"/>
      <c r="I26" s="38" t="n">
        <v>0.460416666666667</v>
      </c>
      <c r="J26" s="38" t="n">
        <v>0.468055555555556</v>
      </c>
      <c r="K26" s="10" t="s">
        <v>755</v>
      </c>
      <c r="L26" s="10" t="s">
        <v>757</v>
      </c>
      <c r="N26" s="11" t="n">
        <v>46450</v>
      </c>
      <c r="O26" s="10" t="s">
        <v>496</v>
      </c>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A27" s="0" t="s">
        <v>353</v>
      </c>
      <c r="B27" s="0" t="s">
        <v>678</v>
      </c>
      <c r="C27" s="0" t="n">
        <v>1</v>
      </c>
      <c r="D27" s="38" t="n">
        <v>0.416666666666667</v>
      </c>
      <c r="E27" s="11" t="n">
        <v>46464</v>
      </c>
      <c r="F27" s="11" t="n">
        <v>46468</v>
      </c>
      <c r="G27" s="11" t="n">
        <v>46464</v>
      </c>
      <c r="H27" s="10" t="s">
        <v>766</v>
      </c>
      <c r="I27" s="38" t="n">
        <v>0.424305555555556</v>
      </c>
      <c r="J27" s="38"/>
      <c r="K27" s="10" t="s">
        <v>767</v>
      </c>
      <c r="L27" s="10" t="s">
        <v>768</v>
      </c>
      <c r="N27" s="11"/>
      <c r="O27" s="10"/>
      <c r="P27" s="31" t="n">
        <f aca="false">IF($A27="","",IF(IFERROR(IF(INDEX(drops!$I$2:$I$21,MATCH($A27,drops!$A$2:$A$21,0))="","",INDEX(drops!$I$2:$I$21,MATCH($A27,drops!$A$2:$A$21,0))),"")="OK",IFERROR(IF(INDEX(drops!$B$2:$B$21,MATCH($A27,drops!$A$2:$A$21,0))="","",INDEX(drops!$B$2:$B$21,MATCH($A27,drops!$A$2:$A$21,0))),""),""))</f>
        <v>46469</v>
      </c>
      <c r="Q27" s="30" t="str">
        <f aca="false">IF($B27="","",IFERROR(IF(INDEX(offices!$O$2:$O$61,MATCH($B27,offices!$A$2:$A$61,0))="","",INDEX(offices!$O$2:$O$61,MATCH($B27,offices!$A$2:$A$61,0))),""))</f>
        <v>SAMPLE Northpoint Software</v>
      </c>
      <c r="R27" s="30" t="str">
        <f aca="false">IF($B27="","",IFERROR(IF(INDEX(offices!$P$2:$P$61,MATCH($B27,offices!$A$2:$A$61,0))="","",INDEX(offices!$P$2:$P$61,MATCH($B27,offices!$A$2:$A$61,0))),""))</f>
        <v>SAMPLE 110 Example Avenue</v>
      </c>
      <c r="S27" s="30" t="str">
        <f aca="false">IF($B27="","",IFERROR(IF(INDEX(offices!$Q$2:$Q$61,MATCH($B27,offices!$A$2:$A$61,0))="","",INDEX(offices!$Q$2:$Q$61,MATCH($B27,offices!$A$2:$A$61,0))),""))</f>
        <v>SAMPLE Floor 3</v>
      </c>
      <c r="T27" s="30" t="str">
        <f aca="false">IF($B27="","",IFERROR(IF(INDEX(offices!$Z$2:$Z$61,MATCH($B27,offices!$A$2:$A$61,0))="","",INDEX(offices!$Z$2:$Z$61,MATCH($B27,offices!$A$2:$A$61,0))),""))</f>
        <v>8 to 10 am</v>
      </c>
      <c r="U27" s="30" t="str">
        <f aca="false">IF($B27="","",IFERROR(IF(INDEX(offices!$Y$2:$Y$61,MATCH($B27,offices!$A$2:$A$61,0))="","",INDEX(offices!$Y$2:$Y$61,MATCH($B27,offices!$A$2:$A$61,0))),""))</f>
        <v>walk-up</v>
      </c>
      <c r="V27" s="30" t="str">
        <f aca="false">IF($B27="","",IFERROR(IF(INDEX(offices!$V$2:$V$61,MATCH($B27,offices!$A$2:$A$61,0))="","",INDEX(offices!$V$2:$V$61,MATCH($B27,offices!$A$2:$A$61,0))),""))</f>
        <v>SAMPLE Owner 001</v>
      </c>
      <c r="W27" s="30" t="str">
        <f aca="false">IF($B27="","",IFERROR(IF(INDEX(offices!$AJ$2:$AJ$61,MATCH($B27,offices!$A$2:$A$61,0))="","",INDEX(offices!$AJ$2:$AJ$61,MATCH($B27,offices!$A$2:$A$61,0))),""))</f>
        <v>SAMPLE (212) 555-0101</v>
      </c>
      <c r="X27" s="30" t="str">
        <f aca="false">IF($B27="","",IFERROR(IF(INDEX(offices!$G$2:$G$61,MATCH($B27,offices!$A$2:$A$61,0))="","",INDEX(offices!$G$2:$G$61,MATCH($B27,offices!$A$2:$A$61,0))),""))</f>
        <v>N</v>
      </c>
      <c r="Y27" s="30" t="str">
        <f aca="false">IF($B27="","",IFERROR(IF(INDEX(offices!$I$2:$I$61,MATCH($B27,offices!$A$2:$A$61,0))="","",INDEX(offices!$I$2:$I$61,MATCH($B27,offices!$A$2:$A$61,0))),""))</f>
        <v>not_needed</v>
      </c>
      <c r="Z27" s="30" t="n">
        <f aca="false">IF($A27="","",COUNTIFS(approvals!$H$2:$H$251,$A27,approvals!$B$2:$B$251,$B27,approvals!$P$2:$P$251,"Y"))</f>
        <v>2</v>
      </c>
      <c r="AA27" s="30" t="n">
        <f aca="false">IF($A27="","",SUMIFS(approvals!$S$2:$S$251,approvals!$H$2:$H$251,$A27,approvals!$B$2:$B$251,$B27,approvals!$P$2:$P$251,"Y"))</f>
        <v>80</v>
      </c>
      <c r="AB27" s="30" t="str">
        <f aca="false">IF(OR($A27="",$P27=""),"",IF(COUNTIFS(stops!$B$2:$B$151,$B27,stops!$P$2:$P$151,"&lt;"&amp;$P27,stops!$L$2:$L$151,"&lt;&gt;not_delivered")=0,"Y","N"))</f>
        <v>N</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SAMPLE 4th floor kitchen, left of the coffee machine</v>
      </c>
      <c r="AF27" s="30" t="str">
        <f aca="false">IF($A27="","",IF(AND($L27="declined",N($Z27)&gt;0,COUNTIFS(approvals!$H$2:$H$251,$A27,approvals!$B$2:$B$251,$B27,approvals!$P$2:$P$251,"Y",approvals!$U$2:$U$251,"&gt;0")=0),"Y",""))</f>
        <v/>
      </c>
    </row>
    <row r="28" customFormat="false" ht="15" hidden="false" customHeight="false" outlineLevel="0" collapsed="false">
      <c r="A28" s="0" t="s">
        <v>353</v>
      </c>
      <c r="B28" s="0" t="s">
        <v>681</v>
      </c>
      <c r="C28" s="0" t="n">
        <v>2</v>
      </c>
      <c r="D28" s="38" t="n">
        <v>0.416666666666667</v>
      </c>
      <c r="E28" s="11" t="n">
        <v>46464</v>
      </c>
      <c r="F28" s="11" t="n">
        <v>46468</v>
      </c>
      <c r="G28" s="11" t="n">
        <v>46464</v>
      </c>
      <c r="H28" s="10" t="s">
        <v>769</v>
      </c>
      <c r="I28" s="38" t="n">
        <v>0.425</v>
      </c>
      <c r="J28" s="38"/>
      <c r="K28" s="10" t="s">
        <v>767</v>
      </c>
      <c r="L28" s="10" t="s">
        <v>768</v>
      </c>
      <c r="N28" s="11"/>
      <c r="O28" s="10"/>
      <c r="P28" s="31" t="n">
        <f aca="false">IF($A28="","",IF(IFERROR(IF(INDEX(drops!$I$2:$I$21,MATCH($A28,drops!$A$2:$A$21,0))="","",INDEX(drops!$I$2:$I$21,MATCH($A28,drops!$A$2:$A$21,0))),"")="OK",IFERROR(IF(INDEX(drops!$B$2:$B$21,MATCH($A28,drops!$A$2:$A$21,0))="","",INDEX(drops!$B$2:$B$21,MATCH($A28,drops!$A$2:$A$21,0))),""),""))</f>
        <v>46469</v>
      </c>
      <c r="Q28" s="30" t="str">
        <f aca="false">IF($B28="","",IFERROR(IF(INDEX(offices!$O$2:$O$61,MATCH($B28,offices!$A$2:$A$61,0))="","",INDEX(offices!$O$2:$O$61,MATCH($B28,offices!$A$2:$A$61,0))),""))</f>
        <v>SAMPLE Ferro Architecture</v>
      </c>
      <c r="R28" s="30" t="str">
        <f aca="false">IF($B28="","",IFERROR(IF(INDEX(offices!$P$2:$P$61,MATCH($B28,offices!$A$2:$A$61,0))="","",INDEX(offices!$P$2:$P$61,MATCH($B28,offices!$A$2:$A$61,0))),""))</f>
        <v>SAMPLE 120 Example Avenue</v>
      </c>
      <c r="S28" s="30" t="str">
        <f aca="false">IF($B28="","",IFERROR(IF(INDEX(offices!$Q$2:$Q$61,MATCH($B28,offices!$A$2:$A$61,0))="","",INDEX(offices!$Q$2:$Q$61,MATCH($B28,offices!$A$2:$A$61,0))),""))</f>
        <v>SAMPLE Floor 4</v>
      </c>
      <c r="T28" s="30" t="str">
        <f aca="false">IF($B28="","",IFERROR(IF(INDEX(offices!$Z$2:$Z$61,MATCH($B28,offices!$A$2:$A$61,0))="","",INDEX(offices!$Z$2:$Z$61,MATCH($B28,offices!$A$2:$A$61,0))),""))</f>
        <v>9 to 11 am</v>
      </c>
      <c r="U28" s="30" t="str">
        <f aca="false">IF($B28="","",IFERROR(IF(INDEX(offices!$Y$2:$Y$61,MATCH($B28,offices!$A$2:$A$61,0))="","",INDEX(offices!$Y$2:$Y$61,MATCH($B28,offices!$A$2:$A$61,0))),""))</f>
        <v>front desk</v>
      </c>
      <c r="V28" s="30" t="str">
        <f aca="false">IF($B28="","",IFERROR(IF(INDEX(offices!$V$2:$V$61,MATCH($B28,offices!$A$2:$A$61,0))="","",INDEX(offices!$V$2:$V$61,MATCH($B28,offices!$A$2:$A$61,0))),""))</f>
        <v>SAMPLE Owner 002</v>
      </c>
      <c r="W28" s="30" t="str">
        <f aca="false">IF($B28="","",IFERROR(IF(INDEX(offices!$AJ$2:$AJ$61,MATCH($B28,offices!$A$2:$A$61,0))="","",INDEX(offices!$AJ$2:$AJ$61,MATCH($B28,offices!$A$2:$A$61,0))),""))</f>
        <v>SAMPLE (212) 555-0102</v>
      </c>
      <c r="X28" s="30" t="str">
        <f aca="false">IF($B28="","",IFERROR(IF(INDEX(offices!$G$2:$G$61,MATCH($B28,offices!$A$2:$A$61,0))="","",INDEX(offices!$G$2:$G$61,MATCH($B28,offices!$A$2:$A$61,0))),""))</f>
        <v>Y</v>
      </c>
      <c r="Y28" s="30" t="str">
        <f aca="false">IF($B28="","",IFERROR(IF(INDEX(offices!$I$2:$I$61,MATCH($B28,offices!$A$2:$A$61,0))="","",INDEX(offices!$I$2:$I$61,MATCH($B28,offices!$A$2:$A$61,0))),""))</f>
        <v>not_needed</v>
      </c>
      <c r="Z28" s="30" t="n">
        <f aca="false">IF($A28="","",COUNTIFS(approvals!$H$2:$H$251,$A28,approvals!$B$2:$B$251,$B28,approvals!$P$2:$P$251,"Y"))</f>
        <v>2</v>
      </c>
      <c r="AA28" s="30" t="n">
        <f aca="false">IF($A28="","",SUMIFS(approvals!$S$2:$S$251,approvals!$H$2:$H$251,$A28,approvals!$B$2:$B$251,$B28,approvals!$P$2:$P$251,"Y"))</f>
        <v>80</v>
      </c>
      <c r="AB28" s="30" t="str">
        <f aca="false">IF(OR($A28="",$P28=""),"",IF(COUNTIFS(stops!$B$2:$B$151,$B28,stops!$P$2:$P$151,"&lt;"&amp;$P28,stops!$L$2:$L$151,"&lt;&gt;not_delivered")=0,"Y","N"))</f>
        <v>N</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SAMPLE front desk calls up; owner meets you in the lobby</v>
      </c>
      <c r="AF28" s="30" t="str">
        <f aca="false">IF($A28="","",IF(AND($L28="declined",N($Z28)&gt;0,COUNTIFS(approvals!$H$2:$H$251,$A28,approvals!$B$2:$B$251,$B28,approvals!$P$2:$P$251,"Y",approvals!$U$2:$U$251,"&gt;0")=0),"Y",""))</f>
        <v/>
      </c>
    </row>
    <row r="29" customFormat="false" ht="15" hidden="false" customHeight="false" outlineLevel="0" collapsed="false">
      <c r="A29" s="0" t="s">
        <v>353</v>
      </c>
      <c r="B29" s="0" t="s">
        <v>683</v>
      </c>
      <c r="C29" s="0" t="n">
        <v>3</v>
      </c>
      <c r="D29" s="38" t="n">
        <v>0.416666666666667</v>
      </c>
      <c r="E29" s="11" t="n">
        <v>46464</v>
      </c>
      <c r="F29" s="11" t="n">
        <v>46468</v>
      </c>
      <c r="G29" s="11" t="n">
        <v>46464</v>
      </c>
      <c r="H29" s="10" t="s">
        <v>770</v>
      </c>
      <c r="I29" s="38" t="n">
        <v>0.425694444444444</v>
      </c>
      <c r="J29" s="38"/>
      <c r="K29" s="10" t="s">
        <v>767</v>
      </c>
      <c r="L29" s="10" t="s">
        <v>768</v>
      </c>
      <c r="N29" s="11"/>
      <c r="O29" s="10"/>
      <c r="P29" s="31" t="n">
        <f aca="false">IF($A29="","",IF(IFERROR(IF(INDEX(drops!$I$2:$I$21,MATCH($A29,drops!$A$2:$A$21,0))="","",INDEX(drops!$I$2:$I$21,MATCH($A29,drops!$A$2:$A$21,0))),"")="OK",IFERROR(IF(INDEX(drops!$B$2:$B$21,MATCH($A29,drops!$A$2:$A$21,0))="","",INDEX(drops!$B$2:$B$21,MATCH($A29,drops!$A$2:$A$21,0))),""),""))</f>
        <v>46469</v>
      </c>
      <c r="Q29" s="30" t="str">
        <f aca="false">IF($B29="","",IFERROR(IF(INDEX(offices!$O$2:$O$61,MATCH($B29,offices!$A$2:$A$61,0))="","",INDEX(offices!$O$2:$O$61,MATCH($B29,offices!$A$2:$A$61,0))),""))</f>
        <v>SAMPLE Halcyon Media</v>
      </c>
      <c r="R29" s="30" t="str">
        <f aca="false">IF($B29="","",IFERROR(IF(INDEX(offices!$P$2:$P$61,MATCH($B29,offices!$A$2:$A$61,0))="","",INDEX(offices!$P$2:$P$61,MATCH($B29,offices!$A$2:$A$61,0))),""))</f>
        <v>SAMPLE 130 Example Avenue</v>
      </c>
      <c r="S29" s="30" t="str">
        <f aca="false">IF($B29="","",IFERROR(IF(INDEX(offices!$Q$2:$Q$61,MATCH($B29,offices!$A$2:$A$61,0))="","",INDEX(offices!$Q$2:$Q$61,MATCH($B29,offices!$A$2:$A$61,0))),""))</f>
        <v>SAMPLE Floor 5</v>
      </c>
      <c r="T29" s="30" t="str">
        <f aca="false">IF($B29="","",IFERROR(IF(INDEX(offices!$Z$2:$Z$61,MATCH($B29,offices!$A$2:$A$61,0))="","",INDEX(offices!$Z$2:$Z$61,MATCH($B29,offices!$A$2:$A$61,0))),""))</f>
        <v>9 to 11 am</v>
      </c>
      <c r="U29" s="30" t="str">
        <f aca="false">IF($B29="","",IFERROR(IF(INDEX(offices!$Y$2:$Y$61,MATCH($B29,offices!$A$2:$A$61,0))="","",INDEX(offices!$Y$2:$Y$61,MATCH($B29,offices!$A$2:$A$61,0))),""))</f>
        <v>walk-up</v>
      </c>
      <c r="V29" s="30" t="str">
        <f aca="false">IF($B29="","",IFERROR(IF(INDEX(offices!$V$2:$V$61,MATCH($B29,offices!$A$2:$A$61,0))="","",INDEX(offices!$V$2:$V$61,MATCH($B29,offices!$A$2:$A$61,0))),""))</f>
        <v>SAMPLE Owner 003</v>
      </c>
      <c r="W29" s="30" t="str">
        <f aca="false">IF($B29="","",IFERROR(IF(INDEX(offices!$AJ$2:$AJ$61,MATCH($B29,offices!$A$2:$A$61,0))="","",INDEX(offices!$AJ$2:$AJ$61,MATCH($B29,offices!$A$2:$A$61,0))),""))</f>
        <v>SAMPLE (212) 555-0103</v>
      </c>
      <c r="X29" s="30" t="str">
        <f aca="false">IF($B29="","",IFERROR(IF(INDEX(offices!$G$2:$G$61,MATCH($B29,offices!$A$2:$A$61,0))="","",INDEX(offices!$G$2:$G$61,MATCH($B29,offices!$A$2:$A$61,0))),""))</f>
        <v>N</v>
      </c>
      <c r="Y29" s="30" t="str">
        <f aca="false">IF($B29="","",IFERROR(IF(INDEX(offices!$I$2:$I$61,MATCH($B29,offices!$A$2:$A$61,0))="","",INDEX(offices!$I$2:$I$61,MATCH($B29,offices!$A$2:$A$61,0))),""))</f>
        <v>received</v>
      </c>
      <c r="Z29" s="30" t="n">
        <f aca="false">IF($A29="","",COUNTIFS(approvals!$H$2:$H$251,$A29,approvals!$B$2:$B$251,$B29,approvals!$P$2:$P$251,"Y"))</f>
        <v>2</v>
      </c>
      <c r="AA29" s="30" t="n">
        <f aca="false">IF($A29="","",SUMIFS(approvals!$S$2:$S$251,approvals!$H$2:$H$251,$A29,approvals!$B$2:$B$251,$B29,approvals!$P$2:$P$251,"Y"))</f>
        <v>100</v>
      </c>
      <c r="AB29" s="30" t="str">
        <f aca="false">IF(OR($A29="",$P29=""),"",IF(COUNTIFS(stops!$B$2:$B$151,$B29,stops!$P$2:$P$151,"&lt;"&amp;$P29,stops!$L$2:$L$151,"&lt;&gt;not_delivered")=0,"Y","N"))</f>
        <v>N</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SAMPLE 2nd floor pantry, shelf by the window</v>
      </c>
      <c r="AF29" s="30" t="str">
        <f aca="false">IF($A29="","",IF(AND($L29="declined",N($Z29)&gt;0,COUNTIFS(approvals!$H$2:$H$251,$A29,approvals!$B$2:$B$251,$B29,approvals!$P$2:$P$251,"Y",approvals!$U$2:$U$251,"&gt;0")=0),"Y",""))</f>
        <v/>
      </c>
    </row>
    <row r="30" customFormat="false" ht="15" hidden="false" customHeight="false" outlineLevel="0" collapsed="false">
      <c r="A30" s="0" t="s">
        <v>353</v>
      </c>
      <c r="B30" s="0" t="s">
        <v>686</v>
      </c>
      <c r="C30" s="0" t="n">
        <v>4</v>
      </c>
      <c r="D30" s="38" t="n">
        <v>0.416666666666667</v>
      </c>
      <c r="E30" s="11" t="n">
        <v>46464</v>
      </c>
      <c r="F30" s="11" t="n">
        <v>46468</v>
      </c>
      <c r="G30" s="11" t="n">
        <v>46464</v>
      </c>
      <c r="H30" s="10" t="s">
        <v>771</v>
      </c>
      <c r="I30" s="38" t="n">
        <v>0.426388888888889</v>
      </c>
      <c r="J30" s="38"/>
      <c r="K30" s="10" t="s">
        <v>767</v>
      </c>
      <c r="L30" s="10" t="s">
        <v>768</v>
      </c>
      <c r="N30" s="11"/>
      <c r="O30" s="10"/>
      <c r="P30" s="31" t="n">
        <f aca="false">IF($A30="","",IF(IFERROR(IF(INDEX(drops!$I$2:$I$21,MATCH($A30,drops!$A$2:$A$21,0))="","",INDEX(drops!$I$2:$I$21,MATCH($A30,drops!$A$2:$A$21,0))),"")="OK",IFERROR(IF(INDEX(drops!$B$2:$B$21,MATCH($A30,drops!$A$2:$A$21,0))="","",INDEX(drops!$B$2:$B$21,MATCH($A30,drops!$A$2:$A$21,0))),""),""))</f>
        <v>46469</v>
      </c>
      <c r="Q30" s="30" t="str">
        <f aca="false">IF($B30="","",IFERROR(IF(INDEX(offices!$O$2:$O$61,MATCH($B30,offices!$A$2:$A$61,0))="","",INDEX(offices!$O$2:$O$61,MATCH($B30,offices!$A$2:$A$61,0))),""))</f>
        <v>SAMPLE Union Food Fund</v>
      </c>
      <c r="R30" s="30" t="str">
        <f aca="false">IF($B30="","",IFERROR(IF(INDEX(offices!$P$2:$P$61,MATCH($B30,offices!$A$2:$A$61,0))="","",INDEX(offices!$P$2:$P$61,MATCH($B30,offices!$A$2:$A$61,0))),""))</f>
        <v>SAMPLE 140 Example Avenue</v>
      </c>
      <c r="S30" s="30" t="str">
        <f aca="false">IF($B30="","",IFERROR(IF(INDEX(offices!$Q$2:$Q$61,MATCH($B30,offices!$A$2:$A$61,0))="","",INDEX(offices!$Q$2:$Q$61,MATCH($B30,offices!$A$2:$A$61,0))),""))</f>
        <v>SAMPLE Floor 6</v>
      </c>
      <c r="T30" s="30" t="str">
        <f aca="false">IF($B30="","",IFERROR(IF(INDEX(offices!$Z$2:$Z$61,MATCH($B30,offices!$A$2:$A$61,0))="","",INDEX(offices!$Z$2:$Z$61,MATCH($B30,offices!$A$2:$A$61,0))),""))</f>
        <v>10 am to noon</v>
      </c>
      <c r="U30" s="30" t="str">
        <f aca="false">IF($B30="","",IFERROR(IF(INDEX(offices!$Y$2:$Y$61,MATCH($B30,offices!$A$2:$A$61,0))="","",INDEX(offices!$Y$2:$Y$61,MATCH($B30,offices!$A$2:$A$61,0))),""))</f>
        <v>loading dock</v>
      </c>
      <c r="V30" s="30" t="str">
        <f aca="false">IF($B30="","",IFERROR(IF(INDEX(offices!$V$2:$V$61,MATCH($B30,offices!$A$2:$A$61,0))="","",INDEX(offices!$V$2:$V$61,MATCH($B30,offices!$A$2:$A$61,0))),""))</f>
        <v>SAMPLE Owner 004</v>
      </c>
      <c r="W30" s="30" t="str">
        <f aca="false">IF($B30="","",IFERROR(IF(INDEX(offices!$AJ$2:$AJ$61,MATCH($B30,offices!$A$2:$A$61,0))="","",INDEX(offices!$AJ$2:$AJ$61,MATCH($B30,offices!$A$2:$A$61,0))),""))</f>
        <v>SAMPLE (212) 555-0104</v>
      </c>
      <c r="X30" s="30" t="str">
        <f aca="false">IF($B30="","",IFERROR(IF(INDEX(offices!$G$2:$G$61,MATCH($B30,offices!$A$2:$A$61,0))="","",INDEX(offices!$G$2:$G$61,MATCH($B30,offices!$A$2:$A$61,0))),""))</f>
        <v>Y</v>
      </c>
      <c r="Y30" s="30" t="str">
        <f aca="false">IF($B30="","",IFERROR(IF(INDEX(offices!$I$2:$I$61,MATCH($B30,offices!$A$2:$A$61,0))="","",INDEX(offices!$I$2:$I$61,MATCH($B30,offices!$A$2:$A$61,0))),""))</f>
        <v>not_needed</v>
      </c>
      <c r="Z30" s="30" t="n">
        <f aca="false">IF($A30="","",COUNTIFS(approvals!$H$2:$H$251,$A30,approvals!$B$2:$B$251,$B30,approvals!$P$2:$P$251,"Y"))</f>
        <v>2</v>
      </c>
      <c r="AA30" s="30" t="n">
        <f aca="false">IF($A30="","",SUMIFS(approvals!$S$2:$S$251,approvals!$H$2:$H$251,$A30,approvals!$B$2:$B$251,$B30,approvals!$P$2:$P$251,"Y"))</f>
        <v>100</v>
      </c>
      <c r="AB30" s="30" t="str">
        <f aca="false">IF(OR($A30="",$P30=""),"",IF(COUNTIFS(stops!$B$2:$B$151,$B30,stops!$P$2:$P$151,"&lt;"&amp;$P30,stops!$L$2:$L$151,"&lt;&gt;not_delivered")=0,"Y","N"))</f>
        <v>N</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SAMPLE loading dock on the side street; mailroom signs, owner collects</v>
      </c>
      <c r="AF30" s="30" t="str">
        <f aca="false">IF($A30="","",IF(AND($L30="declined",N($Z30)&gt;0,COUNTIFS(approvals!$H$2:$H$251,$A30,approvals!$B$2:$B$251,$B30,approvals!$P$2:$P$251,"Y",approvals!$U$2:$U$251,"&gt;0")=0),"Y",""))</f>
        <v/>
      </c>
    </row>
    <row r="31" customFormat="false" ht="15" hidden="false" customHeight="false" outlineLevel="0" collapsed="false">
      <c r="A31" s="0" t="s">
        <v>353</v>
      </c>
      <c r="B31" s="0" t="s">
        <v>688</v>
      </c>
      <c r="C31" s="0" t="n">
        <v>5</v>
      </c>
      <c r="D31" s="38" t="n">
        <v>0.416666666666667</v>
      </c>
      <c r="E31" s="11" t="n">
        <v>46464</v>
      </c>
      <c r="F31" s="11" t="n">
        <v>46468</v>
      </c>
      <c r="G31" s="11" t="n">
        <v>46464</v>
      </c>
      <c r="H31" s="10" t="s">
        <v>772</v>
      </c>
      <c r="I31" s="38" t="n">
        <v>0.427083333333333</v>
      </c>
      <c r="J31" s="38"/>
      <c r="K31" s="10" t="s">
        <v>767</v>
      </c>
      <c r="L31" s="10" t="s">
        <v>768</v>
      </c>
      <c r="N31" s="11"/>
      <c r="O31" s="10"/>
      <c r="P31" s="31" t="n">
        <f aca="false">IF($A31="","",IF(IFERROR(IF(INDEX(drops!$I$2:$I$21,MATCH($A31,drops!$A$2:$A$21,0))="","",INDEX(drops!$I$2:$I$21,MATCH($A31,drops!$A$2:$A$21,0))),"")="OK",IFERROR(IF(INDEX(drops!$B$2:$B$21,MATCH($A31,drops!$A$2:$A$21,0))="","",INDEX(drops!$B$2:$B$21,MATCH($A31,drops!$A$2:$A$21,0))),""),""))</f>
        <v>46469</v>
      </c>
      <c r="Q31" s="30" t="str">
        <f aca="false">IF($B31="","",IFERROR(IF(INDEX(offices!$O$2:$O$61,MATCH($B31,offices!$A$2:$A$61,0))="","",INDEX(offices!$O$2:$O$61,MATCH($B31,offices!$A$2:$A$61,0))),""))</f>
        <v>SAMPLE Studio Marlow</v>
      </c>
      <c r="R31" s="30" t="str">
        <f aca="false">IF($B31="","",IFERROR(IF(INDEX(offices!$P$2:$P$61,MATCH($B31,offices!$A$2:$A$61,0))="","",INDEX(offices!$P$2:$P$61,MATCH($B31,offices!$A$2:$A$61,0))),""))</f>
        <v>SAMPLE 150 Example Avenue</v>
      </c>
      <c r="S31" s="30" t="str">
        <f aca="false">IF($B31="","",IFERROR(IF(INDEX(offices!$Q$2:$Q$61,MATCH($B31,offices!$A$2:$A$61,0))="","",INDEX(offices!$Q$2:$Q$61,MATCH($B31,offices!$A$2:$A$61,0))),""))</f>
        <v>SAMPLE Floor 7</v>
      </c>
      <c r="T31" s="30" t="str">
        <f aca="false">IF($B31="","",IFERROR(IF(INDEX(offices!$Z$2:$Z$61,MATCH($B31,offices!$A$2:$A$61,0))="","",INDEX(offices!$Z$2:$Z$61,MATCH($B31,offices!$A$2:$A$61,0))),""))</f>
        <v>10 am to noon</v>
      </c>
      <c r="U31" s="30" t="str">
        <f aca="false">IF($B31="","",IFERROR(IF(INDEX(offices!$Y$2:$Y$61,MATCH($B31,offices!$A$2:$A$61,0))="","",INDEX(offices!$Y$2:$Y$61,MATCH($B31,offices!$A$2:$A$61,0))),""))</f>
        <v>front desk</v>
      </c>
      <c r="V31" s="30" t="str">
        <f aca="false">IF($B31="","",IFERROR(IF(INDEX(offices!$V$2:$V$61,MATCH($B31,offices!$A$2:$A$61,0))="","",INDEX(offices!$V$2:$V$61,MATCH($B31,offices!$A$2:$A$61,0))),""))</f>
        <v>SAMPLE Owner 005</v>
      </c>
      <c r="W31" s="30" t="str">
        <f aca="false">IF($B31="","",IFERROR(IF(INDEX(offices!$AJ$2:$AJ$61,MATCH($B31,offices!$A$2:$A$61,0))="","",INDEX(offices!$AJ$2:$AJ$61,MATCH($B31,offices!$A$2:$A$61,0))),""))</f>
        <v>SAMPLE (212) 555-0105</v>
      </c>
      <c r="X31" s="30" t="str">
        <f aca="false">IF($B31="","",IFERROR(IF(INDEX(offices!$G$2:$G$61,MATCH($B31,offices!$A$2:$A$61,0))="","",INDEX(offices!$G$2:$G$61,MATCH($B31,offices!$A$2:$A$61,0))),""))</f>
        <v>Y</v>
      </c>
      <c r="Y31" s="30" t="str">
        <f aca="false">IF($B31="","",IFERROR(IF(INDEX(offices!$I$2:$I$61,MATCH($B31,offices!$A$2:$A$61,0))="","",INDEX(offices!$I$2:$I$61,MATCH($B31,offices!$A$2:$A$61,0))),""))</f>
        <v>received</v>
      </c>
      <c r="Z31" s="30" t="n">
        <f aca="false">IF($A31="","",COUNTIFS(approvals!$H$2:$H$251,$A31,approvals!$B$2:$B$251,$B31,approvals!$P$2:$P$251,"Y"))</f>
        <v>2</v>
      </c>
      <c r="AA31" s="30" t="n">
        <f aca="false">IF($A31="","",SUMIFS(approvals!$S$2:$S$251,approvals!$H$2:$H$251,$A31,approvals!$B$2:$B$251,$B31,approvals!$P$2:$P$251,"Y"))</f>
        <v>140</v>
      </c>
      <c r="AB31" s="30" t="str">
        <f aca="false">IF(OR($A31="",$P31=""),"",IF(COUNTIFS(stops!$B$2:$B$151,$B31,stops!$P$2:$P$151,"&lt;"&amp;$P31,stops!$L$2:$L$151,"&lt;&gt;not_delivered")=0,"Y","N"))</f>
        <v>N</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SAMPLE show the certificate at the desk; 9th floor kitchen</v>
      </c>
      <c r="AF31" s="30" t="str">
        <f aca="false">IF($A31="","",IF(AND($L31="declined",N($Z31)&gt;0,COUNTIFS(approvals!$H$2:$H$251,$A31,approvals!$B$2:$B$251,$B31,approvals!$P$2:$P$251,"Y",approvals!$U$2:$U$251,"&gt;0")=0),"Y",""))</f>
        <v/>
      </c>
    </row>
    <row r="32" customFormat="false" ht="15" hidden="false" customHeight="false" outlineLevel="0" collapsed="false">
      <c r="A32" s="0" t="s">
        <v>353</v>
      </c>
      <c r="B32" s="0" t="s">
        <v>690</v>
      </c>
      <c r="C32" s="0" t="n">
        <v>6</v>
      </c>
      <c r="D32" s="38" t="n">
        <v>0.416666666666667</v>
      </c>
      <c r="E32" s="11" t="n">
        <v>46464</v>
      </c>
      <c r="F32" s="11" t="n">
        <v>46468</v>
      </c>
      <c r="G32" s="11" t="n">
        <v>46464</v>
      </c>
      <c r="H32" s="10" t="s">
        <v>773</v>
      </c>
      <c r="I32" s="38" t="n">
        <v>0.427777777777778</v>
      </c>
      <c r="J32" s="38"/>
      <c r="K32" s="10" t="s">
        <v>767</v>
      </c>
      <c r="L32" s="10" t="s">
        <v>768</v>
      </c>
      <c r="N32" s="11"/>
      <c r="O32" s="10"/>
      <c r="P32" s="31" t="n">
        <f aca="false">IF($A32="","",IF(IFERROR(IF(INDEX(drops!$I$2:$I$21,MATCH($A32,drops!$A$2:$A$21,0))="","",INDEX(drops!$I$2:$I$21,MATCH($A32,drops!$A$2:$A$21,0))),"")="OK",IFERROR(IF(INDEX(drops!$B$2:$B$21,MATCH($A32,drops!$A$2:$A$21,0))="","",INDEX(drops!$B$2:$B$21,MATCH($A32,drops!$A$2:$A$21,0))),""),""))</f>
        <v>46469</v>
      </c>
      <c r="Q32" s="30" t="str">
        <f aca="false">IF($B32="","",IFERROR(IF(INDEX(offices!$O$2:$O$61,MATCH($B32,offices!$A$2:$A$61,0))="","",INDEX(offices!$O$2:$O$61,MATCH($B32,offices!$A$2:$A$61,0))),""))</f>
        <v>SAMPLE Kestrel Analytics</v>
      </c>
      <c r="R32" s="30" t="str">
        <f aca="false">IF($B32="","",IFERROR(IF(INDEX(offices!$P$2:$P$61,MATCH($B32,offices!$A$2:$A$61,0))="","",INDEX(offices!$P$2:$P$61,MATCH($B32,offices!$A$2:$A$61,0))),""))</f>
        <v>SAMPLE 160 Example Avenue</v>
      </c>
      <c r="S32" s="30" t="str">
        <f aca="false">IF($B32="","",IFERROR(IF(INDEX(offices!$Q$2:$Q$61,MATCH($B32,offices!$A$2:$A$61,0))="","",INDEX(offices!$Q$2:$Q$61,MATCH($B32,offices!$A$2:$A$61,0))),""))</f>
        <v>SAMPLE Floor 8</v>
      </c>
      <c r="T32" s="30" t="str">
        <f aca="false">IF($B32="","",IFERROR(IF(INDEX(offices!$Z$2:$Z$61,MATCH($B32,offices!$A$2:$A$61,0))="","",INDEX(offices!$Z$2:$Z$61,MATCH($B32,offices!$A$2:$A$61,0))),""))</f>
        <v>8 to 10 am</v>
      </c>
      <c r="U32" s="30" t="str">
        <f aca="false">IF($B32="","",IFERROR(IF(INDEX(offices!$Y$2:$Y$61,MATCH($B32,offices!$A$2:$A$61,0))="","",INDEX(offices!$Y$2:$Y$61,MATCH($B32,offices!$A$2:$A$61,0))),""))</f>
        <v>walk-up</v>
      </c>
      <c r="V32" s="30" t="str">
        <f aca="false">IF($B32="","",IFERROR(IF(INDEX(offices!$V$2:$V$61,MATCH($B32,offices!$A$2:$A$61,0))="","",INDEX(offices!$V$2:$V$61,MATCH($B32,offices!$A$2:$A$61,0))),""))</f>
        <v>SAMPLE Owner 006</v>
      </c>
      <c r="W32" s="30" t="str">
        <f aca="false">IF($B32="","",IFERROR(IF(INDEX(offices!$AJ$2:$AJ$61,MATCH($B32,offices!$A$2:$A$61,0))="","",INDEX(offices!$AJ$2:$AJ$61,MATCH($B32,offices!$A$2:$A$61,0))),""))</f>
        <v>SAMPLE (212) 555-0106</v>
      </c>
      <c r="X32" s="30" t="str">
        <f aca="false">IF($B32="","",IFERROR(IF(INDEX(offices!$G$2:$G$61,MATCH($B32,offices!$A$2:$A$61,0))="","",INDEX(offices!$G$2:$G$61,MATCH($B32,offices!$A$2:$A$61,0))),""))</f>
        <v>N</v>
      </c>
      <c r="Y32" s="30" t="str">
        <f aca="false">IF($B32="","",IFERROR(IF(INDEX(offices!$I$2:$I$61,MATCH($B32,offices!$A$2:$A$61,0))="","",INDEX(offices!$I$2:$I$61,MATCH($B32,offices!$A$2:$A$61,0))),""))</f>
        <v>not_needed</v>
      </c>
      <c r="Z32" s="30" t="n">
        <f aca="false">IF($A32="","",COUNTIFS(approvals!$H$2:$H$251,$A32,approvals!$B$2:$B$251,$B32,approvals!$P$2:$P$251,"Y"))</f>
        <v>2</v>
      </c>
      <c r="AA32" s="30" t="n">
        <f aca="false">IF($A32="","",SUMIFS(approvals!$S$2:$S$251,approvals!$H$2:$H$251,$A32,approvals!$B$2:$B$251,$B32,approvals!$P$2:$P$251,"Y"))</f>
        <v>90</v>
      </c>
      <c r="AB32" s="30" t="str">
        <f aca="false">IF(OR($A32="",$P32=""),"",IF(COUNTIFS(stops!$B$2:$B$151,$B32,stops!$P$2:$P$151,"&lt;"&amp;$P32,stops!$L$2:$L$151,"&lt;&gt;not_delivered")=0,"Y","N"))</f>
        <v>N</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SAMPLE 3rd floor, ring the bell</v>
      </c>
      <c r="AF32" s="30" t="str">
        <f aca="false">IF($A32="","",IF(AND($L32="declined",N($Z32)&gt;0,COUNTIFS(approvals!$H$2:$H$251,$A32,approvals!$B$2:$B$251,$B32,approvals!$P$2:$P$251,"Y",approvals!$U$2:$U$251,"&gt;0")=0),"Y",""))</f>
        <v/>
      </c>
    </row>
    <row r="33" customFormat="false" ht="15" hidden="false" customHeight="false" outlineLevel="0" collapsed="false">
      <c r="A33" s="0" t="s">
        <v>353</v>
      </c>
      <c r="B33" s="0" t="s">
        <v>692</v>
      </c>
      <c r="C33" s="0" t="n">
        <v>7</v>
      </c>
      <c r="D33" s="38" t="n">
        <v>0.416666666666667</v>
      </c>
      <c r="E33" s="11" t="n">
        <v>46464</v>
      </c>
      <c r="F33" s="11" t="n">
        <v>46468</v>
      </c>
      <c r="G33" s="11" t="n">
        <v>46464</v>
      </c>
      <c r="H33" s="10" t="s">
        <v>774</v>
      </c>
      <c r="I33" s="38" t="n">
        <v>0.428472222222222</v>
      </c>
      <c r="J33" s="38"/>
      <c r="K33" s="10" t="s">
        <v>767</v>
      </c>
      <c r="L33" s="10" t="s">
        <v>768</v>
      </c>
      <c r="N33" s="11"/>
      <c r="O33" s="10"/>
      <c r="P33" s="31" t="n">
        <f aca="false">IF($A33="","",IF(IFERROR(IF(INDEX(drops!$I$2:$I$21,MATCH($A33,drops!$A$2:$A$21,0))="","",INDEX(drops!$I$2:$I$21,MATCH($A33,drops!$A$2:$A$21,0))),"")="OK",IFERROR(IF(INDEX(drops!$B$2:$B$21,MATCH($A33,drops!$A$2:$A$21,0))="","",INDEX(drops!$B$2:$B$21,MATCH($A33,drops!$A$2:$A$21,0))),""),""))</f>
        <v>46469</v>
      </c>
      <c r="Q33" s="30" t="str">
        <f aca="false">IF($B33="","",IFERROR(IF(INDEX(offices!$O$2:$O$61,MATCH($B33,offices!$A$2:$A$61,0))="","",INDEX(offices!$O$2:$O$61,MATCH($B33,offices!$A$2:$A$61,0))),""))</f>
        <v>SAMPLE Brine &amp; Bell PR</v>
      </c>
      <c r="R33" s="30" t="str">
        <f aca="false">IF($B33="","",IFERROR(IF(INDEX(offices!$P$2:$P$61,MATCH($B33,offices!$A$2:$A$61,0))="","",INDEX(offices!$P$2:$P$61,MATCH($B33,offices!$A$2:$A$61,0))),""))</f>
        <v>SAMPLE 170 Example Avenue</v>
      </c>
      <c r="S33" s="30" t="str">
        <f aca="false">IF($B33="","",IFERROR(IF(INDEX(offices!$Q$2:$Q$61,MATCH($B33,offices!$A$2:$A$61,0))="","",INDEX(offices!$Q$2:$Q$61,MATCH($B33,offices!$A$2:$A$61,0))),""))</f>
        <v>SAMPLE Floor 9</v>
      </c>
      <c r="T33" s="30" t="str">
        <f aca="false">IF($B33="","",IFERROR(IF(INDEX(offices!$Z$2:$Z$61,MATCH($B33,offices!$A$2:$A$61,0))="","",INDEX(offices!$Z$2:$Z$61,MATCH($B33,offices!$A$2:$A$61,0))),""))</f>
        <v>9 to 11 am</v>
      </c>
      <c r="U33" s="30" t="str">
        <f aca="false">IF($B33="","",IFERROR(IF(INDEX(offices!$Y$2:$Y$61,MATCH($B33,offices!$A$2:$A$61,0))="","",INDEX(offices!$Y$2:$Y$61,MATCH($B33,offices!$A$2:$A$61,0))),""))</f>
        <v>front desk</v>
      </c>
      <c r="V33" s="30" t="str">
        <f aca="false">IF($B33="","",IFERROR(IF(INDEX(offices!$V$2:$V$61,MATCH($B33,offices!$A$2:$A$61,0))="","",INDEX(offices!$V$2:$V$61,MATCH($B33,offices!$A$2:$A$61,0))),""))</f>
        <v>SAMPLE Owner 007</v>
      </c>
      <c r="W33" s="30" t="str">
        <f aca="false">IF($B33="","",IFERROR(IF(INDEX(offices!$AJ$2:$AJ$61,MATCH($B33,offices!$A$2:$A$61,0))="","",INDEX(offices!$AJ$2:$AJ$61,MATCH($B33,offices!$A$2:$A$61,0))),""))</f>
        <v>SAMPLE (212) 555-0107</v>
      </c>
      <c r="X33" s="30" t="str">
        <f aca="false">IF($B33="","",IFERROR(IF(INDEX(offices!$G$2:$G$61,MATCH($B33,offices!$A$2:$A$61,0))="","",INDEX(offices!$G$2:$G$61,MATCH($B33,offices!$A$2:$A$61,0))),""))</f>
        <v>Y</v>
      </c>
      <c r="Y33" s="30" t="str">
        <f aca="false">IF($B33="","",IFERROR(IF(INDEX(offices!$I$2:$I$61,MATCH($B33,offices!$A$2:$A$61,0))="","",INDEX(offices!$I$2:$I$61,MATCH($B33,offices!$A$2:$A$61,0))),""))</f>
        <v>not_needed</v>
      </c>
      <c r="Z33" s="30" t="n">
        <f aca="false">IF($A33="","",COUNTIFS(approvals!$H$2:$H$251,$A33,approvals!$B$2:$B$251,$B33,approvals!$P$2:$P$251,"Y"))</f>
        <v>2</v>
      </c>
      <c r="AA33" s="30" t="n">
        <f aca="false">IF($A33="","",SUMIFS(approvals!$S$2:$S$251,approvals!$H$2:$H$251,$A33,approvals!$B$2:$B$251,$B33,approvals!$P$2:$P$251,"Y"))</f>
        <v>120</v>
      </c>
      <c r="AB33" s="30" t="str">
        <f aca="false">IF(OR($A33="",$P33=""),"",IF(COUNTIFS(stops!$B$2:$B$151,$B33,stops!$P$2:$P$151,"&lt;"&amp;$P33,stops!$L$2:$L$151,"&lt;&gt;not_delivered")=0,"Y","N"))</f>
        <v>N</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SAMPLE desk sends you up to 11; pantry at the end of the hall</v>
      </c>
      <c r="AF33" s="30" t="str">
        <f aca="false">IF($A33="","",IF(AND($L33="declined",N($Z33)&gt;0,COUNTIFS(approvals!$H$2:$H$251,$A33,approvals!$B$2:$B$251,$B33,approvals!$P$2:$P$251,"Y",approvals!$U$2:$U$251,"&gt;0")=0),"Y",""))</f>
        <v/>
      </c>
    </row>
    <row r="34" customFormat="false" ht="15" hidden="false" customHeight="false" outlineLevel="0" collapsed="false">
      <c r="A34" s="0" t="s">
        <v>353</v>
      </c>
      <c r="B34" s="0" t="s">
        <v>694</v>
      </c>
      <c r="C34" s="0" t="n">
        <v>8</v>
      </c>
      <c r="D34" s="38" t="n">
        <v>0.416666666666667</v>
      </c>
      <c r="E34" s="11" t="n">
        <v>46464</v>
      </c>
      <c r="F34" s="11" t="n">
        <v>46468</v>
      </c>
      <c r="G34" s="11" t="n">
        <v>46464</v>
      </c>
      <c r="H34" s="10" t="s">
        <v>775</v>
      </c>
      <c r="I34" s="38" t="n">
        <v>0.429166666666667</v>
      </c>
      <c r="J34" s="38"/>
      <c r="K34" s="10" t="s">
        <v>767</v>
      </c>
      <c r="L34" s="10" t="s">
        <v>764</v>
      </c>
      <c r="M34" s="10" t="s">
        <v>776</v>
      </c>
      <c r="N34" s="11"/>
      <c r="O34" s="10"/>
      <c r="P34" s="31" t="n">
        <f aca="false">IF($A34="","",IF(IFERROR(IF(INDEX(drops!$I$2:$I$21,MATCH($A34,drops!$A$2:$A$21,0))="","",INDEX(drops!$I$2:$I$21,MATCH($A34,drops!$A$2:$A$21,0))),"")="OK",IFERROR(IF(INDEX(drops!$B$2:$B$21,MATCH($A34,drops!$A$2:$A$21,0))="","",INDEX(drops!$B$2:$B$21,MATCH($A34,drops!$A$2:$A$21,0))),""),""))</f>
        <v>46469</v>
      </c>
      <c r="Q34" s="30" t="str">
        <f aca="false">IF($B34="","",IFERROR(IF(INDEX(offices!$O$2:$O$61,MATCH($B34,offices!$A$2:$A$61,0))="","",INDEX(offices!$O$2:$O$61,MATCH($B34,offices!$A$2:$A$61,0))),""))</f>
        <v>SAMPLE Larch Legal</v>
      </c>
      <c r="R34" s="30" t="str">
        <f aca="false">IF($B34="","",IFERROR(IF(INDEX(offices!$P$2:$P$61,MATCH($B34,offices!$A$2:$A$61,0))="","",INDEX(offices!$P$2:$P$61,MATCH($B34,offices!$A$2:$A$61,0))),""))</f>
        <v>SAMPLE 180 Example Avenue</v>
      </c>
      <c r="S34" s="30" t="str">
        <f aca="false">IF($B34="","",IFERROR(IF(INDEX(offices!$Q$2:$Q$61,MATCH($B34,offices!$A$2:$A$61,0))="","",INDEX(offices!$Q$2:$Q$61,MATCH($B34,offices!$A$2:$A$61,0))),""))</f>
        <v>SAMPLE Floor 10</v>
      </c>
      <c r="T34" s="30" t="str">
        <f aca="false">IF($B34="","",IFERROR(IF(INDEX(offices!$Z$2:$Z$61,MATCH($B34,offices!$A$2:$A$61,0))="","",INDEX(offices!$Z$2:$Z$61,MATCH($B34,offices!$A$2:$A$61,0))),""))</f>
        <v>9 to 11 am</v>
      </c>
      <c r="U34" s="30" t="str">
        <f aca="false">IF($B34="","",IFERROR(IF(INDEX(offices!$Y$2:$Y$61,MATCH($B34,offices!$A$2:$A$61,0))="","",INDEX(offices!$Y$2:$Y$61,MATCH($B34,offices!$A$2:$A$61,0))),""))</f>
        <v>front desk</v>
      </c>
      <c r="V34" s="30" t="str">
        <f aca="false">IF($B34="","",IFERROR(IF(INDEX(offices!$V$2:$V$61,MATCH($B34,offices!$A$2:$A$61,0))="","",INDEX(offices!$V$2:$V$61,MATCH($B34,offices!$A$2:$A$61,0))),""))</f>
        <v>SAMPLE Owner 008</v>
      </c>
      <c r="W34" s="30" t="str">
        <f aca="false">IF($B34="","",IFERROR(IF(INDEX(offices!$AJ$2:$AJ$61,MATCH($B34,offices!$A$2:$A$61,0))="","",INDEX(offices!$AJ$2:$AJ$61,MATCH($B34,offices!$A$2:$A$61,0))),""))</f>
        <v>SAMPLE (212) 555-0108</v>
      </c>
      <c r="X34" s="30" t="str">
        <f aca="false">IF($B34="","",IFERROR(IF(INDEX(offices!$G$2:$G$61,MATCH($B34,offices!$A$2:$A$61,0))="","",INDEX(offices!$G$2:$G$61,MATCH($B34,offices!$A$2:$A$61,0))),""))</f>
        <v>Y</v>
      </c>
      <c r="Y34" s="30" t="str">
        <f aca="false">IF($B34="","",IFERROR(IF(INDEX(offices!$I$2:$I$61,MATCH($B34,offices!$A$2:$A$61,0))="","",INDEX(offices!$I$2:$I$61,MATCH($B34,offices!$A$2:$A$61,0))),""))</f>
        <v>received</v>
      </c>
      <c r="Z34" s="30" t="n">
        <f aca="false">IF($A34="","",COUNTIFS(approvals!$H$2:$H$251,$A34,approvals!$B$2:$B$251,$B34,approvals!$P$2:$P$251,"Y"))</f>
        <v>2</v>
      </c>
      <c r="AA34" s="30" t="n">
        <f aca="false">IF($A34="","",SUMIFS(approvals!$S$2:$S$251,approvals!$H$2:$H$251,$A34,approvals!$B$2:$B$251,$B34,approvals!$P$2:$P$251,"Y"))</f>
        <v>90</v>
      </c>
      <c r="AB34" s="30" t="str">
        <f aca="false">IF(OR($A34="",$P34=""),"",IF(COUNTIFS(stops!$B$2:$B$151,$B34,stops!$P$2:$P$151,"&lt;"&amp;$P34,stops!$L$2:$L$151,"&lt;&gt;not_delivered")=0,"Y","N"))</f>
        <v>N</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info: 1 brand(s) turned away at the door, the rest delivered; </v>
      </c>
      <c r="AE34" s="30" t="str">
        <f aca="false">IF($B34="","",IFERROR(IF(INDEX(offices!$H$2:$H$61,MATCH($B34,offices!$A$2:$A$61,0))="","",INDEX(offices!$H$2:$H$61,MATCH($B34,offices!$A$2:$A$61,0))),""))</f>
        <v>SAMPLE certificate required at the desk; 6th floor</v>
      </c>
      <c r="AF34" s="30" t="str">
        <f aca="false">IF($A34="","",IF(AND($L34="declined",N($Z34)&gt;0,COUNTIFS(approvals!$H$2:$H$251,$A34,approvals!$B$2:$B$251,$B34,approvals!$P$2:$P$251,"Y",approvals!$U$2:$U$251,"&gt;0")=0),"Y",""))</f>
        <v/>
      </c>
    </row>
    <row r="35" customFormat="false" ht="15" hidden="false" customHeight="false" outlineLevel="0" collapsed="false">
      <c r="A35" s="0" t="s">
        <v>353</v>
      </c>
      <c r="B35" s="0" t="s">
        <v>696</v>
      </c>
      <c r="C35" s="0" t="n">
        <v>9</v>
      </c>
      <c r="D35" s="38" t="n">
        <v>0.4375</v>
      </c>
      <c r="E35" s="11" t="n">
        <v>46464</v>
      </c>
      <c r="F35" s="11" t="n">
        <v>46468</v>
      </c>
      <c r="G35" s="11"/>
      <c r="H35" s="10" t="s">
        <v>777</v>
      </c>
      <c r="I35" s="38" t="n">
        <v>0.438888888888889</v>
      </c>
      <c r="J35" s="38" t="n">
        <v>0.447222222222222</v>
      </c>
      <c r="K35" s="10" t="s">
        <v>755</v>
      </c>
      <c r="L35" s="10" t="s">
        <v>757</v>
      </c>
      <c r="M35" s="10" t="s">
        <v>778</v>
      </c>
      <c r="N35" s="11"/>
      <c r="O35" s="10"/>
      <c r="P35" s="31" t="n">
        <f aca="false">IF($A35="","",IF(IFERROR(IF(INDEX(drops!$I$2:$I$21,MATCH($A35,drops!$A$2:$A$21,0))="","",INDEX(drops!$I$2:$I$21,MATCH($A35,drops!$A$2:$A$21,0))),"")="OK",IFERROR(IF(INDEX(drops!$B$2:$B$21,MATCH($A35,drops!$A$2:$A$21,0))="","",INDEX(drops!$B$2:$B$21,MATCH($A35,drops!$A$2:$A$21,0))),""),""))</f>
        <v>46469</v>
      </c>
      <c r="Q35" s="30" t="str">
        <f aca="false">IF($B35="","",IFERROR(IF(INDEX(offices!$O$2:$O$61,MATCH($B35,offices!$A$2:$A$61,0))="","",INDEX(offices!$O$2:$O$61,MATCH($B35,offices!$A$2:$A$61,0))),""))</f>
        <v>SAMPLE Overlook Games</v>
      </c>
      <c r="R35" s="30" t="str">
        <f aca="false">IF($B35="","",IFERROR(IF(INDEX(offices!$P$2:$P$61,MATCH($B35,offices!$A$2:$A$61,0))="","",INDEX(offices!$P$2:$P$61,MATCH($B35,offices!$A$2:$A$61,0))),""))</f>
        <v>SAMPLE 190 Example Avenue</v>
      </c>
      <c r="S35" s="30" t="str">
        <f aca="false">IF($B35="","",IFERROR(IF(INDEX(offices!$Q$2:$Q$61,MATCH($B35,offices!$A$2:$A$61,0))="","",INDEX(offices!$Q$2:$Q$61,MATCH($B35,offices!$A$2:$A$61,0))),""))</f>
        <v>SAMPLE Floor 2</v>
      </c>
      <c r="T35" s="30" t="str">
        <f aca="false">IF($B35="","",IFERROR(IF(INDEX(offices!$Z$2:$Z$61,MATCH($B35,offices!$A$2:$A$61,0))="","",INDEX(offices!$Z$2:$Z$61,MATCH($B35,offices!$A$2:$A$61,0))),""))</f>
        <v>10 am to noon</v>
      </c>
      <c r="U35" s="30" t="str">
        <f aca="false">IF($B35="","",IFERROR(IF(INDEX(offices!$Y$2:$Y$61,MATCH($B35,offices!$A$2:$A$61,0))="","",INDEX(offices!$Y$2:$Y$61,MATCH($B35,offices!$A$2:$A$61,0))),""))</f>
        <v>front desk</v>
      </c>
      <c r="V35" s="30" t="str">
        <f aca="false">IF($B35="","",IFERROR(IF(INDEX(offices!$V$2:$V$61,MATCH($B35,offices!$A$2:$A$61,0))="","",INDEX(offices!$V$2:$V$61,MATCH($B35,offices!$A$2:$A$61,0))),""))</f>
        <v>SAMPLE Owner 009</v>
      </c>
      <c r="W35" s="30" t="str">
        <f aca="false">IF($B35="","",IFERROR(IF(INDEX(offices!$AJ$2:$AJ$61,MATCH($B35,offices!$A$2:$A$61,0))="","",INDEX(offices!$AJ$2:$AJ$61,MATCH($B35,offices!$A$2:$A$61,0))),""))</f>
        <v>SAMPLE (212) 555-0109</v>
      </c>
      <c r="X35" s="30" t="str">
        <f aca="false">IF($B35="","",IFERROR(IF(INDEX(offices!$G$2:$G$61,MATCH($B35,offices!$A$2:$A$61,0))="","",INDEX(offices!$G$2:$G$61,MATCH($B35,offices!$A$2:$A$61,0))),""))</f>
        <v>N</v>
      </c>
      <c r="Y35" s="30" t="str">
        <f aca="false">IF($B35="","",IFERROR(IF(INDEX(offices!$I$2:$I$61,MATCH($B35,offices!$A$2:$A$61,0))="","",INDEX(offices!$I$2:$I$61,MATCH($B35,offices!$A$2:$A$61,0))),""))</f>
        <v>not_needed</v>
      </c>
      <c r="Z35" s="30" t="n">
        <f aca="false">IF($A35="","",COUNTIFS(approvals!$H$2:$H$251,$A35,approvals!$B$2:$B$251,$B35,approvals!$P$2:$P$251,"Y"))</f>
        <v>2</v>
      </c>
      <c r="AA35" s="30" t="n">
        <f aca="false">IF($A35="","",SUMIFS(approvals!$S$2:$S$251,approvals!$H$2:$H$251,$A35,approvals!$B$2:$B$251,$B35,approvals!$P$2:$P$251,"Y"))</f>
        <v>150</v>
      </c>
      <c r="AB35" s="30" t="str">
        <f aca="false">IF(OR($A35="",$P35=""),"",IF(COUNTIFS(stops!$B$2:$B$151,$B35,stops!$P$2:$P$151,"&lt;"&amp;$P35,stops!$L$2:$L$151,"&lt;&gt;not_delivered")=0,"Y","N"))</f>
        <v>N</v>
      </c>
      <c r="AC35" s="30" t="n">
        <f aca="false">IF(OR($I35="",$J35=""),"",ROUND(($J35-$I35)*1440,0))</f>
        <v>12</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info: direct-ship, and the front desk will not hold food: the brand ships this office's cartons to you with the reserve and you deliver them yourself on T (the tracking sheet and the ship-date email say so); info: front desk not agreed: the owner must take it; </v>
      </c>
      <c r="AE35" s="30" t="str">
        <f aca="false">IF($B35="","",IFERROR(IF(INDEX(offices!$H$2:$H$61,MATCH($B35,offices!$A$2:$A$61,0))="","",INDEX(offices!$H$2:$H$61,MATCH($B35,offices!$A$2:$A$61,0))),""))</f>
        <v>SAMPLE owner must take it; desk will not hold food</v>
      </c>
      <c r="AF35" s="30" t="str">
        <f aca="false">IF($A35="","",IF(AND($L35="declined",N($Z35)&gt;0,COUNTIFS(approvals!$H$2:$H$251,$A35,approvals!$B$2:$B$251,$B35,approvals!$P$2:$P$251,"Y",approvals!$U$2:$U$251,"&gt;0")=0),"Y",""))</f>
        <v/>
      </c>
    </row>
    <row r="36" customFormat="false" ht="15" hidden="false" customHeight="false" outlineLevel="0" collapsed="false">
      <c r="A36" s="0" t="s">
        <v>353</v>
      </c>
      <c r="B36" s="0" t="s">
        <v>698</v>
      </c>
      <c r="C36" s="0" t="n">
        <v>10</v>
      </c>
      <c r="D36" s="38" t="n">
        <v>0.416666666666667</v>
      </c>
      <c r="E36" s="11" t="n">
        <v>46464</v>
      </c>
      <c r="F36" s="11" t="n">
        <v>46468</v>
      </c>
      <c r="G36" s="11" t="n">
        <v>46464</v>
      </c>
      <c r="H36" s="10" t="s">
        <v>779</v>
      </c>
      <c r="I36" s="38" t="n">
        <v>0.430555555555556</v>
      </c>
      <c r="J36" s="38"/>
      <c r="K36" s="10" t="s">
        <v>767</v>
      </c>
      <c r="L36" s="10" t="s">
        <v>768</v>
      </c>
      <c r="N36" s="11"/>
      <c r="O36" s="10"/>
      <c r="P36" s="31" t="n">
        <f aca="false">IF($A36="","",IF(IFERROR(IF(INDEX(drops!$I$2:$I$21,MATCH($A36,drops!$A$2:$A$21,0))="","",INDEX(drops!$I$2:$I$21,MATCH($A36,drops!$A$2:$A$21,0))),"")="OK",IFERROR(IF(INDEX(drops!$B$2:$B$21,MATCH($A36,drops!$A$2:$A$21,0))="","",INDEX(drops!$B$2:$B$21,MATCH($A36,drops!$A$2:$A$21,0))),""),""))</f>
        <v>46469</v>
      </c>
      <c r="Q36" s="30" t="str">
        <f aca="false">IF($B36="","",IFERROR(IF(INDEX(offices!$O$2:$O$61,MATCH($B36,offices!$A$2:$A$61,0))="","",INDEX(offices!$O$2:$O$61,MATCH($B36,offices!$A$2:$A$61,0))),""))</f>
        <v>SAMPLE Quill Nonprofit Press</v>
      </c>
      <c r="R36" s="30" t="str">
        <f aca="false">IF($B36="","",IFERROR(IF(INDEX(offices!$P$2:$P$61,MATCH($B36,offices!$A$2:$A$61,0))="","",INDEX(offices!$P$2:$P$61,MATCH($B36,offices!$A$2:$A$61,0))),""))</f>
        <v>SAMPLE 200 Example Avenue</v>
      </c>
      <c r="S36" s="30" t="str">
        <f aca="false">IF($B36="","",IFERROR(IF(INDEX(offices!$Q$2:$Q$61,MATCH($B36,offices!$A$2:$A$61,0))="","",INDEX(offices!$Q$2:$Q$61,MATCH($B36,offices!$A$2:$A$61,0))),""))</f>
        <v>SAMPLE Floor 3</v>
      </c>
      <c r="T36" s="30" t="str">
        <f aca="false">IF($B36="","",IFERROR(IF(INDEX(offices!$Z$2:$Z$61,MATCH($B36,offices!$A$2:$A$61,0))="","",INDEX(offices!$Z$2:$Z$61,MATCH($B36,offices!$A$2:$A$61,0))),""))</f>
        <v>8 to 10 am</v>
      </c>
      <c r="U36" s="30" t="str">
        <f aca="false">IF($B36="","",IFERROR(IF(INDEX(offices!$Y$2:$Y$61,MATCH($B36,offices!$A$2:$A$61,0))="","",INDEX(offices!$Y$2:$Y$61,MATCH($B36,offices!$A$2:$A$61,0))),""))</f>
        <v>walk-up</v>
      </c>
      <c r="V36" s="30" t="str">
        <f aca="false">IF($B36="","",IFERROR(IF(INDEX(offices!$V$2:$V$61,MATCH($B36,offices!$A$2:$A$61,0))="","",INDEX(offices!$V$2:$V$61,MATCH($B36,offices!$A$2:$A$61,0))),""))</f>
        <v>SAMPLE Owner 010</v>
      </c>
      <c r="W36" s="30" t="str">
        <f aca="false">IF($B36="","",IFERROR(IF(INDEX(offices!$AJ$2:$AJ$61,MATCH($B36,offices!$A$2:$A$61,0))="","",INDEX(offices!$AJ$2:$AJ$61,MATCH($B36,offices!$A$2:$A$61,0))),""))</f>
        <v>SAMPLE (212) 555-0110</v>
      </c>
      <c r="X36" s="30" t="str">
        <f aca="false">IF($B36="","",IFERROR(IF(INDEX(offices!$G$2:$G$61,MATCH($B36,offices!$A$2:$A$61,0))="","",INDEX(offices!$G$2:$G$61,MATCH($B36,offices!$A$2:$A$61,0))),""))</f>
        <v>N</v>
      </c>
      <c r="Y36" s="30" t="str">
        <f aca="false">IF($B36="","",IFERROR(IF(INDEX(offices!$I$2:$I$61,MATCH($B36,offices!$A$2:$A$61,0))="","",INDEX(offices!$I$2:$I$61,MATCH($B36,offices!$A$2:$A$61,0))),""))</f>
        <v>not_needed</v>
      </c>
      <c r="Z36" s="30" t="n">
        <f aca="false">IF($A36="","",COUNTIFS(approvals!$H$2:$H$251,$A36,approvals!$B$2:$B$251,$B36,approvals!$P$2:$P$251,"Y"))</f>
        <v>2</v>
      </c>
      <c r="AA36" s="30" t="n">
        <f aca="false">IF($A36="","",SUMIFS(approvals!$S$2:$S$251,approvals!$H$2:$H$251,$A36,approvals!$B$2:$B$251,$B36,approvals!$P$2:$P$251,"Y"))</f>
        <v>80</v>
      </c>
      <c r="AB36" s="30" t="str">
        <f aca="false">IF(OR($A36="",$P36=""),"",IF(COUNTIFS(stops!$B$2:$B$151,$B36,stops!$P$2:$P$151,"&lt;"&amp;$P36,stops!$L$2:$L$151,"&lt;&gt;not_delivered")=0,"Y","N"))</f>
        <v>N</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SAMPLE walk-up, 2nd floor, kitchen on the right</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780</v>
      </c>
      <c r="C1" s="28" t="s">
        <v>358</v>
      </c>
      <c r="D1" s="28" t="s">
        <v>642</v>
      </c>
      <c r="E1" s="28" t="s">
        <v>781</v>
      </c>
      <c r="F1" s="28" t="s">
        <v>782</v>
      </c>
      <c r="G1" s="28" t="s">
        <v>783</v>
      </c>
      <c r="H1" s="28" t="s">
        <v>784</v>
      </c>
      <c r="I1" s="28" t="s">
        <v>785</v>
      </c>
      <c r="J1" s="28" t="s">
        <v>786</v>
      </c>
      <c r="K1" s="28" t="s">
        <v>178</v>
      </c>
      <c r="L1" s="29" t="s">
        <v>300</v>
      </c>
      <c r="M1" s="29" t="s">
        <v>787</v>
      </c>
      <c r="N1" s="29" t="s">
        <v>788</v>
      </c>
      <c r="O1" s="29" t="s">
        <v>789</v>
      </c>
      <c r="P1" s="29" t="s">
        <v>790</v>
      </c>
      <c r="Q1" s="29" t="s">
        <v>120</v>
      </c>
      <c r="R1" s="29" t="s">
        <v>176</v>
      </c>
    </row>
    <row r="2" customFormat="false" ht="15" hidden="false" customHeight="false" outlineLevel="0" collapsed="false">
      <c r="A2" s="11" t="n">
        <v>46384</v>
      </c>
      <c r="B2" s="38" t="n">
        <v>0.638888888888889</v>
      </c>
      <c r="C2" s="10" t="s">
        <v>472</v>
      </c>
      <c r="E2" s="10" t="s">
        <v>685</v>
      </c>
      <c r="G2" s="0" t="n">
        <v>276</v>
      </c>
      <c r="H2" s="10" t="s">
        <v>791</v>
      </c>
      <c r="I2" s="11" t="n">
        <v>46568</v>
      </c>
      <c r="J2" s="10" t="s">
        <v>792</v>
      </c>
      <c r="K2" s="10" t="s">
        <v>793</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498</v>
      </c>
      <c r="E3" s="10" t="s">
        <v>685</v>
      </c>
      <c r="G3" s="0" t="n">
        <v>263</v>
      </c>
      <c r="H3" s="10" t="s">
        <v>794</v>
      </c>
      <c r="I3" s="11" t="n">
        <v>46631</v>
      </c>
      <c r="J3" s="10" t="s">
        <v>792</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498</v>
      </c>
      <c r="E4" s="10" t="s">
        <v>685</v>
      </c>
      <c r="G4" s="0" t="n">
        <v>12</v>
      </c>
      <c r="H4" s="10" t="s">
        <v>795</v>
      </c>
      <c r="I4" s="11" t="n">
        <v>46447</v>
      </c>
      <c r="J4" s="10" t="s">
        <v>792</v>
      </c>
      <c r="K4" s="10" t="s">
        <v>796</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498</v>
      </c>
      <c r="E5" s="10" t="s">
        <v>797</v>
      </c>
      <c r="G5" s="0" t="n">
        <v>12</v>
      </c>
      <c r="H5" s="10" t="s">
        <v>795</v>
      </c>
      <c r="I5" s="11"/>
      <c r="J5" s="10"/>
      <c r="K5" s="10" t="s">
        <v>798</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498</v>
      </c>
      <c r="E6" s="10" t="s">
        <v>797</v>
      </c>
      <c r="G6" s="0" t="n">
        <v>4</v>
      </c>
      <c r="H6" s="10" t="s">
        <v>794</v>
      </c>
      <c r="I6" s="11"/>
      <c r="J6" s="10"/>
      <c r="K6" s="10" t="s">
        <v>799</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472</v>
      </c>
      <c r="D7" s="10" t="s">
        <v>678</v>
      </c>
      <c r="E7" s="10" t="s">
        <v>105</v>
      </c>
      <c r="G7" s="0" t="n">
        <v>40</v>
      </c>
      <c r="I7" s="11"/>
      <c r="J7" s="10" t="s">
        <v>792</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472</v>
      </c>
      <c r="D8" s="10" t="s">
        <v>681</v>
      </c>
      <c r="E8" s="10" t="s">
        <v>105</v>
      </c>
      <c r="G8" s="0" t="n">
        <v>40</v>
      </c>
      <c r="I8" s="11"/>
      <c r="J8" s="10" t="s">
        <v>792</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472</v>
      </c>
      <c r="D9" s="10" t="s">
        <v>683</v>
      </c>
      <c r="E9" s="10" t="s">
        <v>105</v>
      </c>
      <c r="G9" s="0" t="n">
        <v>50</v>
      </c>
      <c r="I9" s="11"/>
      <c r="J9" s="10" t="s">
        <v>792</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472</v>
      </c>
      <c r="D10" s="10" t="s">
        <v>686</v>
      </c>
      <c r="E10" s="10" t="s">
        <v>105</v>
      </c>
      <c r="G10" s="0" t="n">
        <v>50</v>
      </c>
      <c r="I10" s="11"/>
      <c r="J10" s="10" t="s">
        <v>792</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472</v>
      </c>
      <c r="D11" s="10" t="s">
        <v>688</v>
      </c>
      <c r="E11" s="10" t="s">
        <v>105</v>
      </c>
      <c r="G11" s="0" t="n">
        <v>70</v>
      </c>
      <c r="I11" s="11"/>
      <c r="J11" s="10" t="s">
        <v>792</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498</v>
      </c>
      <c r="D12" s="10" t="s">
        <v>678</v>
      </c>
      <c r="E12" s="10" t="s">
        <v>105</v>
      </c>
      <c r="G12" s="0" t="n">
        <v>40</v>
      </c>
      <c r="I12" s="11"/>
      <c r="J12" s="10" t="s">
        <v>792</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498</v>
      </c>
      <c r="D13" s="10" t="s">
        <v>681</v>
      </c>
      <c r="E13" s="10" t="s">
        <v>105</v>
      </c>
      <c r="G13" s="0" t="n">
        <v>40</v>
      </c>
      <c r="I13" s="11"/>
      <c r="J13" s="10" t="s">
        <v>792</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498</v>
      </c>
      <c r="D14" s="10" t="s">
        <v>683</v>
      </c>
      <c r="E14" s="10" t="s">
        <v>105</v>
      </c>
      <c r="G14" s="0" t="n">
        <v>50</v>
      </c>
      <c r="I14" s="11"/>
      <c r="J14" s="10" t="s">
        <v>792</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498</v>
      </c>
      <c r="D15" s="10" t="s">
        <v>686</v>
      </c>
      <c r="E15" s="10" t="s">
        <v>105</v>
      </c>
      <c r="G15" s="0" t="n">
        <v>50</v>
      </c>
      <c r="I15" s="11"/>
      <c r="J15" s="10" t="s">
        <v>792</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498</v>
      </c>
      <c r="D16" s="10" t="s">
        <v>688</v>
      </c>
      <c r="E16" s="10" t="s">
        <v>105</v>
      </c>
      <c r="G16" s="0" t="n">
        <v>70</v>
      </c>
      <c r="I16" s="11"/>
      <c r="J16" s="10" t="s">
        <v>792</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472</v>
      </c>
      <c r="D17" s="10" t="s">
        <v>678</v>
      </c>
      <c r="E17" s="10" t="s">
        <v>800</v>
      </c>
      <c r="G17" s="0" t="n">
        <v>5</v>
      </c>
      <c r="I17" s="11"/>
      <c r="J17" s="10" t="s">
        <v>792</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498</v>
      </c>
      <c r="D18" s="10" t="s">
        <v>683</v>
      </c>
      <c r="E18" s="10" t="s">
        <v>800</v>
      </c>
      <c r="G18" s="0" t="n">
        <v>6</v>
      </c>
      <c r="I18" s="11"/>
      <c r="J18" s="10" t="s">
        <v>792</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472</v>
      </c>
      <c r="D19" s="10" t="s">
        <v>678</v>
      </c>
      <c r="E19" s="10" t="s">
        <v>801</v>
      </c>
      <c r="F19" s="0" t="s">
        <v>802</v>
      </c>
      <c r="G19" s="0" t="n">
        <v>10</v>
      </c>
      <c r="I19" s="11"/>
      <c r="J19" s="10" t="s">
        <v>792</v>
      </c>
      <c r="K19" s="10" t="s">
        <v>803</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472</v>
      </c>
      <c r="D20" s="10" t="s">
        <v>683</v>
      </c>
      <c r="E20" s="10" t="s">
        <v>801</v>
      </c>
      <c r="F20" s="0" t="s">
        <v>802</v>
      </c>
      <c r="G20" s="0" t="n">
        <v>11</v>
      </c>
      <c r="I20" s="11"/>
      <c r="J20" s="10" t="s">
        <v>792</v>
      </c>
      <c r="K20" s="10" t="s">
        <v>803</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498</v>
      </c>
      <c r="D21" s="10" t="s">
        <v>678</v>
      </c>
      <c r="E21" s="10" t="s">
        <v>804</v>
      </c>
      <c r="G21" s="0" t="n">
        <v>3</v>
      </c>
      <c r="I21" s="11"/>
      <c r="J21" s="10" t="s">
        <v>792</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498</v>
      </c>
      <c r="D22" s="10" t="s">
        <v>681</v>
      </c>
      <c r="E22" s="10" t="s">
        <v>804</v>
      </c>
      <c r="G22" s="0" t="n">
        <v>4</v>
      </c>
      <c r="I22" s="11"/>
      <c r="J22" s="10" t="s">
        <v>792</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498</v>
      </c>
      <c r="D23" s="10" t="s">
        <v>683</v>
      </c>
      <c r="E23" s="10" t="s">
        <v>804</v>
      </c>
      <c r="G23" s="0" t="n">
        <v>6</v>
      </c>
      <c r="I23" s="11"/>
      <c r="J23" s="10" t="s">
        <v>792</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498</v>
      </c>
      <c r="D24" s="10" t="s">
        <v>686</v>
      </c>
      <c r="E24" s="10" t="s">
        <v>804</v>
      </c>
      <c r="G24" s="0" t="n">
        <v>2</v>
      </c>
      <c r="I24" s="11"/>
      <c r="J24" s="10" t="s">
        <v>792</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498</v>
      </c>
      <c r="D25" s="10" t="s">
        <v>688</v>
      </c>
      <c r="E25" s="10" t="s">
        <v>804</v>
      </c>
      <c r="G25" s="0" t="n">
        <v>3</v>
      </c>
      <c r="I25" s="11"/>
      <c r="J25" s="10" t="s">
        <v>792</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498</v>
      </c>
      <c r="E26" s="10" t="s">
        <v>805</v>
      </c>
      <c r="F26" s="0" t="s">
        <v>802</v>
      </c>
      <c r="G26" s="0" t="n">
        <v>3</v>
      </c>
      <c r="I26" s="11"/>
      <c r="J26" s="10" t="s">
        <v>792</v>
      </c>
      <c r="K26" s="10" t="s">
        <v>806</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498</v>
      </c>
      <c r="E27" s="10" t="s">
        <v>805</v>
      </c>
      <c r="F27" s="0" t="s">
        <v>807</v>
      </c>
      <c r="G27" s="0" t="n">
        <v>18</v>
      </c>
      <c r="I27" s="11"/>
      <c r="J27" s="10" t="s">
        <v>792</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498</v>
      </c>
      <c r="E28" s="10" t="s">
        <v>805</v>
      </c>
      <c r="F28" s="0" t="s">
        <v>797</v>
      </c>
      <c r="G28" s="0" t="n">
        <v>16</v>
      </c>
      <c r="I28" s="11"/>
      <c r="J28" s="10" t="s">
        <v>792</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516</v>
      </c>
      <c r="E29" s="10" t="s">
        <v>685</v>
      </c>
      <c r="G29" s="0" t="n">
        <v>510</v>
      </c>
      <c r="H29" s="10" t="s">
        <v>808</v>
      </c>
      <c r="I29" s="11" t="n">
        <v>46599</v>
      </c>
      <c r="J29" s="10" t="s">
        <v>792</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532</v>
      </c>
      <c r="E30" s="10" t="s">
        <v>685</v>
      </c>
      <c r="G30" s="0" t="n">
        <v>501</v>
      </c>
      <c r="H30" s="10" t="s">
        <v>809</v>
      </c>
      <c r="I30" s="11" t="n">
        <v>46568</v>
      </c>
      <c r="J30" s="10" t="s">
        <v>792</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549</v>
      </c>
      <c r="E31" s="10" t="s">
        <v>685</v>
      </c>
      <c r="G31" s="0" t="n">
        <v>567</v>
      </c>
      <c r="H31" s="10" t="s">
        <v>810</v>
      </c>
      <c r="I31" s="11" t="n">
        <v>46522</v>
      </c>
      <c r="J31" s="10" t="s">
        <v>792</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516</v>
      </c>
      <c r="D32" s="10" t="s">
        <v>678</v>
      </c>
      <c r="E32" s="10" t="s">
        <v>105</v>
      </c>
      <c r="G32" s="0" t="n">
        <v>37</v>
      </c>
      <c r="I32" s="11"/>
      <c r="J32" s="10" t="s">
        <v>811</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516</v>
      </c>
      <c r="D33" s="10" t="s">
        <v>681</v>
      </c>
      <c r="E33" s="10" t="s">
        <v>105</v>
      </c>
      <c r="G33" s="0" t="n">
        <v>37</v>
      </c>
      <c r="I33" s="11"/>
      <c r="J33" s="10" t="s">
        <v>811</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516</v>
      </c>
      <c r="D34" s="10" t="s">
        <v>683</v>
      </c>
      <c r="E34" s="10" t="s">
        <v>105</v>
      </c>
      <c r="G34" s="0" t="n">
        <v>47</v>
      </c>
      <c r="I34" s="11"/>
      <c r="J34" s="10" t="s">
        <v>811</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516</v>
      </c>
      <c r="D35" s="10" t="s">
        <v>686</v>
      </c>
      <c r="E35" s="10" t="s">
        <v>105</v>
      </c>
      <c r="G35" s="0" t="n">
        <v>47</v>
      </c>
      <c r="I35" s="11"/>
      <c r="J35" s="10" t="s">
        <v>811</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516</v>
      </c>
      <c r="D36" s="10" t="s">
        <v>688</v>
      </c>
      <c r="E36" s="10" t="s">
        <v>105</v>
      </c>
      <c r="G36" s="0" t="n">
        <v>67</v>
      </c>
      <c r="I36" s="11"/>
      <c r="J36" s="10" t="s">
        <v>811</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516</v>
      </c>
      <c r="D37" s="10" t="s">
        <v>690</v>
      </c>
      <c r="E37" s="10" t="s">
        <v>105</v>
      </c>
      <c r="G37" s="0" t="n">
        <v>42</v>
      </c>
      <c r="I37" s="11"/>
      <c r="J37" s="10" t="s">
        <v>811</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516</v>
      </c>
      <c r="D38" s="10" t="s">
        <v>692</v>
      </c>
      <c r="E38" s="10" t="s">
        <v>105</v>
      </c>
      <c r="G38" s="0" t="n">
        <v>57</v>
      </c>
      <c r="I38" s="11"/>
      <c r="J38" s="10" t="s">
        <v>811</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516</v>
      </c>
      <c r="D39" s="10" t="s">
        <v>694</v>
      </c>
      <c r="E39" s="10" t="s">
        <v>105</v>
      </c>
      <c r="G39" s="0" t="n">
        <v>42</v>
      </c>
      <c r="I39" s="11"/>
      <c r="J39" s="10" t="s">
        <v>811</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516</v>
      </c>
      <c r="D40" s="10" t="s">
        <v>696</v>
      </c>
      <c r="E40" s="10" t="s">
        <v>105</v>
      </c>
      <c r="G40" s="0" t="n">
        <v>72</v>
      </c>
      <c r="I40" s="11"/>
      <c r="J40" s="10" t="s">
        <v>792</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516</v>
      </c>
      <c r="D41" s="10" t="s">
        <v>698</v>
      </c>
      <c r="E41" s="10" t="s">
        <v>105</v>
      </c>
      <c r="G41" s="0" t="n">
        <v>37</v>
      </c>
      <c r="I41" s="11"/>
      <c r="J41" s="10" t="s">
        <v>811</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532</v>
      </c>
      <c r="D42" s="10" t="s">
        <v>678</v>
      </c>
      <c r="E42" s="10" t="s">
        <v>105</v>
      </c>
      <c r="G42" s="0" t="n">
        <v>40</v>
      </c>
      <c r="I42" s="11"/>
      <c r="J42" s="10" t="s">
        <v>811</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532</v>
      </c>
      <c r="D43" s="10" t="s">
        <v>681</v>
      </c>
      <c r="E43" s="10" t="s">
        <v>105</v>
      </c>
      <c r="G43" s="0" t="n">
        <v>40</v>
      </c>
      <c r="I43" s="11"/>
      <c r="J43" s="10" t="s">
        <v>811</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532</v>
      </c>
      <c r="D44" s="10" t="s">
        <v>683</v>
      </c>
      <c r="E44" s="10" t="s">
        <v>105</v>
      </c>
      <c r="G44" s="0" t="n">
        <v>50</v>
      </c>
      <c r="I44" s="11"/>
      <c r="J44" s="10" t="s">
        <v>811</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532</v>
      </c>
      <c r="D45" s="10" t="s">
        <v>686</v>
      </c>
      <c r="E45" s="10" t="s">
        <v>105</v>
      </c>
      <c r="G45" s="0" t="n">
        <v>50</v>
      </c>
      <c r="I45" s="11"/>
      <c r="J45" s="10" t="s">
        <v>811</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532</v>
      </c>
      <c r="D46" s="10" t="s">
        <v>688</v>
      </c>
      <c r="E46" s="10" t="s">
        <v>105</v>
      </c>
      <c r="G46" s="0" t="n">
        <v>70</v>
      </c>
      <c r="I46" s="11"/>
      <c r="J46" s="10" t="s">
        <v>811</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532</v>
      </c>
      <c r="D47" s="10" t="s">
        <v>690</v>
      </c>
      <c r="E47" s="10" t="s">
        <v>105</v>
      </c>
      <c r="G47" s="0" t="n">
        <v>45</v>
      </c>
      <c r="I47" s="11"/>
      <c r="J47" s="10" t="s">
        <v>811</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532</v>
      </c>
      <c r="D48" s="10" t="s">
        <v>694</v>
      </c>
      <c r="E48" s="10" t="s">
        <v>105</v>
      </c>
      <c r="G48" s="0" t="n">
        <v>45</v>
      </c>
      <c r="I48" s="11"/>
      <c r="J48" s="10" t="s">
        <v>811</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532</v>
      </c>
      <c r="D49" s="10" t="s">
        <v>696</v>
      </c>
      <c r="E49" s="10" t="s">
        <v>105</v>
      </c>
      <c r="G49" s="0" t="n">
        <v>75</v>
      </c>
      <c r="I49" s="11"/>
      <c r="J49" s="10" t="s">
        <v>792</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532</v>
      </c>
      <c r="D50" s="10" t="s">
        <v>696</v>
      </c>
      <c r="E50" s="10" t="s">
        <v>800</v>
      </c>
      <c r="G50" s="0" t="n">
        <v>6</v>
      </c>
      <c r="I50" s="11"/>
      <c r="J50" s="10" t="s">
        <v>792</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532</v>
      </c>
      <c r="D51" s="10" t="s">
        <v>698</v>
      </c>
      <c r="E51" s="10" t="s">
        <v>105</v>
      </c>
      <c r="G51" s="0" t="n">
        <v>40</v>
      </c>
      <c r="I51" s="11"/>
      <c r="J51" s="10" t="s">
        <v>811</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549</v>
      </c>
      <c r="D52" s="10" t="s">
        <v>678</v>
      </c>
      <c r="E52" s="10" t="s">
        <v>105</v>
      </c>
      <c r="G52" s="0" t="n">
        <v>40</v>
      </c>
      <c r="I52" s="11"/>
      <c r="J52" s="10" t="s">
        <v>811</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549</v>
      </c>
      <c r="D53" s="10" t="s">
        <v>681</v>
      </c>
      <c r="E53" s="10" t="s">
        <v>105</v>
      </c>
      <c r="G53" s="0" t="n">
        <v>40</v>
      </c>
      <c r="I53" s="11"/>
      <c r="J53" s="10" t="s">
        <v>811</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549</v>
      </c>
      <c r="D54" s="10" t="s">
        <v>683</v>
      </c>
      <c r="E54" s="10" t="s">
        <v>105</v>
      </c>
      <c r="G54" s="0" t="n">
        <v>50</v>
      </c>
      <c r="I54" s="11"/>
      <c r="J54" s="10" t="s">
        <v>811</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549</v>
      </c>
      <c r="D55" s="10" t="s">
        <v>686</v>
      </c>
      <c r="E55" s="10" t="s">
        <v>105</v>
      </c>
      <c r="G55" s="0" t="n">
        <v>50</v>
      </c>
      <c r="I55" s="11"/>
      <c r="J55" s="10" t="s">
        <v>811</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549</v>
      </c>
      <c r="D56" s="10" t="s">
        <v>688</v>
      </c>
      <c r="E56" s="10" t="s">
        <v>105</v>
      </c>
      <c r="G56" s="0" t="n">
        <v>70</v>
      </c>
      <c r="I56" s="11"/>
      <c r="J56" s="10" t="s">
        <v>811</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549</v>
      </c>
      <c r="D57" s="10" t="s">
        <v>690</v>
      </c>
      <c r="E57" s="10" t="s">
        <v>105</v>
      </c>
      <c r="G57" s="0" t="n">
        <v>45</v>
      </c>
      <c r="I57" s="11"/>
      <c r="J57" s="10" t="s">
        <v>811</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549</v>
      </c>
      <c r="D58" s="10" t="s">
        <v>692</v>
      </c>
      <c r="E58" s="10" t="s">
        <v>105</v>
      </c>
      <c r="G58" s="0" t="n">
        <v>60</v>
      </c>
      <c r="I58" s="11"/>
      <c r="J58" s="10" t="s">
        <v>811</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549</v>
      </c>
      <c r="D59" s="10" t="s">
        <v>694</v>
      </c>
      <c r="E59" s="10" t="s">
        <v>105</v>
      </c>
      <c r="G59" s="0" t="n">
        <v>45</v>
      </c>
      <c r="I59" s="11"/>
      <c r="J59" s="10" t="s">
        <v>811</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549</v>
      </c>
      <c r="D60" s="10" t="s">
        <v>696</v>
      </c>
      <c r="E60" s="10" t="s">
        <v>105</v>
      </c>
      <c r="G60" s="0" t="n">
        <v>75</v>
      </c>
      <c r="I60" s="11"/>
      <c r="J60" s="10" t="s">
        <v>792</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549</v>
      </c>
      <c r="D61" s="10" t="s">
        <v>696</v>
      </c>
      <c r="E61" s="10" t="s">
        <v>800</v>
      </c>
      <c r="G61" s="0" t="n">
        <v>6</v>
      </c>
      <c r="I61" s="11"/>
      <c r="J61" s="10" t="s">
        <v>792</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549</v>
      </c>
      <c r="D62" s="10" t="s">
        <v>698</v>
      </c>
      <c r="E62" s="10" t="s">
        <v>105</v>
      </c>
      <c r="G62" s="0" t="n">
        <v>40</v>
      </c>
      <c r="I62" s="11"/>
      <c r="J62" s="10" t="s">
        <v>811</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549</v>
      </c>
      <c r="D63" s="10" t="s">
        <v>698</v>
      </c>
      <c r="E63" s="10" t="s">
        <v>800</v>
      </c>
      <c r="G63" s="0" t="n">
        <v>6</v>
      </c>
      <c r="I63" s="11"/>
      <c r="J63" s="10" t="s">
        <v>792</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516</v>
      </c>
      <c r="D64" s="10" t="s">
        <v>688</v>
      </c>
      <c r="E64" s="10" t="s">
        <v>801</v>
      </c>
      <c r="F64" s="0" t="s">
        <v>802</v>
      </c>
      <c r="G64" s="0" t="n">
        <v>25</v>
      </c>
      <c r="I64" s="11"/>
      <c r="J64" s="10" t="s">
        <v>792</v>
      </c>
      <c r="K64" s="10" t="s">
        <v>812</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532</v>
      </c>
      <c r="D65" s="10" t="s">
        <v>678</v>
      </c>
      <c r="E65" s="10" t="s">
        <v>804</v>
      </c>
      <c r="G65" s="0" t="n">
        <v>2</v>
      </c>
      <c r="I65" s="11"/>
      <c r="J65" s="10" t="s">
        <v>792</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532</v>
      </c>
      <c r="D66" s="10" t="s">
        <v>681</v>
      </c>
      <c r="E66" s="10" t="s">
        <v>804</v>
      </c>
      <c r="G66" s="0" t="n">
        <v>4</v>
      </c>
      <c r="I66" s="11"/>
      <c r="J66" s="10" t="s">
        <v>792</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532</v>
      </c>
      <c r="D67" s="10" t="s">
        <v>683</v>
      </c>
      <c r="E67" s="10" t="s">
        <v>804</v>
      </c>
      <c r="G67" s="0" t="n">
        <v>2</v>
      </c>
      <c r="I67" s="11"/>
      <c r="J67" s="10" t="s">
        <v>792</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532</v>
      </c>
      <c r="D68" s="10" t="s">
        <v>686</v>
      </c>
      <c r="E68" s="10" t="s">
        <v>804</v>
      </c>
      <c r="G68" s="0" t="n">
        <v>6</v>
      </c>
      <c r="I68" s="11"/>
      <c r="J68" s="10" t="s">
        <v>792</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532</v>
      </c>
      <c r="D69" s="10" t="s">
        <v>688</v>
      </c>
      <c r="E69" s="10" t="s">
        <v>804</v>
      </c>
      <c r="G69" s="0" t="n">
        <v>6</v>
      </c>
      <c r="I69" s="11"/>
      <c r="J69" s="10" t="s">
        <v>792</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532</v>
      </c>
      <c r="D70" s="10" t="s">
        <v>690</v>
      </c>
      <c r="E70" s="10" t="s">
        <v>804</v>
      </c>
      <c r="G70" s="0" t="n">
        <v>4</v>
      </c>
      <c r="I70" s="11"/>
      <c r="J70" s="10" t="s">
        <v>792</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532</v>
      </c>
      <c r="D71" s="10" t="s">
        <v>694</v>
      </c>
      <c r="E71" s="10" t="s">
        <v>804</v>
      </c>
      <c r="G71" s="0" t="n">
        <v>2</v>
      </c>
      <c r="I71" s="11"/>
      <c r="J71" s="10" t="s">
        <v>792</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532</v>
      </c>
      <c r="D72" s="10" t="s">
        <v>696</v>
      </c>
      <c r="E72" s="10" t="s">
        <v>804</v>
      </c>
      <c r="G72" s="0" t="n">
        <v>3</v>
      </c>
      <c r="I72" s="11"/>
      <c r="J72" s="10" t="s">
        <v>792</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532</v>
      </c>
      <c r="D73" s="10" t="s">
        <v>698</v>
      </c>
      <c r="E73" s="10" t="s">
        <v>804</v>
      </c>
      <c r="G73" s="0" t="n">
        <v>4</v>
      </c>
      <c r="I73" s="11"/>
      <c r="J73" s="10" t="s">
        <v>792</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532</v>
      </c>
      <c r="E74" s="10" t="s">
        <v>805</v>
      </c>
      <c r="F74" s="0" t="s">
        <v>802</v>
      </c>
      <c r="G74" s="0" t="n">
        <v>40</v>
      </c>
      <c r="I74" s="11"/>
      <c r="J74" s="10" t="s">
        <v>792</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532</v>
      </c>
      <c r="E75" s="10" t="s">
        <v>805</v>
      </c>
      <c r="F75" s="0" t="s">
        <v>807</v>
      </c>
      <c r="G75" s="0" t="n">
        <v>33</v>
      </c>
      <c r="I75" s="11"/>
      <c r="J75" s="10" t="s">
        <v>792</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549</v>
      </c>
      <c r="D76" s="10" t="s">
        <v>688</v>
      </c>
      <c r="E76" s="10" t="s">
        <v>801</v>
      </c>
      <c r="F76" s="0" t="s">
        <v>802</v>
      </c>
      <c r="G76" s="0" t="n">
        <v>40</v>
      </c>
      <c r="I76" s="11"/>
      <c r="J76" s="10" t="s">
        <v>792</v>
      </c>
      <c r="K76" s="10" t="s">
        <v>812</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563</v>
      </c>
      <c r="E77" s="10" t="s">
        <v>685</v>
      </c>
      <c r="G77" s="0" t="n">
        <v>480</v>
      </c>
      <c r="H77" s="10" t="s">
        <v>813</v>
      </c>
      <c r="I77" s="11" t="n">
        <v>46630</v>
      </c>
      <c r="J77" s="10" t="s">
        <v>792</v>
      </c>
      <c r="K77" s="10" t="s">
        <v>814</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563</v>
      </c>
      <c r="D78" s="10" t="s">
        <v>678</v>
      </c>
      <c r="E78" s="10" t="s">
        <v>105</v>
      </c>
      <c r="G78" s="0" t="n">
        <v>35</v>
      </c>
      <c r="I78" s="11"/>
      <c r="J78" s="10" t="s">
        <v>811</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563</v>
      </c>
      <c r="D79" s="10" t="s">
        <v>681</v>
      </c>
      <c r="E79" s="10" t="s">
        <v>105</v>
      </c>
      <c r="G79" s="0" t="n">
        <v>35</v>
      </c>
      <c r="I79" s="11"/>
      <c r="J79" s="10" t="s">
        <v>811</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563</v>
      </c>
      <c r="D80" s="10" t="s">
        <v>683</v>
      </c>
      <c r="E80" s="10" t="s">
        <v>105</v>
      </c>
      <c r="G80" s="0" t="n">
        <v>45</v>
      </c>
      <c r="I80" s="11"/>
      <c r="J80" s="10" t="s">
        <v>811</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563</v>
      </c>
      <c r="D81" s="10" t="s">
        <v>686</v>
      </c>
      <c r="E81" s="10" t="s">
        <v>105</v>
      </c>
      <c r="G81" s="0" t="n">
        <v>45</v>
      </c>
      <c r="I81" s="11"/>
      <c r="J81" s="10" t="s">
        <v>811</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563</v>
      </c>
      <c r="D82" s="10" t="s">
        <v>688</v>
      </c>
      <c r="E82" s="10" t="s">
        <v>105</v>
      </c>
      <c r="G82" s="0" t="n">
        <v>65</v>
      </c>
      <c r="I82" s="11"/>
      <c r="J82" s="10" t="s">
        <v>811</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46443</v>
      </c>
      <c r="B83" s="38" t="n">
        <v>0.541666666666667</v>
      </c>
      <c r="C83" s="10" t="s">
        <v>563</v>
      </c>
      <c r="D83" s="10" t="s">
        <v>688</v>
      </c>
      <c r="E83" s="10" t="s">
        <v>800</v>
      </c>
      <c r="G83" s="0" t="n">
        <v>6</v>
      </c>
      <c r="I83" s="11"/>
      <c r="J83" s="10" t="s">
        <v>792</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-6</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SAMPLE-CMP-006|SAMPLE-O-005|topped_up</v>
      </c>
    </row>
    <row r="84" customFormat="false" ht="15" hidden="false" customHeight="false" outlineLevel="0" collapsed="false">
      <c r="A84" s="11" t="n">
        <v>46441</v>
      </c>
      <c r="B84" s="38" t="n">
        <v>0.402083333333333</v>
      </c>
      <c r="C84" s="10" t="s">
        <v>563</v>
      </c>
      <c r="D84" s="10" t="s">
        <v>692</v>
      </c>
      <c r="E84" s="10" t="s">
        <v>105</v>
      </c>
      <c r="G84" s="0" t="n">
        <v>55</v>
      </c>
      <c r="I84" s="11"/>
      <c r="J84" s="10" t="s">
        <v>811</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-55</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SAMPLE-CMP-006|SAMPLE-O-007|delivered</v>
      </c>
    </row>
    <row r="85" customFormat="false" ht="15" hidden="false" customHeight="false" outlineLevel="0" collapsed="false">
      <c r="A85" s="11" t="n">
        <v>46441</v>
      </c>
      <c r="B85" s="38" t="n">
        <v>0.415972222222222</v>
      </c>
      <c r="C85" s="10" t="s">
        <v>563</v>
      </c>
      <c r="D85" s="10" t="s">
        <v>694</v>
      </c>
      <c r="E85" s="10" t="s">
        <v>105</v>
      </c>
      <c r="G85" s="0" t="n">
        <v>40</v>
      </c>
      <c r="I85" s="11"/>
      <c r="J85" s="10" t="s">
        <v>811</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-40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SAMPLE-CMP-006|SAMPLE-O-008|delivered</v>
      </c>
    </row>
    <row r="86" customFormat="false" ht="15" hidden="false" customHeight="false" outlineLevel="0" collapsed="false">
      <c r="A86" s="11" t="n">
        <v>46441</v>
      </c>
      <c r="B86" s="38" t="n">
        <v>0.460416666666667</v>
      </c>
      <c r="C86" s="10" t="s">
        <v>563</v>
      </c>
      <c r="D86" s="10" t="s">
        <v>696</v>
      </c>
      <c r="E86" s="10" t="s">
        <v>105</v>
      </c>
      <c r="G86" s="0" t="n">
        <v>70</v>
      </c>
      <c r="I86" s="11"/>
      <c r="J86" s="10" t="s">
        <v>811</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-70</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SAMPLE-CMP-006|SAMPLE-O-009|delivered</v>
      </c>
    </row>
    <row r="87" customFormat="false" ht="15" hidden="false" customHeight="false" outlineLevel="0" collapsed="false">
      <c r="A87" s="11" t="n">
        <v>46443</v>
      </c>
      <c r="B87" s="38" t="n">
        <v>0.541666666666667</v>
      </c>
      <c r="C87" s="10" t="s">
        <v>563</v>
      </c>
      <c r="D87" s="10" t="s">
        <v>696</v>
      </c>
      <c r="E87" s="10" t="s">
        <v>800</v>
      </c>
      <c r="G87" s="0" t="n">
        <v>6</v>
      </c>
      <c r="I87" s="11"/>
      <c r="J87" s="10" t="s">
        <v>792</v>
      </c>
      <c r="L87" s="31" t="n">
        <f aca="false">IF($C87="","",IFERROR(IF(INDEX(campaigns!$BG$2:$BG$51,MATCH($C87,campaigns!$A$2:$A$51,0))="","",INDEX(campaigns!$BG$2:$BG$51,MATCH($C87,campaigns!$A$2:$A$51,0))),""))</f>
        <v>46441</v>
      </c>
      <c r="M87" s="30" t="n">
        <f aca="false">IF($C87="","",IF(OR($E87="received"),N($G87),IF(OR($E87="rejected",$E87="delivered",$E87="topped_up"),-N($G87),IF(AND(OR($E87="returned_to_brand",$E87="given_to_roster_office",$E87="released_to_office",$E87="disposed"),IF($F87="","reserve",$F87)="reserve"),-N($G87),IF(AND($E87="correction",IF($F87="","reserve",$F87)="reserve"),N($G87),0)))))</f>
        <v>-6</v>
      </c>
      <c r="N87" s="30" t="n">
        <f aca="false">IF($C87="","",IF($E87="rejected",N($G87),IF(AND(OR($E87="returned_to_brand",$E87="given_to_roster_office",$E87="released_to_office",$E87="disposed"),IF($F87="","reserve",$F87)="rejected"),-N($G87),IF(AND($E87="correction",IF($F87="","reserve",$F87)="rejected"),N($G87),0))))</f>
        <v>0</v>
      </c>
      <c r="O87" s="30" t="n">
        <f aca="false">IF($C87="","",IF($E87="collected",N($G87),IF(AND(OR($E87="returned_to_brand",$E87="given_to_roster_office",$E87="released_to_office",$E87="disposed"),IF($F87="","reserve",$F87)="leftover"),-N($G87),IF(AND($E87="correction",IF($F87="","reserve",$F87)="leftover"),N($G87),0))))</f>
        <v>0</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SAMPLE-CMP-006|SAMPLE-O-009|topped_up</v>
      </c>
    </row>
    <row r="88" customFormat="false" ht="15" hidden="false" customHeight="false" outlineLevel="0" collapsed="false">
      <c r="A88" s="11" t="n">
        <v>46441</v>
      </c>
      <c r="B88" s="38" t="n">
        <v>0.361805555555556</v>
      </c>
      <c r="C88" s="10" t="s">
        <v>563</v>
      </c>
      <c r="D88" s="10" t="s">
        <v>698</v>
      </c>
      <c r="E88" s="10" t="s">
        <v>105</v>
      </c>
      <c r="G88" s="0" t="n">
        <v>35</v>
      </c>
      <c r="I88" s="11"/>
      <c r="J88" s="10" t="s">
        <v>811</v>
      </c>
      <c r="L88" s="31" t="n">
        <f aca="false">IF($C88="","",IFERROR(IF(INDEX(campaigns!$BG$2:$BG$51,MATCH($C88,campaigns!$A$2:$A$51,0))="","",INDEX(campaigns!$BG$2:$BG$51,MATCH($C88,campaigns!$A$2:$A$51,0))),""))</f>
        <v>46441</v>
      </c>
      <c r="M88" s="30" t="n">
        <f aca="false">IF($C88="","",IF(OR($E88="received"),N($G88),IF(OR($E88="rejected",$E88="delivered",$E88="topped_up"),-N($G88),IF(AND(OR($E88="returned_to_brand",$E88="given_to_roster_office",$E88="released_to_office",$E88="disposed"),IF($F88="","reserve",$F88)="reserve"),-N($G88),IF(AND($E88="correction",IF($F88="","reserve",$F88)="reserve"),N($G88),0)))))</f>
        <v>-35</v>
      </c>
      <c r="N88" s="30" t="n">
        <f aca="false">IF($C88="","",IF($E88="rejected",N($G88),IF(AND(OR($E88="returned_to_brand",$E88="given_to_roster_office",$E88="released_to_office",$E88="disposed"),IF($F88="","reserve",$F88)="rejected"),-N($G88),IF(AND($E88="correction",IF($F88="","reserve",$F88)="rejected"),N($G88),0))))</f>
        <v>0</v>
      </c>
      <c r="O88" s="30" t="n">
        <f aca="false">IF($C88="","",IF($E88="collected",N($G88),IF(AND(OR($E88="returned_to_brand",$E88="given_to_roster_office",$E88="released_to_office",$E88="disposed"),IF($F88="","reserve",$F88)="leftover"),-N($G88),IF(AND($E88="correction",IF($F88="","reserve",$F88)="leftover"),N($G88),0))))</f>
        <v>0</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SAMPLE-CMP-006|SAMPLE-O-010|delivered</v>
      </c>
    </row>
    <row r="89" customFormat="false" ht="15" hidden="false" customHeight="false" outlineLevel="0" collapsed="false">
      <c r="A89" s="11" t="n">
        <v>46447</v>
      </c>
      <c r="B89" s="38" t="n">
        <v>0.708333333333333</v>
      </c>
      <c r="C89" s="10" t="s">
        <v>563</v>
      </c>
      <c r="D89" s="10" t="s">
        <v>688</v>
      </c>
      <c r="E89" s="10" t="s">
        <v>801</v>
      </c>
      <c r="F89" s="0" t="s">
        <v>802</v>
      </c>
      <c r="G89" s="0" t="n">
        <v>43</v>
      </c>
      <c r="I89" s="11"/>
      <c r="J89" s="10" t="s">
        <v>792</v>
      </c>
      <c r="K89" s="10" t="s">
        <v>815</v>
      </c>
      <c r="L89" s="31" t="n">
        <f aca="false">IF($C89="","",IFERROR(IF(INDEX(campaigns!$BG$2:$BG$51,MATCH($C89,campaigns!$A$2:$A$51,0))="","",INDEX(campaigns!$BG$2:$BG$51,MATCH($C89,campaigns!$A$2:$A$51,0))),""))</f>
        <v>46441</v>
      </c>
      <c r="M89" s="30" t="n">
        <f aca="false">IF($C89="","",IF(OR($E89="received"),N($G89),IF(OR($E89="rejected",$E89="delivered",$E89="topped_up"),-N($G89),IF(AND(OR($E89="returned_to_brand",$E89="given_to_roster_office",$E89="released_to_office",$E89="disposed"),IF($F89="","reserve",$F89)="reserve"),-N($G89),IF(AND($E89="correction",IF($F89="","reserve",$F89)="reserve"),N($G89),0)))))</f>
        <v>-43</v>
      </c>
      <c r="N89" s="30" t="n">
        <f aca="false">IF($C89="","",IF($E89="rejected",N($G89),IF(AND(OR($E89="returned_to_brand",$E89="given_to_roster_office",$E89="released_to_office",$E89="disposed"),IF($F89="","reserve",$F89)="rejected"),-N($G89),IF(AND($E89="correction",IF($F89="","reserve",$F89)="rejected"),N($G89),0))))</f>
        <v>0</v>
      </c>
      <c r="O89" s="30" t="n">
        <f aca="false">IF($C89="","",IF($E89="collected",N($G89),IF(AND(OR($E89="returned_to_brand",$E89="given_to_roster_office",$E89="released_to_office",$E89="disposed"),IF($F89="","reserve",$F89)="leftover"),-N($G89),IF(AND($E89="correction",IF($F89="","reserve",$F89)="leftover"),N($G89),0))))</f>
        <v>0</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SAMPLE-CMP-006|SAMPLE-O-005|released_to_office</v>
      </c>
    </row>
    <row r="90" customFormat="false" ht="15" hidden="false" customHeight="false" outlineLevel="0" collapsed="false">
      <c r="A90" s="11" t="n">
        <v>46462</v>
      </c>
      <c r="B90" s="38" t="n">
        <v>0.583333333333333</v>
      </c>
      <c r="C90" s="10" t="s">
        <v>576</v>
      </c>
      <c r="E90" s="10" t="s">
        <v>685</v>
      </c>
      <c r="G90" s="0" t="n">
        <v>52</v>
      </c>
      <c r="H90" s="10" t="s">
        <v>816</v>
      </c>
      <c r="I90" s="11" t="n">
        <v>46630</v>
      </c>
      <c r="J90" s="10" t="s">
        <v>792</v>
      </c>
      <c r="K90" s="10" t="s">
        <v>817</v>
      </c>
      <c r="L90" s="31" t="n">
        <f aca="false">IF($C90="","",IFERROR(IF(INDEX(campaigns!$BG$2:$BG$51,MATCH($C90,campaigns!$A$2:$A$51,0))="","",INDEX(campaigns!$BG$2:$BG$51,MATCH($C90,campaigns!$A$2:$A$51,0))),""))</f>
        <v>46469</v>
      </c>
      <c r="M90" s="30" t="n">
        <f aca="false">IF($C90="","",IF(OR($E90="received"),N($G90),IF(OR($E90="rejected",$E90="delivered",$E90="topped_up"),-N($G90),IF(AND(OR($E90="returned_to_brand",$E90="given_to_roster_office",$E90="released_to_office",$E90="disposed"),IF($F90="","reserve",$F90)="reserve"),-N($G90),IF(AND($E90="correction",IF($F90="","reserve",$F90)="reserve"),N($G90),0)))))</f>
        <v>52</v>
      </c>
      <c r="N90" s="30" t="n">
        <f aca="false">IF($C90="","",IF($E90="rejected",N($G90),IF(AND(OR($E90="returned_to_brand",$E90="given_to_roster_office",$E90="released_to_office",$E90="disposed"),IF($F90="","reserve",$F90)="rejected"),-N($G90),IF(AND($E90="correction",IF($F90="","reserve",$F90)="rejected"),N($G90),0))))</f>
        <v>0</v>
      </c>
      <c r="O90" s="30" t="n">
        <f aca="false">IF($C90="","",IF($E90="collected",N($G90),IF(AND(OR($E90="returned_to_brand",$E90="given_to_roster_office",$E90="released_to_office",$E90="disposed"),IF($F90="","reserve",$F90)="leftover"),-N($G90),IF(AND($E90="correction",IF($F90="","reserve",$F90)="leftover"),N($G90),0))))</f>
        <v>0</v>
      </c>
      <c r="P90" s="30" t="str">
        <f aca="false">IF(OR($E90&lt;&gt;"received",$I90="",$L90=""),"",IF($I90&gt;=$L90+config!$B$19,"Y","N"))</f>
        <v>Y</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SAMPLE-CMP-007||received</v>
      </c>
    </row>
    <row r="91" customFormat="false" ht="15" hidden="false" customHeight="false" outlineLevel="0" collapsed="false">
      <c r="A91" s="11" t="n">
        <v>46462</v>
      </c>
      <c r="B91" s="38" t="n">
        <v>0.586805555555556</v>
      </c>
      <c r="C91" s="10" t="s">
        <v>576</v>
      </c>
      <c r="E91" s="10" t="s">
        <v>685</v>
      </c>
      <c r="G91" s="0" t="n">
        <v>75</v>
      </c>
      <c r="H91" s="10" t="s">
        <v>816</v>
      </c>
      <c r="I91" s="11" t="n">
        <v>46630</v>
      </c>
      <c r="J91" s="10" t="s">
        <v>792</v>
      </c>
      <c r="K91" s="10" t="s">
        <v>818</v>
      </c>
      <c r="L91" s="31" t="n">
        <f aca="false">IF($C91="","",IFERROR(IF(INDEX(campaigns!$BG$2:$BG$51,MATCH($C91,campaigns!$A$2:$A$51,0))="","",INDEX(campaigns!$BG$2:$BG$51,MATCH($C91,campaigns!$A$2:$A$51,0))),""))</f>
        <v>46469</v>
      </c>
      <c r="M91" s="30" t="n">
        <f aca="false">IF($C91="","",IF(OR($E91="received"),N($G91),IF(OR($E91="rejected",$E91="delivered",$E91="topped_up"),-N($G91),IF(AND(OR($E91="returned_to_brand",$E91="given_to_roster_office",$E91="released_to_office",$E91="disposed"),IF($F91="","reserve",$F91)="reserve"),-N($G91),IF(AND($E91="correction",IF($F91="","reserve",$F91)="reserve"),N($G91),0)))))</f>
        <v>75</v>
      </c>
      <c r="N91" s="30" t="n">
        <f aca="false">IF($C91="","",IF($E91="rejected",N($G91),IF(AND(OR($E91="returned_to_brand",$E91="given_to_roster_office",$E91="released_to_office",$E91="disposed"),IF($F91="","reserve",$F91)="rejected"),-N($G91),IF(AND($E91="correction",IF($F91="","reserve",$F91)="rejected"),N($G91),0))))</f>
        <v>0</v>
      </c>
      <c r="O91" s="30" t="n">
        <f aca="false">IF($C91="","",IF($E91="collected",N($G91),IF(AND(OR($E91="returned_to_brand",$E91="given_to_roster_office",$E91="released_to_office",$E91="disposed"),IF($F91="","reserve",$F91)="leftover"),-N($G91),IF(AND($E91="correction",IF($F91="","reserve",$F91)="leftover"),N($G91),0))))</f>
        <v>0</v>
      </c>
      <c r="P91" s="30" t="str">
        <f aca="false">IF(OR($E91&lt;&gt;"received",$I91="",$L91=""),"",IF($I91&gt;=$L91+config!$B$19,"Y","N"))</f>
        <v>Y</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SAMPLE-CMP-007||received</v>
      </c>
    </row>
    <row r="92" customFormat="false" ht="15" hidden="false" customHeight="false" outlineLevel="0" collapsed="false">
      <c r="A92" s="11" t="n">
        <v>46462</v>
      </c>
      <c r="B92" s="38" t="n">
        <v>0.583333333333333</v>
      </c>
      <c r="C92" s="10" t="s">
        <v>584</v>
      </c>
      <c r="E92" s="10" t="s">
        <v>685</v>
      </c>
      <c r="G92" s="0" t="n">
        <v>52</v>
      </c>
      <c r="H92" s="10" t="s">
        <v>819</v>
      </c>
      <c r="I92" s="11" t="n">
        <v>46660</v>
      </c>
      <c r="J92" s="10" t="s">
        <v>792</v>
      </c>
      <c r="K92" s="10" t="s">
        <v>817</v>
      </c>
      <c r="L92" s="31" t="n">
        <f aca="false">IF($C92="","",IFERROR(IF(INDEX(campaigns!$BG$2:$BG$51,MATCH($C92,campaigns!$A$2:$A$51,0))="","",INDEX(campaigns!$BG$2:$BG$51,MATCH($C92,campaigns!$A$2:$A$51,0))),""))</f>
        <v>46469</v>
      </c>
      <c r="M92" s="30" t="n">
        <f aca="false">IF($C92="","",IF(OR($E92="received"),N($G92),IF(OR($E92="rejected",$E92="delivered",$E92="topped_up"),-N($G92),IF(AND(OR($E92="returned_to_brand",$E92="given_to_roster_office",$E92="released_to_office",$E92="disposed"),IF($F92="","reserve",$F92)="reserve"),-N($G92),IF(AND($E92="correction",IF($F92="","reserve",$F92)="reserve"),N($G92),0)))))</f>
        <v>52</v>
      </c>
      <c r="N92" s="30" t="n">
        <f aca="false">IF($C92="","",IF($E92="rejected",N($G92),IF(AND(OR($E92="returned_to_brand",$E92="given_to_roster_office",$E92="released_to_office",$E92="disposed"),IF($F92="","reserve",$F92)="rejected"),-N($G92),IF(AND($E92="correction",IF($F92="","reserve",$F92)="rejected"),N($G92),0))))</f>
        <v>0</v>
      </c>
      <c r="O92" s="30" t="n">
        <f aca="false">IF($C92="","",IF($E92="collected",N($G92),IF(AND(OR($E92="returned_to_brand",$E92="given_to_roster_office",$E92="released_to_office",$E92="disposed"),IF($F92="","reserve",$F92)="leftover"),-N($G92),IF(AND($E92="correction",IF($F92="","reserve",$F92)="leftover"),N($G92),0))))</f>
        <v>0</v>
      </c>
      <c r="P92" s="30" t="str">
        <f aca="false">IF(OR($E92&lt;&gt;"received",$I92="",$L92=""),"",IF($I92&gt;=$L92+config!$B$19,"Y","N"))</f>
        <v>Y</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SAMPLE-CMP-008||received</v>
      </c>
    </row>
    <row r="93" customFormat="false" ht="15" hidden="false" customHeight="false" outlineLevel="0" collapsed="false">
      <c r="A93" s="11" t="n">
        <v>46462</v>
      </c>
      <c r="B93" s="38" t="n">
        <v>0.586805555555556</v>
      </c>
      <c r="C93" s="10" t="s">
        <v>584</v>
      </c>
      <c r="E93" s="10" t="s">
        <v>685</v>
      </c>
      <c r="G93" s="0" t="n">
        <v>75</v>
      </c>
      <c r="H93" s="10" t="s">
        <v>819</v>
      </c>
      <c r="I93" s="11" t="n">
        <v>46660</v>
      </c>
      <c r="J93" s="10" t="s">
        <v>792</v>
      </c>
      <c r="K93" s="10" t="s">
        <v>818</v>
      </c>
      <c r="L93" s="31" t="n">
        <f aca="false">IF($C93="","",IFERROR(IF(INDEX(campaigns!$BG$2:$BG$51,MATCH($C93,campaigns!$A$2:$A$51,0))="","",INDEX(campaigns!$BG$2:$BG$51,MATCH($C93,campaigns!$A$2:$A$51,0))),""))</f>
        <v>46469</v>
      </c>
      <c r="M93" s="30" t="n">
        <f aca="false">IF($C93="","",IF(OR($E93="received"),N($G93),IF(OR($E93="rejected",$E93="delivered",$E93="topped_up"),-N($G93),IF(AND(OR($E93="returned_to_brand",$E93="given_to_roster_office",$E93="released_to_office",$E93="disposed"),IF($F93="","reserve",$F93)="reserve"),-N($G93),IF(AND($E93="correction",IF($F93="","reserve",$F93)="reserve"),N($G93),0)))))</f>
        <v>75</v>
      </c>
      <c r="N93" s="30" t="n">
        <f aca="false">IF($C93="","",IF($E93="rejected",N($G93),IF(AND(OR($E93="returned_to_brand",$E93="given_to_roster_office",$E93="released_to_office",$E93="disposed"),IF($F93="","reserve",$F93)="rejected"),-N($G93),IF(AND($E93="correction",IF($F93="","reserve",$F93)="rejected"),N($G93),0))))</f>
        <v>0</v>
      </c>
      <c r="O93" s="30" t="n">
        <f aca="false">IF($C93="","",IF($E93="collected",N($G93),IF(AND(OR($E93="returned_to_brand",$E93="given_to_roster_office",$E93="released_to_office",$E93="disposed"),IF($F93="","reserve",$F93)="leftover"),-N($G93),IF(AND($E93="correction",IF($F93="","reserve",$F93)="leftover"),N($G93),0))))</f>
        <v>0</v>
      </c>
      <c r="P93" s="30" t="str">
        <f aca="false">IF(OR($E93&lt;&gt;"received",$I93="",$L93=""),"",IF($I93&gt;=$L93+config!$B$19,"Y","N"))</f>
        <v>Y</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SAMPLE-CMP-008||received</v>
      </c>
    </row>
    <row r="94" customFormat="false" ht="15" hidden="false" customHeight="false" outlineLevel="0" collapsed="false">
      <c r="A94" s="11" t="n">
        <v>46469</v>
      </c>
      <c r="B94" s="38" t="n">
        <v>0.424305555555556</v>
      </c>
      <c r="C94" s="10" t="s">
        <v>576</v>
      </c>
      <c r="D94" s="10" t="s">
        <v>678</v>
      </c>
      <c r="E94" s="10" t="s">
        <v>685</v>
      </c>
      <c r="G94" s="0" t="n">
        <v>40</v>
      </c>
      <c r="H94" s="10" t="s">
        <v>816</v>
      </c>
      <c r="I94" s="11" t="n">
        <v>46630</v>
      </c>
      <c r="J94" s="10" t="s">
        <v>820</v>
      </c>
      <c r="K94" s="10" t="s">
        <v>821</v>
      </c>
      <c r="L94" s="31" t="n">
        <f aca="false">IF($C94="","",IFERROR(IF(INDEX(campaigns!$BG$2:$BG$51,MATCH($C94,campaigns!$A$2:$A$51,0))="","",INDEX(campaigns!$BG$2:$BG$51,MATCH($C94,campaigns!$A$2:$A$51,0))),""))</f>
        <v>46469</v>
      </c>
      <c r="M94" s="30" t="n">
        <f aca="false">IF($C94="","",IF(OR($E94="received"),N($G94),IF(OR($E94="rejected",$E94="delivered",$E94="topped_up"),-N($G94),IF(AND(OR($E94="returned_to_brand",$E94="given_to_roster_office",$E94="released_to_office",$E94="disposed"),IF($F94="","reserve",$F94)="reserve"),-N($G94),IF(AND($E94="correction",IF($F94="","reserve",$F94)="reserve"),N($G94),0)))))</f>
        <v>40</v>
      </c>
      <c r="N94" s="30" t="n">
        <f aca="false">IF($C94="","",IF($E94="rejected",N($G94),IF(AND(OR($E94="returned_to_brand",$E94="given_to_roster_office",$E94="released_to_office",$E94="disposed"),IF($F94="","reserve",$F94)="rejected"),-N($G94),IF(AND($E94="correction",IF($F94="","reserve",$F94)="rejected"),N($G94),0))))</f>
        <v>0</v>
      </c>
      <c r="O94" s="30" t="n">
        <f aca="false">IF($C94="","",IF($E94="collected",N($G94),IF(AND(OR($E94="returned_to_brand",$E94="given_to_roster_office",$E94="released_to_office",$E94="disposed"),IF($F94="","reserve",$F94)="leftover"),-N($G94),IF(AND($E94="correction",IF($F94="","reserve",$F94)="leftover"),N($G94),0))))</f>
        <v>0</v>
      </c>
      <c r="P94" s="30" t="str">
        <f aca="false">IF(OR($E94&lt;&gt;"received",$I94="",$L94=""),"",IF($I94&gt;=$L94+config!$B$19,"Y","N"))</f>
        <v>Y</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SAMPLE-CMP-007|SAMPLE-O-001|received</v>
      </c>
    </row>
    <row r="95" customFormat="false" ht="15" hidden="false" customHeight="false" outlineLevel="0" collapsed="false">
      <c r="A95" s="11" t="n">
        <v>46469</v>
      </c>
      <c r="B95" s="38" t="n">
        <v>0.424305555555556</v>
      </c>
      <c r="C95" s="10" t="s">
        <v>576</v>
      </c>
      <c r="D95" s="10" t="s">
        <v>678</v>
      </c>
      <c r="E95" s="10" t="s">
        <v>105</v>
      </c>
      <c r="G95" s="0" t="n">
        <v>40</v>
      </c>
      <c r="I95" s="11"/>
      <c r="J95" s="10" t="s">
        <v>820</v>
      </c>
      <c r="L95" s="31" t="n">
        <f aca="false">IF($C95="","",IFERROR(IF(INDEX(campaigns!$BG$2:$BG$51,MATCH($C95,campaigns!$A$2:$A$51,0))="","",INDEX(campaigns!$BG$2:$BG$51,MATCH($C95,campaigns!$A$2:$A$51,0))),""))</f>
        <v>46469</v>
      </c>
      <c r="M95" s="30" t="n">
        <f aca="false">IF($C95="","",IF(OR($E95="received"),N($G95),IF(OR($E95="rejected",$E95="delivered",$E95="topped_up"),-N($G95),IF(AND(OR($E95="returned_to_brand",$E95="given_to_roster_office",$E95="released_to_office",$E95="disposed"),IF($F95="","reserve",$F95)="reserve"),-N($G95),IF(AND($E95="correction",IF($F95="","reserve",$F95)="reserve"),N($G95),0)))))</f>
        <v>-40</v>
      </c>
      <c r="N95" s="30" t="n">
        <f aca="false">IF($C95="","",IF($E95="rejected",N($G95),IF(AND(OR($E95="returned_to_brand",$E95="given_to_roster_office",$E95="released_to_office",$E95="disposed"),IF($F95="","reserve",$F95)="rejected"),-N($G95),IF(AND($E95="correction",IF($F95="","reserve",$F95)="rejected"),N($G95),0))))</f>
        <v>0</v>
      </c>
      <c r="O95" s="30" t="n">
        <f aca="false">IF($C95="","",IF($E95="collected",N($G95),IF(AND(OR($E95="returned_to_brand",$E95="given_to_roster_office",$E95="released_to_office",$E95="disposed"),IF($F95="","reserve",$F95)="leftover"),-N($G95),IF(AND($E95="correction",IF($F95="","reserve",$F95)="leftover"),N($G95),0))))</f>
        <v>0</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SAMPLE-CMP-007|SAMPLE-O-001|delivered</v>
      </c>
    </row>
    <row r="96" customFormat="false" ht="15" hidden="false" customHeight="false" outlineLevel="0" collapsed="false">
      <c r="A96" s="11" t="n">
        <v>46469</v>
      </c>
      <c r="B96" s="38" t="n">
        <v>0.425</v>
      </c>
      <c r="C96" s="10" t="s">
        <v>576</v>
      </c>
      <c r="D96" s="10" t="s">
        <v>681</v>
      </c>
      <c r="E96" s="10" t="s">
        <v>685</v>
      </c>
      <c r="G96" s="0" t="n">
        <v>40</v>
      </c>
      <c r="H96" s="10" t="s">
        <v>816</v>
      </c>
      <c r="I96" s="11" t="n">
        <v>46630</v>
      </c>
      <c r="J96" s="10" t="s">
        <v>820</v>
      </c>
      <c r="K96" s="10" t="s">
        <v>821</v>
      </c>
      <c r="L96" s="31" t="n">
        <f aca="false">IF($C96="","",IFERROR(IF(INDEX(campaigns!$BG$2:$BG$51,MATCH($C96,campaigns!$A$2:$A$51,0))="","",INDEX(campaigns!$BG$2:$BG$51,MATCH($C96,campaigns!$A$2:$A$51,0))),""))</f>
        <v>46469</v>
      </c>
      <c r="M96" s="30" t="n">
        <f aca="false">IF($C96="","",IF(OR($E96="received"),N($G96),IF(OR($E96="rejected",$E96="delivered",$E96="topped_up"),-N($G96),IF(AND(OR($E96="returned_to_brand",$E96="given_to_roster_office",$E96="released_to_office",$E96="disposed"),IF($F96="","reserve",$F96)="reserve"),-N($G96),IF(AND($E96="correction",IF($F96="","reserve",$F96)="reserve"),N($G96),0)))))</f>
        <v>40</v>
      </c>
      <c r="N96" s="30" t="n">
        <f aca="false">IF($C96="","",IF($E96="rejected",N($G96),IF(AND(OR($E96="returned_to_brand",$E96="given_to_roster_office",$E96="released_to_office",$E96="disposed"),IF($F96="","reserve",$F96)="rejected"),-N($G96),IF(AND($E96="correction",IF($F96="","reserve",$F96)="rejected"),N($G96),0))))</f>
        <v>0</v>
      </c>
      <c r="O96" s="30" t="n">
        <f aca="false">IF($C96="","",IF($E96="collected",N($G96),IF(AND(OR($E96="returned_to_brand",$E96="given_to_roster_office",$E96="released_to_office",$E96="disposed"),IF($F96="","reserve",$F96)="leftover"),-N($G96),IF(AND($E96="correction",IF($F96="","reserve",$F96)="leftover"),N($G96),0))))</f>
        <v>0</v>
      </c>
      <c r="P96" s="30" t="str">
        <f aca="false">IF(OR($E96&lt;&gt;"received",$I96="",$L96=""),"",IF($I96&gt;=$L96+config!$B$19,"Y","N"))</f>
        <v>Y</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SAMPLE-CMP-007|SAMPLE-O-002|received</v>
      </c>
    </row>
    <row r="97" customFormat="false" ht="15" hidden="false" customHeight="false" outlineLevel="0" collapsed="false">
      <c r="A97" s="11" t="n">
        <v>46469</v>
      </c>
      <c r="B97" s="38" t="n">
        <v>0.425</v>
      </c>
      <c r="C97" s="10" t="s">
        <v>576</v>
      </c>
      <c r="D97" s="10" t="s">
        <v>681</v>
      </c>
      <c r="E97" s="10" t="s">
        <v>105</v>
      </c>
      <c r="G97" s="0" t="n">
        <v>40</v>
      </c>
      <c r="I97" s="11"/>
      <c r="J97" s="10" t="s">
        <v>820</v>
      </c>
      <c r="L97" s="31" t="n">
        <f aca="false">IF($C97="","",IFERROR(IF(INDEX(campaigns!$BG$2:$BG$51,MATCH($C97,campaigns!$A$2:$A$51,0))="","",INDEX(campaigns!$BG$2:$BG$51,MATCH($C97,campaigns!$A$2:$A$51,0))),""))</f>
        <v>46469</v>
      </c>
      <c r="M97" s="30" t="n">
        <f aca="false">IF($C97="","",IF(OR($E97="received"),N($G97),IF(OR($E97="rejected",$E97="delivered",$E97="topped_up"),-N($G97),IF(AND(OR($E97="returned_to_brand",$E97="given_to_roster_office",$E97="released_to_office",$E97="disposed"),IF($F97="","reserve",$F97)="reserve"),-N($G97),IF(AND($E97="correction",IF($F97="","reserve",$F97)="reserve"),N($G97),0)))))</f>
        <v>-40</v>
      </c>
      <c r="N97" s="30" t="n">
        <f aca="false">IF($C97="","",IF($E97="rejected",N($G97),IF(AND(OR($E97="returned_to_brand",$E97="given_to_roster_office",$E97="released_to_office",$E97="disposed"),IF($F97="","reserve",$F97)="rejected"),-N($G97),IF(AND($E97="correction",IF($F97="","reserve",$F97)="rejected"),N($G97),0))))</f>
        <v>0</v>
      </c>
      <c r="O97" s="30" t="n">
        <f aca="false">IF($C97="","",IF($E97="collected",N($G97),IF(AND(OR($E97="returned_to_brand",$E97="given_to_roster_office",$E97="released_to_office",$E97="disposed"),IF($F97="","reserve",$F97)="leftover"),-N($G97),IF(AND($E97="correction",IF($F97="","reserve",$F97)="leftover"),N($G97),0))))</f>
        <v>0</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SAMPLE-CMP-007|SAMPLE-O-002|delivered</v>
      </c>
    </row>
    <row r="98" customFormat="false" ht="15" hidden="false" customHeight="false" outlineLevel="0" collapsed="false">
      <c r="A98" s="11" t="n">
        <v>46469</v>
      </c>
      <c r="B98" s="38" t="n">
        <v>0.425694444444444</v>
      </c>
      <c r="C98" s="10" t="s">
        <v>576</v>
      </c>
      <c r="D98" s="10" t="s">
        <v>683</v>
      </c>
      <c r="E98" s="10" t="s">
        <v>685</v>
      </c>
      <c r="G98" s="0" t="n">
        <v>26</v>
      </c>
      <c r="H98" s="10" t="s">
        <v>816</v>
      </c>
      <c r="I98" s="11" t="n">
        <v>46630</v>
      </c>
      <c r="J98" s="10" t="s">
        <v>820</v>
      </c>
      <c r="K98" s="10" t="s">
        <v>821</v>
      </c>
      <c r="L98" s="31" t="n">
        <f aca="false">IF($C98="","",IFERROR(IF(INDEX(campaigns!$BG$2:$BG$51,MATCH($C98,campaigns!$A$2:$A$51,0))="","",INDEX(campaigns!$BG$2:$BG$51,MATCH($C98,campaigns!$A$2:$A$51,0))),""))</f>
        <v>46469</v>
      </c>
      <c r="M98" s="30" t="n">
        <f aca="false">IF($C98="","",IF(OR($E98="received"),N($G98),IF(OR($E98="rejected",$E98="delivered",$E98="topped_up"),-N($G98),IF(AND(OR($E98="returned_to_brand",$E98="given_to_roster_office",$E98="released_to_office",$E98="disposed"),IF($F98="","reserve",$F98)="reserve"),-N($G98),IF(AND($E98="correction",IF($F98="","reserve",$F98)="reserve"),N($G98),0)))))</f>
        <v>26</v>
      </c>
      <c r="N98" s="30" t="n">
        <f aca="false">IF($C98="","",IF($E98="rejected",N($G98),IF(AND(OR($E98="returned_to_brand",$E98="given_to_roster_office",$E98="released_to_office",$E98="disposed"),IF($F98="","reserve",$F98)="rejected"),-N($G98),IF(AND($E98="correction",IF($F98="","reserve",$F98)="rejected"),N($G98),0))))</f>
        <v>0</v>
      </c>
      <c r="O98" s="30" t="n">
        <f aca="false">IF($C98="","",IF($E98="collected",N($G98),IF(AND(OR($E98="returned_to_brand",$E98="given_to_roster_office",$E98="released_to_office",$E98="disposed"),IF($F98="","reserve",$F98)="leftover"),-N($G98),IF(AND($E98="correction",IF($F98="","reserve",$F98)="leftover"),N($G98),0))))</f>
        <v>0</v>
      </c>
      <c r="P98" s="30" t="str">
        <f aca="false">IF(OR($E98&lt;&gt;"received",$I98="",$L98=""),"",IF($I98&gt;=$L98+config!$B$19,"Y","N"))</f>
        <v>Y</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SAMPLE-CMP-007|SAMPLE-O-003|received</v>
      </c>
    </row>
    <row r="99" customFormat="false" ht="15" hidden="false" customHeight="false" outlineLevel="0" collapsed="false">
      <c r="A99" s="11" t="n">
        <v>46469</v>
      </c>
      <c r="B99" s="38" t="n">
        <v>0.425694444444444</v>
      </c>
      <c r="C99" s="10" t="s">
        <v>576</v>
      </c>
      <c r="D99" s="10" t="s">
        <v>683</v>
      </c>
      <c r="E99" s="10" t="s">
        <v>105</v>
      </c>
      <c r="G99" s="0" t="n">
        <v>26</v>
      </c>
      <c r="I99" s="11"/>
      <c r="J99" s="10" t="s">
        <v>820</v>
      </c>
      <c r="L99" s="31" t="n">
        <f aca="false">IF($C99="","",IFERROR(IF(INDEX(campaigns!$BG$2:$BG$51,MATCH($C99,campaigns!$A$2:$A$51,0))="","",INDEX(campaigns!$BG$2:$BG$51,MATCH($C99,campaigns!$A$2:$A$51,0))),""))</f>
        <v>46469</v>
      </c>
      <c r="M99" s="30" t="n">
        <f aca="false">IF($C99="","",IF(OR($E99="received"),N($G99),IF(OR($E99="rejected",$E99="delivered",$E99="topped_up"),-N($G99),IF(AND(OR($E99="returned_to_brand",$E99="given_to_roster_office",$E99="released_to_office",$E99="disposed"),IF($F99="","reserve",$F99)="reserve"),-N($G99),IF(AND($E99="correction",IF($F99="","reserve",$F99)="reserve"),N($G99),0)))))</f>
        <v>-26</v>
      </c>
      <c r="N99" s="30" t="n">
        <f aca="false">IF($C99="","",IF($E99="rejected",N($G99),IF(AND(OR($E99="returned_to_brand",$E99="given_to_roster_office",$E99="released_to_office",$E99="disposed"),IF($F99="","reserve",$F99)="rejected"),-N($G99),IF(AND($E99="correction",IF($F99="","reserve",$F99)="rejected"),N($G99),0))))</f>
        <v>0</v>
      </c>
      <c r="O99" s="30" t="n">
        <f aca="false">IF($C99="","",IF($E99="collected",N($G99),IF(AND(OR($E99="returned_to_brand",$E99="given_to_roster_office",$E99="released_to_office",$E99="disposed"),IF($F99="","reserve",$F99)="leftover"),-N($G99),IF(AND($E99="correction",IF($F99="","reserve",$F99)="leftover"),N($G99),0))))</f>
        <v>0</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SAMPLE-CMP-007|SAMPLE-O-003|delivered</v>
      </c>
    </row>
    <row r="100" customFormat="false" ht="15" hidden="false" customHeight="false" outlineLevel="0" collapsed="false">
      <c r="A100" s="11" t="n">
        <v>46471</v>
      </c>
      <c r="B100" s="38" t="n">
        <v>0.541666666666667</v>
      </c>
      <c r="C100" s="10" t="s">
        <v>576</v>
      </c>
      <c r="D100" s="10" t="s">
        <v>683</v>
      </c>
      <c r="E100" s="10" t="s">
        <v>800</v>
      </c>
      <c r="G100" s="0" t="n">
        <v>20</v>
      </c>
      <c r="I100" s="11"/>
      <c r="J100" s="10" t="s">
        <v>792</v>
      </c>
      <c r="L100" s="31" t="n">
        <f aca="false">IF($C100="","",IFERROR(IF(INDEX(campaigns!$BG$2:$BG$51,MATCH($C100,campaigns!$A$2:$A$51,0))="","",INDEX(campaigns!$BG$2:$BG$51,MATCH($C100,campaigns!$A$2:$A$51,0))),""))</f>
        <v>46469</v>
      </c>
      <c r="M100" s="30" t="n">
        <f aca="false">IF($C100="","",IF(OR($E100="received"),N($G100),IF(OR($E100="rejected",$E100="delivered",$E100="topped_up"),-N($G100),IF(AND(OR($E100="returned_to_brand",$E100="given_to_roster_office",$E100="released_to_office",$E100="disposed"),IF($F100="","reserve",$F100)="reserve"),-N($G100),IF(AND($E100="correction",IF($F100="","reserve",$F100)="reserve"),N($G100),0)))))</f>
        <v>-20</v>
      </c>
      <c r="N100" s="30" t="n">
        <f aca="false">IF($C100="","",IF($E100="rejected",N($G100),IF(AND(OR($E100="returned_to_brand",$E100="given_to_roster_office",$E100="released_to_office",$E100="disposed"),IF($F100="","reserve",$F100)="rejected"),-N($G100),IF(AND($E100="correction",IF($F100="","reserve",$F100)="rejected"),N($G100),0))))</f>
        <v>0</v>
      </c>
      <c r="O100" s="30" t="n">
        <f aca="false">IF($C100="","",IF($E100="collected",N($G100),IF(AND(OR($E100="returned_to_brand",$E100="given_to_roster_office",$E100="released_to_office",$E100="disposed"),IF($F100="","reserve",$F100)="leftover"),-N($G100),IF(AND($E100="correction",IF($F100="","reserve",$F100)="leftover"),N($G100),0))))</f>
        <v>0</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SAMPLE-CMP-007|SAMPLE-O-003|topped_up</v>
      </c>
    </row>
    <row r="101" customFormat="false" ht="15" hidden="false" customHeight="false" outlineLevel="0" collapsed="false">
      <c r="A101" s="11" t="n">
        <v>46469</v>
      </c>
      <c r="B101" s="38" t="n">
        <v>0.426388888888889</v>
      </c>
      <c r="C101" s="10" t="s">
        <v>576</v>
      </c>
      <c r="D101" s="10" t="s">
        <v>686</v>
      </c>
      <c r="E101" s="10" t="s">
        <v>685</v>
      </c>
      <c r="G101" s="0" t="n">
        <v>50</v>
      </c>
      <c r="H101" s="10" t="s">
        <v>816</v>
      </c>
      <c r="I101" s="11" t="n">
        <v>46630</v>
      </c>
      <c r="J101" s="10" t="s">
        <v>820</v>
      </c>
      <c r="K101" s="10" t="s">
        <v>821</v>
      </c>
      <c r="L101" s="31" t="n">
        <f aca="false">IF($C101="","",IFERROR(IF(INDEX(campaigns!$BG$2:$BG$51,MATCH($C101,campaigns!$A$2:$A$51,0))="","",INDEX(campaigns!$BG$2:$BG$51,MATCH($C101,campaigns!$A$2:$A$51,0))),""))</f>
        <v>46469</v>
      </c>
      <c r="M101" s="30" t="n">
        <f aca="false">IF($C101="","",IF(OR($E101="received"),N($G101),IF(OR($E101="rejected",$E101="delivered",$E101="topped_up"),-N($G101),IF(AND(OR($E101="returned_to_brand",$E101="given_to_roster_office",$E101="released_to_office",$E101="disposed"),IF($F101="","reserve",$F101)="reserve"),-N($G101),IF(AND($E101="correction",IF($F101="","reserve",$F101)="reserve"),N($G101),0)))))</f>
        <v>50</v>
      </c>
      <c r="N101" s="30" t="n">
        <f aca="false">IF($C101="","",IF($E101="rejected",N($G101),IF(AND(OR($E101="returned_to_brand",$E101="given_to_roster_office",$E101="released_to_office",$E101="disposed"),IF($F101="","reserve",$F101)="rejected"),-N($G101),IF(AND($E101="correction",IF($F101="","reserve",$F101)="rejected"),N($G101),0))))</f>
        <v>0</v>
      </c>
      <c r="O101" s="30" t="n">
        <f aca="false">IF($C101="","",IF($E101="collected",N($G101),IF(AND(OR($E101="returned_to_brand",$E101="given_to_roster_office",$E101="released_to_office",$E101="disposed"),IF($F101="","reserve",$F101)="leftover"),-N($G101),IF(AND($E101="correction",IF($F101="","reserve",$F101)="leftover"),N($G101),0))))</f>
        <v>0</v>
      </c>
      <c r="P101" s="30" t="str">
        <f aca="false">IF(OR($E101&lt;&gt;"received",$I101="",$L101=""),"",IF($I101&gt;=$L101+config!$B$19,"Y","N"))</f>
        <v>Y</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SAMPLE-CMP-007|SAMPLE-O-004|received</v>
      </c>
    </row>
    <row r="102" customFormat="false" ht="15" hidden="false" customHeight="false" outlineLevel="0" collapsed="false">
      <c r="A102" s="11" t="n">
        <v>46469</v>
      </c>
      <c r="B102" s="38" t="n">
        <v>0.426388888888889</v>
      </c>
      <c r="C102" s="10" t="s">
        <v>576</v>
      </c>
      <c r="D102" s="10" t="s">
        <v>686</v>
      </c>
      <c r="E102" s="10" t="s">
        <v>105</v>
      </c>
      <c r="G102" s="0" t="n">
        <v>50</v>
      </c>
      <c r="I102" s="11"/>
      <c r="J102" s="10" t="s">
        <v>820</v>
      </c>
      <c r="L102" s="31" t="n">
        <f aca="false">IF($C102="","",IFERROR(IF(INDEX(campaigns!$BG$2:$BG$51,MATCH($C102,campaigns!$A$2:$A$51,0))="","",INDEX(campaigns!$BG$2:$BG$51,MATCH($C102,campaigns!$A$2:$A$51,0))),""))</f>
        <v>46469</v>
      </c>
      <c r="M102" s="30" t="n">
        <f aca="false">IF($C102="","",IF(OR($E102="received"),N($G102),IF(OR($E102="rejected",$E102="delivered",$E102="topped_up"),-N($G102),IF(AND(OR($E102="returned_to_brand",$E102="given_to_roster_office",$E102="released_to_office",$E102="disposed"),IF($F102="","reserve",$F102)="reserve"),-N($G102),IF(AND($E102="correction",IF($F102="","reserve",$F102)="reserve"),N($G102),0)))))</f>
        <v>-50</v>
      </c>
      <c r="N102" s="30" t="n">
        <f aca="false">IF($C102="","",IF($E102="rejected",N($G102),IF(AND(OR($E102="returned_to_brand",$E102="given_to_roster_office",$E102="released_to_office",$E102="disposed"),IF($F102="","reserve",$F102)="rejected"),-N($G102),IF(AND($E102="correction",IF($F102="","reserve",$F102)="rejected"),N($G102),0))))</f>
        <v>0</v>
      </c>
      <c r="O102" s="30" t="n">
        <f aca="false">IF($C102="","",IF($E102="collected",N($G102),IF(AND(OR($E102="returned_to_brand",$E102="given_to_roster_office",$E102="released_to_office",$E102="disposed"),IF($F102="","reserve",$F102)="leftover"),-N($G102),IF(AND($E102="correction",IF($F102="","reserve",$F102)="leftover"),N($G102),0))))</f>
        <v>0</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SAMPLE-CMP-007|SAMPLE-O-004|delivered</v>
      </c>
    </row>
    <row r="103" customFormat="false" ht="15" hidden="false" customHeight="false" outlineLevel="0" collapsed="false">
      <c r="A103" s="11" t="n">
        <v>46469</v>
      </c>
      <c r="B103" s="38" t="n">
        <v>0.427083333333333</v>
      </c>
      <c r="C103" s="10" t="s">
        <v>576</v>
      </c>
      <c r="D103" s="10" t="s">
        <v>688</v>
      </c>
      <c r="E103" s="10" t="s">
        <v>685</v>
      </c>
      <c r="G103" s="0" t="n">
        <v>70</v>
      </c>
      <c r="H103" s="10" t="s">
        <v>816</v>
      </c>
      <c r="I103" s="11" t="n">
        <v>46630</v>
      </c>
      <c r="J103" s="10" t="s">
        <v>820</v>
      </c>
      <c r="K103" s="10" t="s">
        <v>821</v>
      </c>
      <c r="L103" s="31" t="n">
        <f aca="false">IF($C103="","",IFERROR(IF(INDEX(campaigns!$BG$2:$BG$51,MATCH($C103,campaigns!$A$2:$A$51,0))="","",INDEX(campaigns!$BG$2:$BG$51,MATCH($C103,campaigns!$A$2:$A$51,0))),""))</f>
        <v>46469</v>
      </c>
      <c r="M103" s="30" t="n">
        <f aca="false">IF($C103="","",IF(OR($E103="received"),N($G103),IF(OR($E103="rejected",$E103="delivered",$E103="topped_up"),-N($G103),IF(AND(OR($E103="returned_to_brand",$E103="given_to_roster_office",$E103="released_to_office",$E103="disposed"),IF($F103="","reserve",$F103)="reserve"),-N($G103),IF(AND($E103="correction",IF($F103="","reserve",$F103)="reserve"),N($G103),0)))))</f>
        <v>70</v>
      </c>
      <c r="N103" s="30" t="n">
        <f aca="false">IF($C103="","",IF($E103="rejected",N($G103),IF(AND(OR($E103="returned_to_brand",$E103="given_to_roster_office",$E103="released_to_office",$E103="disposed"),IF($F103="","reserve",$F103)="rejected"),-N($G103),IF(AND($E103="correction",IF($F103="","reserve",$F103)="rejected"),N($G103),0))))</f>
        <v>0</v>
      </c>
      <c r="O103" s="30" t="n">
        <f aca="false">IF($C103="","",IF($E103="collected",N($G103),IF(AND(OR($E103="returned_to_brand",$E103="given_to_roster_office",$E103="released_to_office",$E103="disposed"),IF($F103="","reserve",$F103)="leftover"),-N($G103),IF(AND($E103="correction",IF($F103="","reserve",$F103)="leftover"),N($G103),0))))</f>
        <v>0</v>
      </c>
      <c r="P103" s="30" t="str">
        <f aca="false">IF(OR($E103&lt;&gt;"received",$I103="",$L103=""),"",IF($I103&gt;=$L103+config!$B$19,"Y","N"))</f>
        <v>Y</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SAMPLE-CMP-007|SAMPLE-O-005|received</v>
      </c>
    </row>
    <row r="104" customFormat="false" ht="15" hidden="false" customHeight="false" outlineLevel="0" collapsed="false">
      <c r="A104" s="11" t="n">
        <v>46469</v>
      </c>
      <c r="B104" s="38" t="n">
        <v>0.427083333333333</v>
      </c>
      <c r="C104" s="10" t="s">
        <v>576</v>
      </c>
      <c r="D104" s="10" t="s">
        <v>688</v>
      </c>
      <c r="E104" s="10" t="s">
        <v>105</v>
      </c>
      <c r="G104" s="0" t="n">
        <v>70</v>
      </c>
      <c r="I104" s="11"/>
      <c r="J104" s="10" t="s">
        <v>820</v>
      </c>
      <c r="L104" s="31" t="n">
        <f aca="false">IF($C104="","",IFERROR(IF(INDEX(campaigns!$BG$2:$BG$51,MATCH($C104,campaigns!$A$2:$A$51,0))="","",INDEX(campaigns!$BG$2:$BG$51,MATCH($C104,campaigns!$A$2:$A$51,0))),""))</f>
        <v>46469</v>
      </c>
      <c r="M104" s="30" t="n">
        <f aca="false">IF($C104="","",IF(OR($E104="received"),N($G104),IF(OR($E104="rejected",$E104="delivered",$E104="topped_up"),-N($G104),IF(AND(OR($E104="returned_to_brand",$E104="given_to_roster_office",$E104="released_to_office",$E104="disposed"),IF($F104="","reserve",$F104)="reserve"),-N($G104),IF(AND($E104="correction",IF($F104="","reserve",$F104)="reserve"),N($G104),0)))))</f>
        <v>-70</v>
      </c>
      <c r="N104" s="30" t="n">
        <f aca="false">IF($C104="","",IF($E104="rejected",N($G104),IF(AND(OR($E104="returned_to_brand",$E104="given_to_roster_office",$E104="released_to_office",$E104="disposed"),IF($F104="","reserve",$F104)="rejected"),-N($G104),IF(AND($E104="correction",IF($F104="","reserve",$F104)="rejected"),N($G104),0))))</f>
        <v>0</v>
      </c>
      <c r="O104" s="30" t="n">
        <f aca="false">IF($C104="","",IF($E104="collected",N($G104),IF(AND(OR($E104="returned_to_brand",$E104="given_to_roster_office",$E104="released_to_office",$E104="disposed"),IF($F104="","reserve",$F104)="leftover"),-N($G104),IF(AND($E104="correction",IF($F104="","reserve",$F104)="leftover"),N($G104),0))))</f>
        <v>0</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SAMPLE-CMP-007|SAMPLE-O-005|delivered</v>
      </c>
    </row>
    <row r="105" customFormat="false" ht="15" hidden="false" customHeight="false" outlineLevel="0" collapsed="false">
      <c r="A105" s="11" t="n">
        <v>46469</v>
      </c>
      <c r="B105" s="38" t="n">
        <v>0.427777777777778</v>
      </c>
      <c r="C105" s="10" t="s">
        <v>576</v>
      </c>
      <c r="D105" s="10" t="s">
        <v>690</v>
      </c>
      <c r="E105" s="10" t="s">
        <v>685</v>
      </c>
      <c r="G105" s="0" t="n">
        <v>45</v>
      </c>
      <c r="H105" s="10" t="s">
        <v>816</v>
      </c>
      <c r="I105" s="11" t="n">
        <v>46630</v>
      </c>
      <c r="J105" s="10" t="s">
        <v>820</v>
      </c>
      <c r="K105" s="10" t="s">
        <v>821</v>
      </c>
      <c r="L105" s="31" t="n">
        <f aca="false">IF($C105="","",IFERROR(IF(INDEX(campaigns!$BG$2:$BG$51,MATCH($C105,campaigns!$A$2:$A$51,0))="","",INDEX(campaigns!$BG$2:$BG$51,MATCH($C105,campaigns!$A$2:$A$51,0))),""))</f>
        <v>46469</v>
      </c>
      <c r="M105" s="30" t="n">
        <f aca="false">IF($C105="","",IF(OR($E105="received"),N($G105),IF(OR($E105="rejected",$E105="delivered",$E105="topped_up"),-N($G105),IF(AND(OR($E105="returned_to_brand",$E105="given_to_roster_office",$E105="released_to_office",$E105="disposed"),IF($F105="","reserve",$F105)="reserve"),-N($G105),IF(AND($E105="correction",IF($F105="","reserve",$F105)="reserve"),N($G105),0)))))</f>
        <v>45</v>
      </c>
      <c r="N105" s="30" t="n">
        <f aca="false">IF($C105="","",IF($E105="rejected",N($G105),IF(AND(OR($E105="returned_to_brand",$E105="given_to_roster_office",$E105="released_to_office",$E105="disposed"),IF($F105="","reserve",$F105)="rejected"),-N($G105),IF(AND($E105="correction",IF($F105="","reserve",$F105)="rejected"),N($G105),0))))</f>
        <v>0</v>
      </c>
      <c r="O105" s="30" t="n">
        <f aca="false">IF($C105="","",IF($E105="collected",N($G105),IF(AND(OR($E105="returned_to_brand",$E105="given_to_roster_office",$E105="released_to_office",$E105="disposed"),IF($F105="","reserve",$F105)="leftover"),-N($G105),IF(AND($E105="correction",IF($F105="","reserve",$F105)="leftover"),N($G105),0))))</f>
        <v>0</v>
      </c>
      <c r="P105" s="30" t="str">
        <f aca="false">IF(OR($E105&lt;&gt;"received",$I105="",$L105=""),"",IF($I105&gt;=$L105+config!$B$19,"Y","N"))</f>
        <v>Y</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SAMPLE-CMP-007|SAMPLE-O-006|received</v>
      </c>
    </row>
    <row r="106" customFormat="false" ht="15" hidden="false" customHeight="false" outlineLevel="0" collapsed="false">
      <c r="A106" s="11" t="n">
        <v>46469</v>
      </c>
      <c r="B106" s="38" t="n">
        <v>0.427777777777778</v>
      </c>
      <c r="C106" s="10" t="s">
        <v>576</v>
      </c>
      <c r="D106" s="10" t="s">
        <v>690</v>
      </c>
      <c r="E106" s="10" t="s">
        <v>105</v>
      </c>
      <c r="G106" s="0" t="n">
        <v>45</v>
      </c>
      <c r="I106" s="11"/>
      <c r="J106" s="10" t="s">
        <v>820</v>
      </c>
      <c r="L106" s="31" t="n">
        <f aca="false">IF($C106="","",IFERROR(IF(INDEX(campaigns!$BG$2:$BG$51,MATCH($C106,campaigns!$A$2:$A$51,0))="","",INDEX(campaigns!$BG$2:$BG$51,MATCH($C106,campaigns!$A$2:$A$51,0))),""))</f>
        <v>46469</v>
      </c>
      <c r="M106" s="30" t="n">
        <f aca="false">IF($C106="","",IF(OR($E106="received"),N($G106),IF(OR($E106="rejected",$E106="delivered",$E106="topped_up"),-N($G106),IF(AND(OR($E106="returned_to_brand",$E106="given_to_roster_office",$E106="released_to_office",$E106="disposed"),IF($F106="","reserve",$F106)="reserve"),-N($G106),IF(AND($E106="correction",IF($F106="","reserve",$F106)="reserve"),N($G106),0)))))</f>
        <v>-45</v>
      </c>
      <c r="N106" s="30" t="n">
        <f aca="false">IF($C106="","",IF($E106="rejected",N($G106),IF(AND(OR($E106="returned_to_brand",$E106="given_to_roster_office",$E106="released_to_office",$E106="disposed"),IF($F106="","reserve",$F106)="rejected"),-N($G106),IF(AND($E106="correction",IF($F106="","reserve",$F106)="rejected"),N($G106),0))))</f>
        <v>0</v>
      </c>
      <c r="O106" s="30" t="n">
        <f aca="false">IF($C106="","",IF($E106="collected",N($G106),IF(AND(OR($E106="returned_to_brand",$E106="given_to_roster_office",$E106="released_to_office",$E106="disposed"),IF($F106="","reserve",$F106)="leftover"),-N($G106),IF(AND($E106="correction",IF($F106="","reserve",$F106)="leftover"),N($G106),0))))</f>
        <v>0</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SAMPLE-CMP-007|SAMPLE-O-006|delivered</v>
      </c>
    </row>
    <row r="107" customFormat="false" ht="15" hidden="false" customHeight="false" outlineLevel="0" collapsed="false">
      <c r="A107" s="11" t="n">
        <v>46469</v>
      </c>
      <c r="B107" s="38" t="n">
        <v>0.428472222222222</v>
      </c>
      <c r="C107" s="10" t="s">
        <v>576</v>
      </c>
      <c r="D107" s="10" t="s">
        <v>692</v>
      </c>
      <c r="E107" s="10" t="s">
        <v>685</v>
      </c>
      <c r="G107" s="0" t="n">
        <v>60</v>
      </c>
      <c r="H107" s="10" t="s">
        <v>816</v>
      </c>
      <c r="I107" s="11" t="n">
        <v>46630</v>
      </c>
      <c r="J107" s="10" t="s">
        <v>820</v>
      </c>
      <c r="K107" s="10" t="s">
        <v>821</v>
      </c>
      <c r="L107" s="31" t="n">
        <f aca="false">IF($C107="","",IFERROR(IF(INDEX(campaigns!$BG$2:$BG$51,MATCH($C107,campaigns!$A$2:$A$51,0))="","",INDEX(campaigns!$BG$2:$BG$51,MATCH($C107,campaigns!$A$2:$A$51,0))),""))</f>
        <v>46469</v>
      </c>
      <c r="M107" s="30" t="n">
        <f aca="false">IF($C107="","",IF(OR($E107="received"),N($G107),IF(OR($E107="rejected",$E107="delivered",$E107="topped_up"),-N($G107),IF(AND(OR($E107="returned_to_brand",$E107="given_to_roster_office",$E107="released_to_office",$E107="disposed"),IF($F107="","reserve",$F107)="reserve"),-N($G107),IF(AND($E107="correction",IF($F107="","reserve",$F107)="reserve"),N($G107),0)))))</f>
        <v>60</v>
      </c>
      <c r="N107" s="30" t="n">
        <f aca="false">IF($C107="","",IF($E107="rejected",N($G107),IF(AND(OR($E107="returned_to_brand",$E107="given_to_roster_office",$E107="released_to_office",$E107="disposed"),IF($F107="","reserve",$F107)="rejected"),-N($G107),IF(AND($E107="correction",IF($F107="","reserve",$F107)="rejected"),N($G107),0))))</f>
        <v>0</v>
      </c>
      <c r="O107" s="30" t="n">
        <f aca="false">IF($C107="","",IF($E107="collected",N($G107),IF(AND(OR($E107="returned_to_brand",$E107="given_to_roster_office",$E107="released_to_office",$E107="disposed"),IF($F107="","reserve",$F107)="leftover"),-N($G107),IF(AND($E107="correction",IF($F107="","reserve",$F107)="leftover"),N($G107),0))))</f>
        <v>0</v>
      </c>
      <c r="P107" s="30" t="str">
        <f aca="false">IF(OR($E107&lt;&gt;"received",$I107="",$L107=""),"",IF($I107&gt;=$L107+config!$B$19,"Y","N"))</f>
        <v>Y</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SAMPLE-CMP-007|SAMPLE-O-007|received</v>
      </c>
    </row>
    <row r="108" customFormat="false" ht="15" hidden="false" customHeight="false" outlineLevel="0" collapsed="false">
      <c r="A108" s="11" t="n">
        <v>46469</v>
      </c>
      <c r="B108" s="38" t="n">
        <v>0.428472222222222</v>
      </c>
      <c r="C108" s="10" t="s">
        <v>576</v>
      </c>
      <c r="D108" s="10" t="s">
        <v>692</v>
      </c>
      <c r="E108" s="10" t="s">
        <v>105</v>
      </c>
      <c r="G108" s="0" t="n">
        <v>60</v>
      </c>
      <c r="I108" s="11"/>
      <c r="J108" s="10" t="s">
        <v>820</v>
      </c>
      <c r="L108" s="31" t="n">
        <f aca="false">IF($C108="","",IFERROR(IF(INDEX(campaigns!$BG$2:$BG$51,MATCH($C108,campaigns!$A$2:$A$51,0))="","",INDEX(campaigns!$BG$2:$BG$51,MATCH($C108,campaigns!$A$2:$A$51,0))),""))</f>
        <v>46469</v>
      </c>
      <c r="M108" s="30" t="n">
        <f aca="false">IF($C108="","",IF(OR($E108="received"),N($G108),IF(OR($E108="rejected",$E108="delivered",$E108="topped_up"),-N($G108),IF(AND(OR($E108="returned_to_brand",$E108="given_to_roster_office",$E108="released_to_office",$E108="disposed"),IF($F108="","reserve",$F108)="reserve"),-N($G108),IF(AND($E108="correction",IF($F108="","reserve",$F108)="reserve"),N($G108),0)))))</f>
        <v>-60</v>
      </c>
      <c r="N108" s="30" t="n">
        <f aca="false">IF($C108="","",IF($E108="rejected",N($G108),IF(AND(OR($E108="returned_to_brand",$E108="given_to_roster_office",$E108="released_to_office",$E108="disposed"),IF($F108="","reserve",$F108)="rejected"),-N($G108),IF(AND($E108="correction",IF($F108="","reserve",$F108)="rejected"),N($G108),0))))</f>
        <v>0</v>
      </c>
      <c r="O108" s="30" t="n">
        <f aca="false">IF($C108="","",IF($E108="collected",N($G108),IF(AND(OR($E108="returned_to_brand",$E108="given_to_roster_office",$E108="released_to_office",$E108="disposed"),IF($F108="","reserve",$F108)="leftover"),-N($G108),IF(AND($E108="correction",IF($F108="","reserve",$F108)="leftover"),N($G108),0))))</f>
        <v>0</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SAMPLE-CMP-007|SAMPLE-O-007|delivered</v>
      </c>
    </row>
    <row r="109" customFormat="false" ht="15" hidden="false" customHeight="false" outlineLevel="0" collapsed="false">
      <c r="A109" s="11" t="n">
        <v>46469</v>
      </c>
      <c r="B109" s="38" t="n">
        <v>0.429166666666667</v>
      </c>
      <c r="C109" s="10" t="s">
        <v>576</v>
      </c>
      <c r="D109" s="10" t="s">
        <v>694</v>
      </c>
      <c r="E109" s="10" t="s">
        <v>685</v>
      </c>
      <c r="G109" s="0" t="n">
        <v>45</v>
      </c>
      <c r="H109" s="10" t="s">
        <v>816</v>
      </c>
      <c r="I109" s="11" t="n">
        <v>46630</v>
      </c>
      <c r="J109" s="10" t="s">
        <v>820</v>
      </c>
      <c r="K109" s="10" t="s">
        <v>821</v>
      </c>
      <c r="L109" s="31" t="n">
        <f aca="false">IF($C109="","",IFERROR(IF(INDEX(campaigns!$BG$2:$BG$51,MATCH($C109,campaigns!$A$2:$A$51,0))="","",INDEX(campaigns!$BG$2:$BG$51,MATCH($C109,campaigns!$A$2:$A$51,0))),""))</f>
        <v>46469</v>
      </c>
      <c r="M109" s="30" t="n">
        <f aca="false">IF($C109="","",IF(OR($E109="received"),N($G109),IF(OR($E109="rejected",$E109="delivered",$E109="topped_up"),-N($G109),IF(AND(OR($E109="returned_to_brand",$E109="given_to_roster_office",$E109="released_to_office",$E109="disposed"),IF($F109="","reserve",$F109)="reserve"),-N($G109),IF(AND($E109="correction",IF($F109="","reserve",$F109)="reserve"),N($G109),0)))))</f>
        <v>45</v>
      </c>
      <c r="N109" s="30" t="n">
        <f aca="false">IF($C109="","",IF($E109="rejected",N($G109),IF(AND(OR($E109="returned_to_brand",$E109="given_to_roster_office",$E109="released_to_office",$E109="disposed"),IF($F109="","reserve",$F109)="rejected"),-N($G109),IF(AND($E109="correction",IF($F109="","reserve",$F109)="rejected"),N($G109),0))))</f>
        <v>0</v>
      </c>
      <c r="O109" s="30" t="n">
        <f aca="false">IF($C109="","",IF($E109="collected",N($G109),IF(AND(OR($E109="returned_to_brand",$E109="given_to_roster_office",$E109="released_to_office",$E109="disposed"),IF($F109="","reserve",$F109)="leftover"),-N($G109),IF(AND($E109="correction",IF($F109="","reserve",$F109)="leftover"),N($G109),0))))</f>
        <v>0</v>
      </c>
      <c r="P109" s="30" t="str">
        <f aca="false">IF(OR($E109&lt;&gt;"received",$I109="",$L109=""),"",IF($I109&gt;=$L109+config!$B$19,"Y","N"))</f>
        <v>Y</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SAMPLE-CMP-007|SAMPLE-O-008|received</v>
      </c>
    </row>
    <row r="110" customFormat="false" ht="15" hidden="false" customHeight="false" outlineLevel="0" collapsed="false">
      <c r="A110" s="11" t="n">
        <v>46469</v>
      </c>
      <c r="B110" s="38" t="n">
        <v>0.429166666666667</v>
      </c>
      <c r="C110" s="10" t="s">
        <v>576</v>
      </c>
      <c r="D110" s="10" t="s">
        <v>694</v>
      </c>
      <c r="E110" s="10" t="s">
        <v>105</v>
      </c>
      <c r="G110" s="0" t="n">
        <v>45</v>
      </c>
      <c r="I110" s="11"/>
      <c r="J110" s="10" t="s">
        <v>820</v>
      </c>
      <c r="L110" s="31" t="n">
        <f aca="false">IF($C110="","",IFERROR(IF(INDEX(campaigns!$BG$2:$BG$51,MATCH($C110,campaigns!$A$2:$A$51,0))="","",INDEX(campaigns!$BG$2:$BG$51,MATCH($C110,campaigns!$A$2:$A$51,0))),""))</f>
        <v>46469</v>
      </c>
      <c r="M110" s="30" t="n">
        <f aca="false">IF($C110="","",IF(OR($E110="received"),N($G110),IF(OR($E110="rejected",$E110="delivered",$E110="topped_up"),-N($G110),IF(AND(OR($E110="returned_to_brand",$E110="given_to_roster_office",$E110="released_to_office",$E110="disposed"),IF($F110="","reserve",$F110)="reserve"),-N($G110),IF(AND($E110="correction",IF($F110="","reserve",$F110)="reserve"),N($G110),0)))))</f>
        <v>-45</v>
      </c>
      <c r="N110" s="30" t="n">
        <f aca="false">IF($C110="","",IF($E110="rejected",N($G110),IF(AND(OR($E110="returned_to_brand",$E110="given_to_roster_office",$E110="released_to_office",$E110="disposed"),IF($F110="","reserve",$F110)="rejected"),-N($G110),IF(AND($E110="correction",IF($F110="","reserve",$F110)="rejected"),N($G110),0))))</f>
        <v>0</v>
      </c>
      <c r="O110" s="30" t="n">
        <f aca="false">IF($C110="","",IF($E110="collected",N($G110),IF(AND(OR($E110="returned_to_brand",$E110="given_to_roster_office",$E110="released_to_office",$E110="disposed"),IF($F110="","reserve",$F110)="leftover"),-N($G110),IF(AND($E110="correction",IF($F110="","reserve",$F110)="leftover"),N($G110),0))))</f>
        <v>0</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SAMPLE-CMP-007|SAMPLE-O-008|delivered</v>
      </c>
    </row>
    <row r="111" customFormat="false" ht="15" hidden="false" customHeight="false" outlineLevel="0" collapsed="false">
      <c r="A111" s="11" t="n">
        <v>46469</v>
      </c>
      <c r="B111" s="38" t="n">
        <v>0.438888888888889</v>
      </c>
      <c r="C111" s="10" t="s">
        <v>576</v>
      </c>
      <c r="D111" s="10" t="s">
        <v>696</v>
      </c>
      <c r="E111" s="10" t="s">
        <v>105</v>
      </c>
      <c r="G111" s="0" t="n">
        <v>75</v>
      </c>
      <c r="I111" s="11"/>
      <c r="J111" s="10" t="s">
        <v>792</v>
      </c>
      <c r="L111" s="31" t="n">
        <f aca="false">IF($C111="","",IFERROR(IF(INDEX(campaigns!$BG$2:$BG$51,MATCH($C111,campaigns!$A$2:$A$51,0))="","",INDEX(campaigns!$BG$2:$BG$51,MATCH($C111,campaigns!$A$2:$A$51,0))),""))</f>
        <v>46469</v>
      </c>
      <c r="M111" s="30" t="n">
        <f aca="false">IF($C111="","",IF(OR($E111="received"),N($G111),IF(OR($E111="rejected",$E111="delivered",$E111="topped_up"),-N($G111),IF(AND(OR($E111="returned_to_brand",$E111="given_to_roster_office",$E111="released_to_office",$E111="disposed"),IF($F111="","reserve",$F111)="reserve"),-N($G111),IF(AND($E111="correction",IF($F111="","reserve",$F111)="reserve"),N($G111),0)))))</f>
        <v>-75</v>
      </c>
      <c r="N111" s="30" t="n">
        <f aca="false">IF($C111="","",IF($E111="rejected",N($G111),IF(AND(OR($E111="returned_to_brand",$E111="given_to_roster_office",$E111="released_to_office",$E111="disposed"),IF($F111="","reserve",$F111)="rejected"),-N($G111),IF(AND($E111="correction",IF($F111="","reserve",$F111)="rejected"),N($G111),0))))</f>
        <v>0</v>
      </c>
      <c r="O111" s="30" t="n">
        <f aca="false">IF($C111="","",IF($E111="collected",N($G111),IF(AND(OR($E111="returned_to_brand",$E111="given_to_roster_office",$E111="released_to_office",$E111="disposed"),IF($F111="","reserve",$F111)="leftover"),-N($G111),IF(AND($E111="correction",IF($F111="","reserve",$F111)="leftover"),N($G111),0))))</f>
        <v>0</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SAMPLE-CMP-007|SAMPLE-O-009|delivered</v>
      </c>
    </row>
    <row r="112" customFormat="false" ht="15" hidden="false" customHeight="false" outlineLevel="0" collapsed="false">
      <c r="A112" s="11" t="n">
        <v>46469</v>
      </c>
      <c r="B112" s="38" t="n">
        <v>0.430555555555556</v>
      </c>
      <c r="C112" s="10" t="s">
        <v>576</v>
      </c>
      <c r="D112" s="10" t="s">
        <v>698</v>
      </c>
      <c r="E112" s="10" t="s">
        <v>685</v>
      </c>
      <c r="G112" s="0" t="n">
        <v>40</v>
      </c>
      <c r="H112" s="10" t="s">
        <v>816</v>
      </c>
      <c r="I112" s="11" t="n">
        <v>46630</v>
      </c>
      <c r="J112" s="10" t="s">
        <v>820</v>
      </c>
      <c r="K112" s="10" t="s">
        <v>821</v>
      </c>
      <c r="L112" s="31" t="n">
        <f aca="false">IF($C112="","",IFERROR(IF(INDEX(campaigns!$BG$2:$BG$51,MATCH($C112,campaigns!$A$2:$A$51,0))="","",INDEX(campaigns!$BG$2:$BG$51,MATCH($C112,campaigns!$A$2:$A$51,0))),""))</f>
        <v>46469</v>
      </c>
      <c r="M112" s="30" t="n">
        <f aca="false">IF($C112="","",IF(OR($E112="received"),N($G112),IF(OR($E112="rejected",$E112="delivered",$E112="topped_up"),-N($G112),IF(AND(OR($E112="returned_to_brand",$E112="given_to_roster_office",$E112="released_to_office",$E112="disposed"),IF($F112="","reserve",$F112)="reserve"),-N($G112),IF(AND($E112="correction",IF($F112="","reserve",$F112)="reserve"),N($G112),0)))))</f>
        <v>40</v>
      </c>
      <c r="N112" s="30" t="n">
        <f aca="false">IF($C112="","",IF($E112="rejected",N($G112),IF(AND(OR($E112="returned_to_brand",$E112="given_to_roster_office",$E112="released_to_office",$E112="disposed"),IF($F112="","reserve",$F112)="rejected"),-N($G112),IF(AND($E112="correction",IF($F112="","reserve",$F112)="rejected"),N($G112),0))))</f>
        <v>0</v>
      </c>
      <c r="O112" s="30" t="n">
        <f aca="false">IF($C112="","",IF($E112="collected",N($G112),IF(AND(OR($E112="returned_to_brand",$E112="given_to_roster_office",$E112="released_to_office",$E112="disposed"),IF($F112="","reserve",$F112)="leftover"),-N($G112),IF(AND($E112="correction",IF($F112="","reserve",$F112)="leftover"),N($G112),0))))</f>
        <v>0</v>
      </c>
      <c r="P112" s="30" t="str">
        <f aca="false">IF(OR($E112&lt;&gt;"received",$I112="",$L112=""),"",IF($I112&gt;=$L112+config!$B$19,"Y","N"))</f>
        <v>Y</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SAMPLE-CMP-007|SAMPLE-O-010|received</v>
      </c>
    </row>
    <row r="113" customFormat="false" ht="15" hidden="false" customHeight="false" outlineLevel="0" collapsed="false">
      <c r="A113" s="11" t="n">
        <v>46469</v>
      </c>
      <c r="B113" s="38" t="n">
        <v>0.430555555555556</v>
      </c>
      <c r="C113" s="10" t="s">
        <v>576</v>
      </c>
      <c r="D113" s="10" t="s">
        <v>698</v>
      </c>
      <c r="E113" s="10" t="s">
        <v>105</v>
      </c>
      <c r="G113" s="0" t="n">
        <v>40</v>
      </c>
      <c r="I113" s="11"/>
      <c r="J113" s="10" t="s">
        <v>820</v>
      </c>
      <c r="L113" s="31" t="n">
        <f aca="false">IF($C113="","",IFERROR(IF(INDEX(campaigns!$BG$2:$BG$51,MATCH($C113,campaigns!$A$2:$A$51,0))="","",INDEX(campaigns!$BG$2:$BG$51,MATCH($C113,campaigns!$A$2:$A$51,0))),""))</f>
        <v>46469</v>
      </c>
      <c r="M113" s="30" t="n">
        <f aca="false">IF($C113="","",IF(OR($E113="received"),N($G113),IF(OR($E113="rejected",$E113="delivered",$E113="topped_up"),-N($G113),IF(AND(OR($E113="returned_to_brand",$E113="given_to_roster_office",$E113="released_to_office",$E113="disposed"),IF($F113="","reserve",$F113)="reserve"),-N($G113),IF(AND($E113="correction",IF($F113="","reserve",$F113)="reserve"),N($G113),0)))))</f>
        <v>-40</v>
      </c>
      <c r="N113" s="30" t="n">
        <f aca="false">IF($C113="","",IF($E113="rejected",N($G113),IF(AND(OR($E113="returned_to_brand",$E113="given_to_roster_office",$E113="released_to_office",$E113="disposed"),IF($F113="","reserve",$F113)="rejected"),-N($G113),IF(AND($E113="correction",IF($F113="","reserve",$F113)="rejected"),N($G113),0))))</f>
        <v>0</v>
      </c>
      <c r="O113" s="30" t="n">
        <f aca="false">IF($C113="","",IF($E113="collected",N($G113),IF(AND(OR($E113="returned_to_brand",$E113="given_to_roster_office",$E113="released_to_office",$E113="disposed"),IF($F113="","reserve",$F113)="leftover"),-N($G113),IF(AND($E113="correction",IF($F113="","reserve",$F113)="leftover"),N($G113),0))))</f>
        <v>0</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SAMPLE-CMP-007|SAMPLE-O-010|delivered</v>
      </c>
    </row>
    <row r="114" customFormat="false" ht="15" hidden="false" customHeight="false" outlineLevel="0" collapsed="false">
      <c r="A114" s="11" t="n">
        <v>46469</v>
      </c>
      <c r="B114" s="38" t="n">
        <v>0.424305555555556</v>
      </c>
      <c r="C114" s="10" t="s">
        <v>584</v>
      </c>
      <c r="D114" s="10" t="s">
        <v>678</v>
      </c>
      <c r="E114" s="10" t="s">
        <v>685</v>
      </c>
      <c r="G114" s="0" t="n">
        <v>40</v>
      </c>
      <c r="H114" s="10" t="s">
        <v>819</v>
      </c>
      <c r="I114" s="11" t="n">
        <v>46660</v>
      </c>
      <c r="J114" s="10" t="s">
        <v>820</v>
      </c>
      <c r="K114" s="10" t="s">
        <v>821</v>
      </c>
      <c r="L114" s="31" t="n">
        <f aca="false">IF($C114="","",IFERROR(IF(INDEX(campaigns!$BG$2:$BG$51,MATCH($C114,campaigns!$A$2:$A$51,0))="","",INDEX(campaigns!$BG$2:$BG$51,MATCH($C114,campaigns!$A$2:$A$51,0))),""))</f>
        <v>46469</v>
      </c>
      <c r="M114" s="30" t="n">
        <f aca="false">IF($C114="","",IF(OR($E114="received"),N($G114),IF(OR($E114="rejected",$E114="delivered",$E114="topped_up"),-N($G114),IF(AND(OR($E114="returned_to_brand",$E114="given_to_roster_office",$E114="released_to_office",$E114="disposed"),IF($F114="","reserve",$F114)="reserve"),-N($G114),IF(AND($E114="correction",IF($F114="","reserve",$F114)="reserve"),N($G114),0)))))</f>
        <v>40</v>
      </c>
      <c r="N114" s="30" t="n">
        <f aca="false">IF($C114="","",IF($E114="rejected",N($G114),IF(AND(OR($E114="returned_to_brand",$E114="given_to_roster_office",$E114="released_to_office",$E114="disposed"),IF($F114="","reserve",$F114)="rejected"),-N($G114),IF(AND($E114="correction",IF($F114="","reserve",$F114)="rejected"),N($G114),0))))</f>
        <v>0</v>
      </c>
      <c r="O114" s="30" t="n">
        <f aca="false">IF($C114="","",IF($E114="collected",N($G114),IF(AND(OR($E114="returned_to_brand",$E114="given_to_roster_office",$E114="released_to_office",$E114="disposed"),IF($F114="","reserve",$F114)="leftover"),-N($G114),IF(AND($E114="correction",IF($F114="","reserve",$F114)="leftover"),N($G114),0))))</f>
        <v>0</v>
      </c>
      <c r="P114" s="30" t="str">
        <f aca="false">IF(OR($E114&lt;&gt;"received",$I114="",$L114=""),"",IF($I114&gt;=$L114+config!$B$19,"Y","N"))</f>
        <v>Y</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SAMPLE-CMP-008|SAMPLE-O-001|received</v>
      </c>
    </row>
    <row r="115" customFormat="false" ht="15" hidden="false" customHeight="false" outlineLevel="0" collapsed="false">
      <c r="A115" s="11" t="n">
        <v>46469</v>
      </c>
      <c r="B115" s="38" t="n">
        <v>0.424305555555556</v>
      </c>
      <c r="C115" s="10" t="s">
        <v>584</v>
      </c>
      <c r="D115" s="10" t="s">
        <v>678</v>
      </c>
      <c r="E115" s="10" t="s">
        <v>105</v>
      </c>
      <c r="G115" s="0" t="n">
        <v>40</v>
      </c>
      <c r="I115" s="11"/>
      <c r="J115" s="10" t="s">
        <v>820</v>
      </c>
      <c r="L115" s="31" t="n">
        <f aca="false">IF($C115="","",IFERROR(IF(INDEX(campaigns!$BG$2:$BG$51,MATCH($C115,campaigns!$A$2:$A$51,0))="","",INDEX(campaigns!$BG$2:$BG$51,MATCH($C115,campaigns!$A$2:$A$51,0))),""))</f>
        <v>46469</v>
      </c>
      <c r="M115" s="30" t="n">
        <f aca="false">IF($C115="","",IF(OR($E115="received"),N($G115),IF(OR($E115="rejected",$E115="delivered",$E115="topped_up"),-N($G115),IF(AND(OR($E115="returned_to_brand",$E115="given_to_roster_office",$E115="released_to_office",$E115="disposed"),IF($F115="","reserve",$F115)="reserve"),-N($G115),IF(AND($E115="correction",IF($F115="","reserve",$F115)="reserve"),N($G115),0)))))</f>
        <v>-40</v>
      </c>
      <c r="N115" s="30" t="n">
        <f aca="false">IF($C115="","",IF($E115="rejected",N($G115),IF(AND(OR($E115="returned_to_brand",$E115="given_to_roster_office",$E115="released_to_office",$E115="disposed"),IF($F115="","reserve",$F115)="rejected"),-N($G115),IF(AND($E115="correction",IF($F115="","reserve",$F115)="rejected"),N($G115),0))))</f>
        <v>0</v>
      </c>
      <c r="O115" s="30" t="n">
        <f aca="false">IF($C115="","",IF($E115="collected",N($G115),IF(AND(OR($E115="returned_to_brand",$E115="given_to_roster_office",$E115="released_to_office",$E115="disposed"),IF($F115="","reserve",$F115)="leftover"),-N($G115),IF(AND($E115="correction",IF($F115="","reserve",$F115)="leftover"),N($G115),0))))</f>
        <v>0</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SAMPLE-CMP-008|SAMPLE-O-001|delivered</v>
      </c>
    </row>
    <row r="116" customFormat="false" ht="15" hidden="false" customHeight="false" outlineLevel="0" collapsed="false">
      <c r="A116" s="11" t="n">
        <v>46469</v>
      </c>
      <c r="B116" s="38" t="n">
        <v>0.425</v>
      </c>
      <c r="C116" s="10" t="s">
        <v>584</v>
      </c>
      <c r="D116" s="10" t="s">
        <v>681</v>
      </c>
      <c r="E116" s="10" t="s">
        <v>685</v>
      </c>
      <c r="G116" s="0" t="n">
        <v>40</v>
      </c>
      <c r="H116" s="10" t="s">
        <v>819</v>
      </c>
      <c r="I116" s="11" t="n">
        <v>46660</v>
      </c>
      <c r="J116" s="10" t="s">
        <v>820</v>
      </c>
      <c r="K116" s="10" t="s">
        <v>821</v>
      </c>
      <c r="L116" s="31" t="n">
        <f aca="false">IF($C116="","",IFERROR(IF(INDEX(campaigns!$BG$2:$BG$51,MATCH($C116,campaigns!$A$2:$A$51,0))="","",INDEX(campaigns!$BG$2:$BG$51,MATCH($C116,campaigns!$A$2:$A$51,0))),""))</f>
        <v>46469</v>
      </c>
      <c r="M116" s="30" t="n">
        <f aca="false">IF($C116="","",IF(OR($E116="received"),N($G116),IF(OR($E116="rejected",$E116="delivered",$E116="topped_up"),-N($G116),IF(AND(OR($E116="returned_to_brand",$E116="given_to_roster_office",$E116="released_to_office",$E116="disposed"),IF($F116="","reserve",$F116)="reserve"),-N($G116),IF(AND($E116="correction",IF($F116="","reserve",$F116)="reserve"),N($G116),0)))))</f>
        <v>40</v>
      </c>
      <c r="N116" s="30" t="n">
        <f aca="false">IF($C116="","",IF($E116="rejected",N($G116),IF(AND(OR($E116="returned_to_brand",$E116="given_to_roster_office",$E116="released_to_office",$E116="disposed"),IF($F116="","reserve",$F116)="rejected"),-N($G116),IF(AND($E116="correction",IF($F116="","reserve",$F116)="rejected"),N($G116),0))))</f>
        <v>0</v>
      </c>
      <c r="O116" s="30" t="n">
        <f aca="false">IF($C116="","",IF($E116="collected",N($G116),IF(AND(OR($E116="returned_to_brand",$E116="given_to_roster_office",$E116="released_to_office",$E116="disposed"),IF($F116="","reserve",$F116)="leftover"),-N($G116),IF(AND($E116="correction",IF($F116="","reserve",$F116)="leftover"),N($G116),0))))</f>
        <v>0</v>
      </c>
      <c r="P116" s="30" t="str">
        <f aca="false">IF(OR($E116&lt;&gt;"received",$I116="",$L116=""),"",IF($I116&gt;=$L116+config!$B$19,"Y","N"))</f>
        <v>Y</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SAMPLE-CMP-008|SAMPLE-O-002|received</v>
      </c>
    </row>
    <row r="117" customFormat="false" ht="15" hidden="false" customHeight="false" outlineLevel="0" collapsed="false">
      <c r="A117" s="11" t="n">
        <v>46469</v>
      </c>
      <c r="B117" s="38" t="n">
        <v>0.425</v>
      </c>
      <c r="C117" s="10" t="s">
        <v>584</v>
      </c>
      <c r="D117" s="10" t="s">
        <v>681</v>
      </c>
      <c r="E117" s="10" t="s">
        <v>105</v>
      </c>
      <c r="G117" s="0" t="n">
        <v>40</v>
      </c>
      <c r="I117" s="11"/>
      <c r="J117" s="10" t="s">
        <v>820</v>
      </c>
      <c r="L117" s="31" t="n">
        <f aca="false">IF($C117="","",IFERROR(IF(INDEX(campaigns!$BG$2:$BG$51,MATCH($C117,campaigns!$A$2:$A$51,0))="","",INDEX(campaigns!$BG$2:$BG$51,MATCH($C117,campaigns!$A$2:$A$51,0))),""))</f>
        <v>46469</v>
      </c>
      <c r="M117" s="30" t="n">
        <f aca="false">IF($C117="","",IF(OR($E117="received"),N($G117),IF(OR($E117="rejected",$E117="delivered",$E117="topped_up"),-N($G117),IF(AND(OR($E117="returned_to_brand",$E117="given_to_roster_office",$E117="released_to_office",$E117="disposed"),IF($F117="","reserve",$F117)="reserve"),-N($G117),IF(AND($E117="correction",IF($F117="","reserve",$F117)="reserve"),N($G117),0)))))</f>
        <v>-40</v>
      </c>
      <c r="N117" s="30" t="n">
        <f aca="false">IF($C117="","",IF($E117="rejected",N($G117),IF(AND(OR($E117="returned_to_brand",$E117="given_to_roster_office",$E117="released_to_office",$E117="disposed"),IF($F117="","reserve",$F117)="rejected"),-N($G117),IF(AND($E117="correction",IF($F117="","reserve",$F117)="rejected"),N($G117),0))))</f>
        <v>0</v>
      </c>
      <c r="O117" s="30" t="n">
        <f aca="false">IF($C117="","",IF($E117="collected",N($G117),IF(AND(OR($E117="returned_to_brand",$E117="given_to_roster_office",$E117="released_to_office",$E117="disposed"),IF($F117="","reserve",$F117)="leftover"),-N($G117),IF(AND($E117="correction",IF($F117="","reserve",$F117)="leftover"),N($G117),0))))</f>
        <v>0</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SAMPLE-CMP-008|SAMPLE-O-002|delivered</v>
      </c>
    </row>
    <row r="118" customFormat="false" ht="15" hidden="false" customHeight="false" outlineLevel="0" collapsed="false">
      <c r="A118" s="11" t="n">
        <v>46469</v>
      </c>
      <c r="B118" s="38" t="n">
        <v>0.425694444444444</v>
      </c>
      <c r="C118" s="10" t="s">
        <v>584</v>
      </c>
      <c r="D118" s="10" t="s">
        <v>683</v>
      </c>
      <c r="E118" s="10" t="s">
        <v>685</v>
      </c>
      <c r="G118" s="0" t="n">
        <v>50</v>
      </c>
      <c r="H118" s="10" t="s">
        <v>819</v>
      </c>
      <c r="I118" s="11" t="n">
        <v>46660</v>
      </c>
      <c r="J118" s="10" t="s">
        <v>820</v>
      </c>
      <c r="K118" s="10" t="s">
        <v>821</v>
      </c>
      <c r="L118" s="31" t="n">
        <f aca="false">IF($C118="","",IFERROR(IF(INDEX(campaigns!$BG$2:$BG$51,MATCH($C118,campaigns!$A$2:$A$51,0))="","",INDEX(campaigns!$BG$2:$BG$51,MATCH($C118,campaigns!$A$2:$A$51,0))),""))</f>
        <v>46469</v>
      </c>
      <c r="M118" s="30" t="n">
        <f aca="false">IF($C118="","",IF(OR($E118="received"),N($G118),IF(OR($E118="rejected",$E118="delivered",$E118="topped_up"),-N($G118),IF(AND(OR($E118="returned_to_brand",$E118="given_to_roster_office",$E118="released_to_office",$E118="disposed"),IF($F118="","reserve",$F118)="reserve"),-N($G118),IF(AND($E118="correction",IF($F118="","reserve",$F118)="reserve"),N($G118),0)))))</f>
        <v>50</v>
      </c>
      <c r="N118" s="30" t="n">
        <f aca="false">IF($C118="","",IF($E118="rejected",N($G118),IF(AND(OR($E118="returned_to_brand",$E118="given_to_roster_office",$E118="released_to_office",$E118="disposed"),IF($F118="","reserve",$F118)="rejected"),-N($G118),IF(AND($E118="correction",IF($F118="","reserve",$F118)="rejected"),N($G118),0))))</f>
        <v>0</v>
      </c>
      <c r="O118" s="30" t="n">
        <f aca="false">IF($C118="","",IF($E118="collected",N($G118),IF(AND(OR($E118="returned_to_brand",$E118="given_to_roster_office",$E118="released_to_office",$E118="disposed"),IF($F118="","reserve",$F118)="leftover"),-N($G118),IF(AND($E118="correction",IF($F118="","reserve",$F118)="leftover"),N($G118),0))))</f>
        <v>0</v>
      </c>
      <c r="P118" s="30" t="str">
        <f aca="false">IF(OR($E118&lt;&gt;"received",$I118="",$L118=""),"",IF($I118&gt;=$L118+config!$B$19,"Y","N"))</f>
        <v>Y</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SAMPLE-CMP-008|SAMPLE-O-003|received</v>
      </c>
    </row>
    <row r="119" customFormat="false" ht="15" hidden="false" customHeight="false" outlineLevel="0" collapsed="false">
      <c r="A119" s="11" t="n">
        <v>46469</v>
      </c>
      <c r="B119" s="38" t="n">
        <v>0.425694444444444</v>
      </c>
      <c r="C119" s="10" t="s">
        <v>584</v>
      </c>
      <c r="D119" s="10" t="s">
        <v>683</v>
      </c>
      <c r="E119" s="10" t="s">
        <v>105</v>
      </c>
      <c r="G119" s="0" t="n">
        <v>50</v>
      </c>
      <c r="I119" s="11"/>
      <c r="J119" s="10" t="s">
        <v>820</v>
      </c>
      <c r="L119" s="31" t="n">
        <f aca="false">IF($C119="","",IFERROR(IF(INDEX(campaigns!$BG$2:$BG$51,MATCH($C119,campaigns!$A$2:$A$51,0))="","",INDEX(campaigns!$BG$2:$BG$51,MATCH($C119,campaigns!$A$2:$A$51,0))),""))</f>
        <v>46469</v>
      </c>
      <c r="M119" s="30" t="n">
        <f aca="false">IF($C119="","",IF(OR($E119="received"),N($G119),IF(OR($E119="rejected",$E119="delivered",$E119="topped_up"),-N($G119),IF(AND(OR($E119="returned_to_brand",$E119="given_to_roster_office",$E119="released_to_office",$E119="disposed"),IF($F119="","reserve",$F119)="reserve"),-N($G119),IF(AND($E119="correction",IF($F119="","reserve",$F119)="reserve"),N($G119),0)))))</f>
        <v>-50</v>
      </c>
      <c r="N119" s="30" t="n">
        <f aca="false">IF($C119="","",IF($E119="rejected",N($G119),IF(AND(OR($E119="returned_to_brand",$E119="given_to_roster_office",$E119="released_to_office",$E119="disposed"),IF($F119="","reserve",$F119)="rejected"),-N($G119),IF(AND($E119="correction",IF($F119="","reserve",$F119)="rejected"),N($G119),0))))</f>
        <v>0</v>
      </c>
      <c r="O119" s="30" t="n">
        <f aca="false">IF($C119="","",IF($E119="collected",N($G119),IF(AND(OR($E119="returned_to_brand",$E119="given_to_roster_office",$E119="released_to_office",$E119="disposed"),IF($F119="","reserve",$F119)="leftover"),-N($G119),IF(AND($E119="correction",IF($F119="","reserve",$F119)="leftover"),N($G119),0))))</f>
        <v>0</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SAMPLE-CMP-008|SAMPLE-O-003|delivered</v>
      </c>
    </row>
    <row r="120" customFormat="false" ht="15" hidden="false" customHeight="false" outlineLevel="0" collapsed="false">
      <c r="A120" s="11" t="n">
        <v>46469</v>
      </c>
      <c r="B120" s="38" t="n">
        <v>0.426388888888889</v>
      </c>
      <c r="C120" s="10" t="s">
        <v>584</v>
      </c>
      <c r="D120" s="10" t="s">
        <v>686</v>
      </c>
      <c r="E120" s="10" t="s">
        <v>685</v>
      </c>
      <c r="G120" s="0" t="n">
        <v>50</v>
      </c>
      <c r="H120" s="10" t="s">
        <v>819</v>
      </c>
      <c r="I120" s="11" t="n">
        <v>46660</v>
      </c>
      <c r="J120" s="10" t="s">
        <v>820</v>
      </c>
      <c r="K120" s="10" t="s">
        <v>821</v>
      </c>
      <c r="L120" s="31" t="n">
        <f aca="false">IF($C120="","",IFERROR(IF(INDEX(campaigns!$BG$2:$BG$51,MATCH($C120,campaigns!$A$2:$A$51,0))="","",INDEX(campaigns!$BG$2:$BG$51,MATCH($C120,campaigns!$A$2:$A$51,0))),""))</f>
        <v>46469</v>
      </c>
      <c r="M120" s="30" t="n">
        <f aca="false">IF($C120="","",IF(OR($E120="received"),N($G120),IF(OR($E120="rejected",$E120="delivered",$E120="topped_up"),-N($G120),IF(AND(OR($E120="returned_to_brand",$E120="given_to_roster_office",$E120="released_to_office",$E120="disposed"),IF($F120="","reserve",$F120)="reserve"),-N($G120),IF(AND($E120="correction",IF($F120="","reserve",$F120)="reserve"),N($G120),0)))))</f>
        <v>50</v>
      </c>
      <c r="N120" s="30" t="n">
        <f aca="false">IF($C120="","",IF($E120="rejected",N($G120),IF(AND(OR($E120="returned_to_brand",$E120="given_to_roster_office",$E120="released_to_office",$E120="disposed"),IF($F120="","reserve",$F120)="rejected"),-N($G120),IF(AND($E120="correction",IF($F120="","reserve",$F120)="rejected"),N($G120),0))))</f>
        <v>0</v>
      </c>
      <c r="O120" s="30" t="n">
        <f aca="false">IF($C120="","",IF($E120="collected",N($G120),IF(AND(OR($E120="returned_to_brand",$E120="given_to_roster_office",$E120="released_to_office",$E120="disposed"),IF($F120="","reserve",$F120)="leftover"),-N($G120),IF(AND($E120="correction",IF($F120="","reserve",$F120)="leftover"),N($G120),0))))</f>
        <v>0</v>
      </c>
      <c r="P120" s="30" t="str">
        <f aca="false">IF(OR($E120&lt;&gt;"received",$I120="",$L120=""),"",IF($I120&gt;=$L120+config!$B$19,"Y","N"))</f>
        <v>Y</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SAMPLE-CMP-008|SAMPLE-O-004|received</v>
      </c>
    </row>
    <row r="121" customFormat="false" ht="15" hidden="false" customHeight="false" outlineLevel="0" collapsed="false">
      <c r="A121" s="11" t="n">
        <v>46469</v>
      </c>
      <c r="B121" s="38" t="n">
        <v>0.426388888888889</v>
      </c>
      <c r="C121" s="10" t="s">
        <v>584</v>
      </c>
      <c r="D121" s="10" t="s">
        <v>686</v>
      </c>
      <c r="E121" s="10" t="s">
        <v>105</v>
      </c>
      <c r="G121" s="0" t="n">
        <v>50</v>
      </c>
      <c r="I121" s="11"/>
      <c r="J121" s="10" t="s">
        <v>820</v>
      </c>
      <c r="L121" s="31" t="n">
        <f aca="false">IF($C121="","",IFERROR(IF(INDEX(campaigns!$BG$2:$BG$51,MATCH($C121,campaigns!$A$2:$A$51,0))="","",INDEX(campaigns!$BG$2:$BG$51,MATCH($C121,campaigns!$A$2:$A$51,0))),""))</f>
        <v>46469</v>
      </c>
      <c r="M121" s="30" t="n">
        <f aca="false">IF($C121="","",IF(OR($E121="received"),N($G121),IF(OR($E121="rejected",$E121="delivered",$E121="topped_up"),-N($G121),IF(AND(OR($E121="returned_to_brand",$E121="given_to_roster_office",$E121="released_to_office",$E121="disposed"),IF($F121="","reserve",$F121)="reserve"),-N($G121),IF(AND($E121="correction",IF($F121="","reserve",$F121)="reserve"),N($G121),0)))))</f>
        <v>-50</v>
      </c>
      <c r="N121" s="30" t="n">
        <f aca="false">IF($C121="","",IF($E121="rejected",N($G121),IF(AND(OR($E121="returned_to_brand",$E121="given_to_roster_office",$E121="released_to_office",$E121="disposed"),IF($F121="","reserve",$F121)="rejected"),-N($G121),IF(AND($E121="correction",IF($F121="","reserve",$F121)="rejected"),N($G121),0))))</f>
        <v>0</v>
      </c>
      <c r="O121" s="30" t="n">
        <f aca="false">IF($C121="","",IF($E121="collected",N($G121),IF(AND(OR($E121="returned_to_brand",$E121="given_to_roster_office",$E121="released_to_office",$E121="disposed"),IF($F121="","reserve",$F121)="leftover"),-N($G121),IF(AND($E121="correction",IF($F121="","reserve",$F121)="leftover"),N($G121),0))))</f>
        <v>0</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SAMPLE-CMP-008|SAMPLE-O-004|delivered</v>
      </c>
    </row>
    <row r="122" customFormat="false" ht="15" hidden="false" customHeight="false" outlineLevel="0" collapsed="false">
      <c r="A122" s="11" t="n">
        <v>46469</v>
      </c>
      <c r="B122" s="38" t="n">
        <v>0.427083333333333</v>
      </c>
      <c r="C122" s="10" t="s">
        <v>584</v>
      </c>
      <c r="D122" s="10" t="s">
        <v>688</v>
      </c>
      <c r="E122" s="10" t="s">
        <v>685</v>
      </c>
      <c r="G122" s="0" t="n">
        <v>70</v>
      </c>
      <c r="H122" s="10" t="s">
        <v>819</v>
      </c>
      <c r="I122" s="11" t="n">
        <v>46660</v>
      </c>
      <c r="J122" s="10" t="s">
        <v>820</v>
      </c>
      <c r="K122" s="10" t="s">
        <v>821</v>
      </c>
      <c r="L122" s="31" t="n">
        <f aca="false">IF($C122="","",IFERROR(IF(INDEX(campaigns!$BG$2:$BG$51,MATCH($C122,campaigns!$A$2:$A$51,0))="","",INDEX(campaigns!$BG$2:$BG$51,MATCH($C122,campaigns!$A$2:$A$51,0))),""))</f>
        <v>46469</v>
      </c>
      <c r="M122" s="30" t="n">
        <f aca="false">IF($C122="","",IF(OR($E122="received"),N($G122),IF(OR($E122="rejected",$E122="delivered",$E122="topped_up"),-N($G122),IF(AND(OR($E122="returned_to_brand",$E122="given_to_roster_office",$E122="released_to_office",$E122="disposed"),IF($F122="","reserve",$F122)="reserve"),-N($G122),IF(AND($E122="correction",IF($F122="","reserve",$F122)="reserve"),N($G122),0)))))</f>
        <v>70</v>
      </c>
      <c r="N122" s="30" t="n">
        <f aca="false">IF($C122="","",IF($E122="rejected",N($G122),IF(AND(OR($E122="returned_to_brand",$E122="given_to_roster_office",$E122="released_to_office",$E122="disposed"),IF($F122="","reserve",$F122)="rejected"),-N($G122),IF(AND($E122="correction",IF($F122="","reserve",$F122)="rejected"),N($G122),0))))</f>
        <v>0</v>
      </c>
      <c r="O122" s="30" t="n">
        <f aca="false">IF($C122="","",IF($E122="collected",N($G122),IF(AND(OR($E122="returned_to_brand",$E122="given_to_roster_office",$E122="released_to_office",$E122="disposed"),IF($F122="","reserve",$F122)="leftover"),-N($G122),IF(AND($E122="correction",IF($F122="","reserve",$F122)="leftover"),N($G122),0))))</f>
        <v>0</v>
      </c>
      <c r="P122" s="30" t="str">
        <f aca="false">IF(OR($E122&lt;&gt;"received",$I122="",$L122=""),"",IF($I122&gt;=$L122+config!$B$19,"Y","N"))</f>
        <v>Y</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SAMPLE-CMP-008|SAMPLE-O-005|received</v>
      </c>
    </row>
    <row r="123" customFormat="false" ht="15" hidden="false" customHeight="false" outlineLevel="0" collapsed="false">
      <c r="A123" s="11" t="n">
        <v>46469</v>
      </c>
      <c r="B123" s="38" t="n">
        <v>0.427083333333333</v>
      </c>
      <c r="C123" s="10" t="s">
        <v>584</v>
      </c>
      <c r="D123" s="10" t="s">
        <v>688</v>
      </c>
      <c r="E123" s="10" t="s">
        <v>105</v>
      </c>
      <c r="G123" s="0" t="n">
        <v>70</v>
      </c>
      <c r="I123" s="11"/>
      <c r="J123" s="10" t="s">
        <v>820</v>
      </c>
      <c r="L123" s="31" t="n">
        <f aca="false">IF($C123="","",IFERROR(IF(INDEX(campaigns!$BG$2:$BG$51,MATCH($C123,campaigns!$A$2:$A$51,0))="","",INDEX(campaigns!$BG$2:$BG$51,MATCH($C123,campaigns!$A$2:$A$51,0))),""))</f>
        <v>46469</v>
      </c>
      <c r="M123" s="30" t="n">
        <f aca="false">IF($C123="","",IF(OR($E123="received"),N($G123),IF(OR($E123="rejected",$E123="delivered",$E123="topped_up"),-N($G123),IF(AND(OR($E123="returned_to_brand",$E123="given_to_roster_office",$E123="released_to_office",$E123="disposed"),IF($F123="","reserve",$F123)="reserve"),-N($G123),IF(AND($E123="correction",IF($F123="","reserve",$F123)="reserve"),N($G123),0)))))</f>
        <v>-70</v>
      </c>
      <c r="N123" s="30" t="n">
        <f aca="false">IF($C123="","",IF($E123="rejected",N($G123),IF(AND(OR($E123="returned_to_brand",$E123="given_to_roster_office",$E123="released_to_office",$E123="disposed"),IF($F123="","reserve",$F123)="rejected"),-N($G123),IF(AND($E123="correction",IF($F123="","reserve",$F123)="rejected"),N($G123),0))))</f>
        <v>0</v>
      </c>
      <c r="O123" s="30" t="n">
        <f aca="false">IF($C123="","",IF($E123="collected",N($G123),IF(AND(OR($E123="returned_to_brand",$E123="given_to_roster_office",$E123="released_to_office",$E123="disposed"),IF($F123="","reserve",$F123)="leftover"),-N($G123),IF(AND($E123="correction",IF($F123="","reserve",$F123)="leftover"),N($G123),0))))</f>
        <v>0</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SAMPLE-CMP-008|SAMPLE-O-005|delivered</v>
      </c>
    </row>
    <row r="124" customFormat="false" ht="15" hidden="false" customHeight="false" outlineLevel="0" collapsed="false">
      <c r="A124" s="11" t="n">
        <v>46469</v>
      </c>
      <c r="B124" s="38" t="n">
        <v>0.427777777777778</v>
      </c>
      <c r="C124" s="10" t="s">
        <v>584</v>
      </c>
      <c r="D124" s="10" t="s">
        <v>690</v>
      </c>
      <c r="E124" s="10" t="s">
        <v>685</v>
      </c>
      <c r="G124" s="0" t="n">
        <v>45</v>
      </c>
      <c r="H124" s="10" t="s">
        <v>819</v>
      </c>
      <c r="I124" s="11" t="n">
        <v>46660</v>
      </c>
      <c r="J124" s="10" t="s">
        <v>820</v>
      </c>
      <c r="K124" s="10" t="s">
        <v>821</v>
      </c>
      <c r="L124" s="31" t="n">
        <f aca="false">IF($C124="","",IFERROR(IF(INDEX(campaigns!$BG$2:$BG$51,MATCH($C124,campaigns!$A$2:$A$51,0))="","",INDEX(campaigns!$BG$2:$BG$51,MATCH($C124,campaigns!$A$2:$A$51,0))),""))</f>
        <v>46469</v>
      </c>
      <c r="M124" s="30" t="n">
        <f aca="false">IF($C124="","",IF(OR($E124="received"),N($G124),IF(OR($E124="rejected",$E124="delivered",$E124="topped_up"),-N($G124),IF(AND(OR($E124="returned_to_brand",$E124="given_to_roster_office",$E124="released_to_office",$E124="disposed"),IF($F124="","reserve",$F124)="reserve"),-N($G124),IF(AND($E124="correction",IF($F124="","reserve",$F124)="reserve"),N($G124),0)))))</f>
        <v>45</v>
      </c>
      <c r="N124" s="30" t="n">
        <f aca="false">IF($C124="","",IF($E124="rejected",N($G124),IF(AND(OR($E124="returned_to_brand",$E124="given_to_roster_office",$E124="released_to_office",$E124="disposed"),IF($F124="","reserve",$F124)="rejected"),-N($G124),IF(AND($E124="correction",IF($F124="","reserve",$F124)="rejected"),N($G124),0))))</f>
        <v>0</v>
      </c>
      <c r="O124" s="30" t="n">
        <f aca="false">IF($C124="","",IF($E124="collected",N($G124),IF(AND(OR($E124="returned_to_brand",$E124="given_to_roster_office",$E124="released_to_office",$E124="disposed"),IF($F124="","reserve",$F124)="leftover"),-N($G124),IF(AND($E124="correction",IF($F124="","reserve",$F124)="leftover"),N($G124),0))))</f>
        <v>0</v>
      </c>
      <c r="P124" s="30" t="str">
        <f aca="false">IF(OR($E124&lt;&gt;"received",$I124="",$L124=""),"",IF($I124&gt;=$L124+config!$B$19,"Y","N"))</f>
        <v>Y</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SAMPLE-CMP-008|SAMPLE-O-006|received</v>
      </c>
    </row>
    <row r="125" customFormat="false" ht="15" hidden="false" customHeight="false" outlineLevel="0" collapsed="false">
      <c r="A125" s="11" t="n">
        <v>46469</v>
      </c>
      <c r="B125" s="38" t="n">
        <v>0.427777777777778</v>
      </c>
      <c r="C125" s="10" t="s">
        <v>584</v>
      </c>
      <c r="D125" s="10" t="s">
        <v>690</v>
      </c>
      <c r="E125" s="10" t="s">
        <v>105</v>
      </c>
      <c r="G125" s="0" t="n">
        <v>45</v>
      </c>
      <c r="I125" s="11"/>
      <c r="J125" s="10" t="s">
        <v>820</v>
      </c>
      <c r="L125" s="31" t="n">
        <f aca="false">IF($C125="","",IFERROR(IF(INDEX(campaigns!$BG$2:$BG$51,MATCH($C125,campaigns!$A$2:$A$51,0))="","",INDEX(campaigns!$BG$2:$BG$51,MATCH($C125,campaigns!$A$2:$A$51,0))),""))</f>
        <v>46469</v>
      </c>
      <c r="M125" s="30" t="n">
        <f aca="false">IF($C125="","",IF(OR($E125="received"),N($G125),IF(OR($E125="rejected",$E125="delivered",$E125="topped_up"),-N($G125),IF(AND(OR($E125="returned_to_brand",$E125="given_to_roster_office",$E125="released_to_office",$E125="disposed"),IF($F125="","reserve",$F125)="reserve"),-N($G125),IF(AND($E125="correction",IF($F125="","reserve",$F125)="reserve"),N($G125),0)))))</f>
        <v>-45</v>
      </c>
      <c r="N125" s="30" t="n">
        <f aca="false">IF($C125="","",IF($E125="rejected",N($G125),IF(AND(OR($E125="returned_to_brand",$E125="given_to_roster_office",$E125="released_to_office",$E125="disposed"),IF($F125="","reserve",$F125)="rejected"),-N($G125),IF(AND($E125="correction",IF($F125="","reserve",$F125)="rejected"),N($G125),0))))</f>
        <v>0</v>
      </c>
      <c r="O125" s="30" t="n">
        <f aca="false">IF($C125="","",IF($E125="collected",N($G125),IF(AND(OR($E125="returned_to_brand",$E125="given_to_roster_office",$E125="released_to_office",$E125="disposed"),IF($F125="","reserve",$F125)="leftover"),-N($G125),IF(AND($E125="correction",IF($F125="","reserve",$F125)="leftover"),N($G125),0))))</f>
        <v>0</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SAMPLE-CMP-008|SAMPLE-O-006|delivered</v>
      </c>
    </row>
    <row r="126" customFormat="false" ht="15" hidden="false" customHeight="false" outlineLevel="0" collapsed="false">
      <c r="A126" s="11" t="n">
        <v>46469</v>
      </c>
      <c r="B126" s="38" t="n">
        <v>0.428472222222222</v>
      </c>
      <c r="C126" s="10" t="s">
        <v>584</v>
      </c>
      <c r="D126" s="10" t="s">
        <v>692</v>
      </c>
      <c r="E126" s="10" t="s">
        <v>685</v>
      </c>
      <c r="G126" s="0" t="n">
        <v>60</v>
      </c>
      <c r="H126" s="10" t="s">
        <v>819</v>
      </c>
      <c r="I126" s="11" t="n">
        <v>46660</v>
      </c>
      <c r="J126" s="10" t="s">
        <v>820</v>
      </c>
      <c r="K126" s="10" t="s">
        <v>821</v>
      </c>
      <c r="L126" s="31" t="n">
        <f aca="false">IF($C126="","",IFERROR(IF(INDEX(campaigns!$BG$2:$BG$51,MATCH($C126,campaigns!$A$2:$A$51,0))="","",INDEX(campaigns!$BG$2:$BG$51,MATCH($C126,campaigns!$A$2:$A$51,0))),""))</f>
        <v>46469</v>
      </c>
      <c r="M126" s="30" t="n">
        <f aca="false">IF($C126="","",IF(OR($E126="received"),N($G126),IF(OR($E126="rejected",$E126="delivered",$E126="topped_up"),-N($G126),IF(AND(OR($E126="returned_to_brand",$E126="given_to_roster_office",$E126="released_to_office",$E126="disposed"),IF($F126="","reserve",$F126)="reserve"),-N($G126),IF(AND($E126="correction",IF($F126="","reserve",$F126)="reserve"),N($G126),0)))))</f>
        <v>60</v>
      </c>
      <c r="N126" s="30" t="n">
        <f aca="false">IF($C126="","",IF($E126="rejected",N($G126),IF(AND(OR($E126="returned_to_brand",$E126="given_to_roster_office",$E126="released_to_office",$E126="disposed"),IF($F126="","reserve",$F126)="rejected"),-N($G126),IF(AND($E126="correction",IF($F126="","reserve",$F126)="rejected"),N($G126),0))))</f>
        <v>0</v>
      </c>
      <c r="O126" s="30" t="n">
        <f aca="false">IF($C126="","",IF($E126="collected",N($G126),IF(AND(OR($E126="returned_to_brand",$E126="given_to_roster_office",$E126="released_to_office",$E126="disposed"),IF($F126="","reserve",$F126)="leftover"),-N($G126),IF(AND($E126="correction",IF($F126="","reserve",$F126)="leftover"),N($G126),0))))</f>
        <v>0</v>
      </c>
      <c r="P126" s="30" t="str">
        <f aca="false">IF(OR($E126&lt;&gt;"received",$I126="",$L126=""),"",IF($I126&gt;=$L126+config!$B$19,"Y","N"))</f>
        <v>Y</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SAMPLE-CMP-008|SAMPLE-O-007|received</v>
      </c>
    </row>
    <row r="127" customFormat="false" ht="15" hidden="false" customHeight="false" outlineLevel="0" collapsed="false">
      <c r="A127" s="11" t="n">
        <v>46469</v>
      </c>
      <c r="B127" s="38" t="n">
        <v>0.428472222222222</v>
      </c>
      <c r="C127" s="10" t="s">
        <v>584</v>
      </c>
      <c r="D127" s="10" t="s">
        <v>692</v>
      </c>
      <c r="E127" s="10" t="s">
        <v>105</v>
      </c>
      <c r="G127" s="0" t="n">
        <v>60</v>
      </c>
      <c r="I127" s="11"/>
      <c r="J127" s="10" t="s">
        <v>820</v>
      </c>
      <c r="L127" s="31" t="n">
        <f aca="false">IF($C127="","",IFERROR(IF(INDEX(campaigns!$BG$2:$BG$51,MATCH($C127,campaigns!$A$2:$A$51,0))="","",INDEX(campaigns!$BG$2:$BG$51,MATCH($C127,campaigns!$A$2:$A$51,0))),""))</f>
        <v>46469</v>
      </c>
      <c r="M127" s="30" t="n">
        <f aca="false">IF($C127="","",IF(OR($E127="received"),N($G127),IF(OR($E127="rejected",$E127="delivered",$E127="topped_up"),-N($G127),IF(AND(OR($E127="returned_to_brand",$E127="given_to_roster_office",$E127="released_to_office",$E127="disposed"),IF($F127="","reserve",$F127)="reserve"),-N($G127),IF(AND($E127="correction",IF($F127="","reserve",$F127)="reserve"),N($G127),0)))))</f>
        <v>-60</v>
      </c>
      <c r="N127" s="30" t="n">
        <f aca="false">IF($C127="","",IF($E127="rejected",N($G127),IF(AND(OR($E127="returned_to_brand",$E127="given_to_roster_office",$E127="released_to_office",$E127="disposed"),IF($F127="","reserve",$F127)="rejected"),-N($G127),IF(AND($E127="correction",IF($F127="","reserve",$F127)="rejected"),N($G127),0))))</f>
        <v>0</v>
      </c>
      <c r="O127" s="30" t="n">
        <f aca="false">IF($C127="","",IF($E127="collected",N($G127),IF(AND(OR($E127="returned_to_brand",$E127="given_to_roster_office",$E127="released_to_office",$E127="disposed"),IF($F127="","reserve",$F127)="leftover"),-N($G127),IF(AND($E127="correction",IF($F127="","reserve",$F127)="leftover"),N($G127),0))))</f>
        <v>0</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SAMPLE-CMP-008|SAMPLE-O-007|delivered</v>
      </c>
    </row>
    <row r="128" customFormat="false" ht="15" hidden="false" customHeight="false" outlineLevel="0" collapsed="false">
      <c r="A128" s="11" t="n">
        <v>46469</v>
      </c>
      <c r="B128" s="38" t="n">
        <v>0.438888888888889</v>
      </c>
      <c r="C128" s="10" t="s">
        <v>584</v>
      </c>
      <c r="D128" s="10" t="s">
        <v>696</v>
      </c>
      <c r="E128" s="10" t="s">
        <v>105</v>
      </c>
      <c r="G128" s="0" t="n">
        <v>75</v>
      </c>
      <c r="I128" s="11"/>
      <c r="J128" s="10" t="s">
        <v>792</v>
      </c>
      <c r="L128" s="31" t="n">
        <f aca="false">IF($C128="","",IFERROR(IF(INDEX(campaigns!$BG$2:$BG$51,MATCH($C128,campaigns!$A$2:$A$51,0))="","",INDEX(campaigns!$BG$2:$BG$51,MATCH($C128,campaigns!$A$2:$A$51,0))),""))</f>
        <v>46469</v>
      </c>
      <c r="M128" s="30" t="n">
        <f aca="false">IF($C128="","",IF(OR($E128="received"),N($G128),IF(OR($E128="rejected",$E128="delivered",$E128="topped_up"),-N($G128),IF(AND(OR($E128="returned_to_brand",$E128="given_to_roster_office",$E128="released_to_office",$E128="disposed"),IF($F128="","reserve",$F128)="reserve"),-N($G128),IF(AND($E128="correction",IF($F128="","reserve",$F128)="reserve"),N($G128),0)))))</f>
        <v>-75</v>
      </c>
      <c r="N128" s="30" t="n">
        <f aca="false">IF($C128="","",IF($E128="rejected",N($G128),IF(AND(OR($E128="returned_to_brand",$E128="given_to_roster_office",$E128="released_to_office",$E128="disposed"),IF($F128="","reserve",$F128)="rejected"),-N($G128),IF(AND($E128="correction",IF($F128="","reserve",$F128)="rejected"),N($G128),0))))</f>
        <v>0</v>
      </c>
      <c r="O128" s="30" t="n">
        <f aca="false">IF($C128="","",IF($E128="collected",N($G128),IF(AND(OR($E128="returned_to_brand",$E128="given_to_roster_office",$E128="released_to_office",$E128="disposed"),IF($F128="","reserve",$F128)="leftover"),-N($G128),IF(AND($E128="correction",IF($F128="","reserve",$F128)="leftover"),N($G128),0))))</f>
        <v>0</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SAMPLE-CMP-008|SAMPLE-O-009|delivered</v>
      </c>
    </row>
    <row r="129" customFormat="false" ht="15" hidden="false" customHeight="false" outlineLevel="0" collapsed="false">
      <c r="A129" s="11" t="n">
        <v>46471</v>
      </c>
      <c r="B129" s="38" t="n">
        <v>0.541666666666667</v>
      </c>
      <c r="C129" s="10" t="s">
        <v>584</v>
      </c>
      <c r="D129" s="10" t="s">
        <v>696</v>
      </c>
      <c r="E129" s="10" t="s">
        <v>800</v>
      </c>
      <c r="G129" s="0" t="n">
        <v>6</v>
      </c>
      <c r="I129" s="11"/>
      <c r="J129" s="10" t="s">
        <v>792</v>
      </c>
      <c r="L129" s="31" t="n">
        <f aca="false">IF($C129="","",IFERROR(IF(INDEX(campaigns!$BG$2:$BG$51,MATCH($C129,campaigns!$A$2:$A$51,0))="","",INDEX(campaigns!$BG$2:$BG$51,MATCH($C129,campaigns!$A$2:$A$51,0))),""))</f>
        <v>46469</v>
      </c>
      <c r="M129" s="30" t="n">
        <f aca="false">IF($C129="","",IF(OR($E129="received"),N($G129),IF(OR($E129="rejected",$E129="delivered",$E129="topped_up"),-N($G129),IF(AND(OR($E129="returned_to_brand",$E129="given_to_roster_office",$E129="released_to_office",$E129="disposed"),IF($F129="","reserve",$F129)="reserve"),-N($G129),IF(AND($E129="correction",IF($F129="","reserve",$F129)="reserve"),N($G129),0)))))</f>
        <v>-6</v>
      </c>
      <c r="N129" s="30" t="n">
        <f aca="false">IF($C129="","",IF($E129="rejected",N($G129),IF(AND(OR($E129="returned_to_brand",$E129="given_to_roster_office",$E129="released_to_office",$E129="disposed"),IF($F129="","reserve",$F129)="rejected"),-N($G129),IF(AND($E129="correction",IF($F129="","reserve",$F129)="rejected"),N($G129),0))))</f>
        <v>0</v>
      </c>
      <c r="O129" s="30" t="n">
        <f aca="false">IF($C129="","",IF($E129="collected",N($G129),IF(AND(OR($E129="returned_to_brand",$E129="given_to_roster_office",$E129="released_to_office",$E129="disposed"),IF($F129="","reserve",$F129)="leftover"),-N($G129),IF(AND($E129="correction",IF($F129="","reserve",$F129)="leftover"),N($G129),0))))</f>
        <v>0</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SAMPLE-CMP-008|SAMPLE-O-009|topped_up</v>
      </c>
    </row>
    <row r="130" customFormat="false" ht="15" hidden="false" customHeight="false" outlineLevel="0" collapsed="false">
      <c r="A130" s="11" t="n">
        <v>46469</v>
      </c>
      <c r="B130" s="38" t="n">
        <v>0.430555555555556</v>
      </c>
      <c r="C130" s="10" t="s">
        <v>584</v>
      </c>
      <c r="D130" s="10" t="s">
        <v>698</v>
      </c>
      <c r="E130" s="10" t="s">
        <v>685</v>
      </c>
      <c r="G130" s="0" t="n">
        <v>40</v>
      </c>
      <c r="H130" s="10" t="s">
        <v>819</v>
      </c>
      <c r="I130" s="11" t="n">
        <v>46660</v>
      </c>
      <c r="J130" s="10" t="s">
        <v>820</v>
      </c>
      <c r="K130" s="10" t="s">
        <v>821</v>
      </c>
      <c r="L130" s="31" t="n">
        <f aca="false">IF($C130="","",IFERROR(IF(INDEX(campaigns!$BG$2:$BG$51,MATCH($C130,campaigns!$A$2:$A$51,0))="","",INDEX(campaigns!$BG$2:$BG$51,MATCH($C130,campaigns!$A$2:$A$51,0))),""))</f>
        <v>46469</v>
      </c>
      <c r="M130" s="30" t="n">
        <f aca="false">IF($C130="","",IF(OR($E130="received"),N($G130),IF(OR($E130="rejected",$E130="delivered",$E130="topped_up"),-N($G130),IF(AND(OR($E130="returned_to_brand",$E130="given_to_roster_office",$E130="released_to_office",$E130="disposed"),IF($F130="","reserve",$F130)="reserve"),-N($G130),IF(AND($E130="correction",IF($F130="","reserve",$F130)="reserve"),N($G130),0)))))</f>
        <v>40</v>
      </c>
      <c r="N130" s="30" t="n">
        <f aca="false">IF($C130="","",IF($E130="rejected",N($G130),IF(AND(OR($E130="returned_to_brand",$E130="given_to_roster_office",$E130="released_to_office",$E130="disposed"),IF($F130="","reserve",$F130)="rejected"),-N($G130),IF(AND($E130="correction",IF($F130="","reserve",$F130)="rejected"),N($G130),0))))</f>
        <v>0</v>
      </c>
      <c r="O130" s="30" t="n">
        <f aca="false">IF($C130="","",IF($E130="collected",N($G130),IF(AND(OR($E130="returned_to_brand",$E130="given_to_roster_office",$E130="released_to_office",$E130="disposed"),IF($F130="","reserve",$F130)="leftover"),-N($G130),IF(AND($E130="correction",IF($F130="","reserve",$F130)="leftover"),N($G130),0))))</f>
        <v>0</v>
      </c>
      <c r="P130" s="30" t="str">
        <f aca="false">IF(OR($E130&lt;&gt;"received",$I130="",$L130=""),"",IF($I130&gt;=$L130+config!$B$19,"Y","N"))</f>
        <v>Y</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SAMPLE-CMP-008|SAMPLE-O-010|received</v>
      </c>
    </row>
    <row r="131" customFormat="false" ht="15" hidden="false" customHeight="false" outlineLevel="0" collapsed="false">
      <c r="A131" s="11" t="n">
        <v>46469</v>
      </c>
      <c r="B131" s="38" t="n">
        <v>0.430555555555556</v>
      </c>
      <c r="C131" s="10" t="s">
        <v>584</v>
      </c>
      <c r="D131" s="10" t="s">
        <v>698</v>
      </c>
      <c r="E131" s="10" t="s">
        <v>105</v>
      </c>
      <c r="G131" s="0" t="n">
        <v>40</v>
      </c>
      <c r="I131" s="11"/>
      <c r="J131" s="10" t="s">
        <v>820</v>
      </c>
      <c r="L131" s="31" t="n">
        <f aca="false">IF($C131="","",IFERROR(IF(INDEX(campaigns!$BG$2:$BG$51,MATCH($C131,campaigns!$A$2:$A$51,0))="","",INDEX(campaigns!$BG$2:$BG$51,MATCH($C131,campaigns!$A$2:$A$51,0))),""))</f>
        <v>46469</v>
      </c>
      <c r="M131" s="30" t="n">
        <f aca="false">IF($C131="","",IF(OR($E131="received"),N($G131),IF(OR($E131="rejected",$E131="delivered",$E131="topped_up"),-N($G131),IF(AND(OR($E131="returned_to_brand",$E131="given_to_roster_office",$E131="released_to_office",$E131="disposed"),IF($F131="","reserve",$F131)="reserve"),-N($G131),IF(AND($E131="correction",IF($F131="","reserve",$F131)="reserve"),N($G131),0)))))</f>
        <v>-40</v>
      </c>
      <c r="N131" s="30" t="n">
        <f aca="false">IF($C131="","",IF($E131="rejected",N($G131),IF(AND(OR($E131="returned_to_brand",$E131="given_to_roster_office",$E131="released_to_office",$E131="disposed"),IF($F131="","reserve",$F131)="rejected"),-N($G131),IF(AND($E131="correction",IF($F131="","reserve",$F131)="rejected"),N($G131),0))))</f>
        <v>0</v>
      </c>
      <c r="O131" s="30" t="n">
        <f aca="false">IF($C131="","",IF($E131="collected",N($G131),IF(AND(OR($E131="returned_to_brand",$E131="given_to_roster_office",$E131="released_to_office",$E131="disposed"),IF($F131="","reserve",$F131)="leftover"),-N($G131),IF(AND($E131="correction",IF($F131="","reserve",$F131)="leftover"),N($G131),0))))</f>
        <v>0</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SAMPLE-CMP-008|SAMPLE-O-010|delivered</v>
      </c>
    </row>
    <row r="132" customFormat="false" ht="15" hidden="false" customHeight="false" outlineLevel="0" collapsed="false">
      <c r="A132" s="11" t="n">
        <v>46475</v>
      </c>
      <c r="B132" s="38" t="n">
        <v>0.708333333333333</v>
      </c>
      <c r="C132" s="10" t="s">
        <v>576</v>
      </c>
      <c r="D132" s="10" t="s">
        <v>688</v>
      </c>
      <c r="E132" s="10" t="s">
        <v>801</v>
      </c>
      <c r="F132" s="0" t="s">
        <v>802</v>
      </c>
      <c r="G132" s="0" t="n">
        <v>32</v>
      </c>
      <c r="I132" s="11"/>
      <c r="J132" s="10" t="s">
        <v>792</v>
      </c>
      <c r="K132" s="10" t="s">
        <v>815</v>
      </c>
      <c r="L132" s="31" t="n">
        <f aca="false">IF($C132="","",IFERROR(IF(INDEX(campaigns!$BG$2:$BG$51,MATCH($C132,campaigns!$A$2:$A$51,0))="","",INDEX(campaigns!$BG$2:$BG$51,MATCH($C132,campaigns!$A$2:$A$51,0))),""))</f>
        <v>46469</v>
      </c>
      <c r="M132" s="30" t="n">
        <f aca="false">IF($C132="","",IF(OR($E132="received"),N($G132),IF(OR($E132="rejected",$E132="delivered",$E132="topped_up"),-N($G132),IF(AND(OR($E132="returned_to_brand",$E132="given_to_roster_office",$E132="released_to_office",$E132="disposed"),IF($F132="","reserve",$F132)="reserve"),-N($G132),IF(AND($E132="correction",IF($F132="","reserve",$F132)="reserve"),N($G132),0)))))</f>
        <v>-32</v>
      </c>
      <c r="N132" s="30" t="n">
        <f aca="false">IF($C132="","",IF($E132="rejected",N($G132),IF(AND(OR($E132="returned_to_brand",$E132="given_to_roster_office",$E132="released_to_office",$E132="disposed"),IF($F132="","reserve",$F132)="rejected"),-N($G132),IF(AND($E132="correction",IF($F132="","reserve",$F132)="rejected"),N($G132),0))))</f>
        <v>0</v>
      </c>
      <c r="O132" s="30" t="n">
        <f aca="false">IF($C132="","",IF($E132="collected",N($G132),IF(AND(OR($E132="returned_to_brand",$E132="given_to_roster_office",$E132="released_to_office",$E132="disposed"),IF($F132="","reserve",$F132)="leftover"),-N($G132),IF(AND($E132="correction",IF($F132="","reserve",$F132)="leftover"),N($G132),0))))</f>
        <v>0</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SAMPLE-CMP-007|SAMPLE-O-005|released_to_office</v>
      </c>
    </row>
    <row r="133" customFormat="false" ht="15" hidden="false" customHeight="false" outlineLevel="0" collapsed="false">
      <c r="A133" s="11" t="n">
        <v>46475</v>
      </c>
      <c r="B133" s="38" t="n">
        <v>0.708333333333333</v>
      </c>
      <c r="C133" s="10" t="s">
        <v>584</v>
      </c>
      <c r="D133" s="10" t="s">
        <v>688</v>
      </c>
      <c r="E133" s="10" t="s">
        <v>801</v>
      </c>
      <c r="F133" s="0" t="s">
        <v>802</v>
      </c>
      <c r="G133" s="0" t="n">
        <v>46</v>
      </c>
      <c r="I133" s="11"/>
      <c r="J133" s="10" t="s">
        <v>792</v>
      </c>
      <c r="K133" s="10" t="s">
        <v>815</v>
      </c>
      <c r="L133" s="31" t="n">
        <f aca="false">IF($C133="","",IFERROR(IF(INDEX(campaigns!$BG$2:$BG$51,MATCH($C133,campaigns!$A$2:$A$51,0))="","",INDEX(campaigns!$BG$2:$BG$51,MATCH($C133,campaigns!$A$2:$A$51,0))),""))</f>
        <v>46469</v>
      </c>
      <c r="M133" s="30" t="n">
        <f aca="false">IF($C133="","",IF(OR($E133="received"),N($G133),IF(OR($E133="rejected",$E133="delivered",$E133="topped_up"),-N($G133),IF(AND(OR($E133="returned_to_brand",$E133="given_to_roster_office",$E133="released_to_office",$E133="disposed"),IF($F133="","reserve",$F133)="reserve"),-N($G133),IF(AND($E133="correction",IF($F133="","reserve",$F133)="reserve"),N($G133),0)))))</f>
        <v>-46</v>
      </c>
      <c r="N133" s="30" t="n">
        <f aca="false">IF($C133="","",IF($E133="rejected",N($G133),IF(AND(OR($E133="returned_to_brand",$E133="given_to_roster_office",$E133="released_to_office",$E133="disposed"),IF($F133="","reserve",$F133)="rejected"),-N($G133),IF(AND($E133="correction",IF($F133="","reserve",$F133)="rejected"),N($G133),0))))</f>
        <v>0</v>
      </c>
      <c r="O133" s="30" t="n">
        <f aca="false">IF($C133="","",IF($E133="collected",N($G133),IF(AND(OR($E133="returned_to_brand",$E133="given_to_roster_office",$E133="released_to_office",$E133="disposed"),IF($F133="","reserve",$F133)="leftover"),-N($G133),IF(AND($E133="correction",IF($F133="","reserve",$F133)="leftover"),N($G133),0))))</f>
        <v>0</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SAMPLE-CMP-008|SAMPLE-O-005|released_to_office</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780</v>
      </c>
      <c r="C1" s="28" t="s">
        <v>358</v>
      </c>
      <c r="D1" s="28" t="s">
        <v>642</v>
      </c>
      <c r="E1" s="28" t="s">
        <v>822</v>
      </c>
      <c r="F1" s="28" t="s">
        <v>85</v>
      </c>
      <c r="G1" s="28" t="s">
        <v>823</v>
      </c>
      <c r="H1" s="28" t="s">
        <v>824</v>
      </c>
      <c r="I1" s="28" t="s">
        <v>178</v>
      </c>
      <c r="J1" s="29" t="s">
        <v>825</v>
      </c>
      <c r="K1" s="29" t="s">
        <v>120</v>
      </c>
    </row>
    <row r="2" customFormat="false" ht="15" hidden="false" customHeight="false" outlineLevel="0" collapsed="false">
      <c r="A2" s="11" t="n">
        <v>46399</v>
      </c>
      <c r="B2" s="38" t="n">
        <v>0.356944444444445</v>
      </c>
      <c r="C2" s="10" t="s">
        <v>472</v>
      </c>
      <c r="D2" s="10" t="s">
        <v>678</v>
      </c>
      <c r="E2" s="10" t="s">
        <v>826</v>
      </c>
      <c r="F2" s="0" t="n">
        <v>40</v>
      </c>
      <c r="G2" s="10" t="s">
        <v>827</v>
      </c>
      <c r="H2" s="10" t="s">
        <v>828</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472</v>
      </c>
      <c r="D3" s="10" t="s">
        <v>678</v>
      </c>
      <c r="E3" s="10" t="s">
        <v>720</v>
      </c>
      <c r="F3" s="0" t="n">
        <v>4</v>
      </c>
      <c r="G3" s="10" t="s">
        <v>829</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472</v>
      </c>
      <c r="D4" s="10" t="s">
        <v>678</v>
      </c>
      <c r="E4" s="10" t="s">
        <v>721</v>
      </c>
      <c r="F4" s="0" t="n">
        <v>1</v>
      </c>
      <c r="G4" s="10" t="s">
        <v>827</v>
      </c>
      <c r="H4" s="10" t="s">
        <v>830</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472</v>
      </c>
      <c r="D5" s="10" t="s">
        <v>681</v>
      </c>
      <c r="E5" s="10" t="s">
        <v>826</v>
      </c>
      <c r="F5" s="0" t="n">
        <v>38</v>
      </c>
      <c r="G5" s="10" t="s">
        <v>827</v>
      </c>
      <c r="H5" s="10" t="s">
        <v>831</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472</v>
      </c>
      <c r="D6" s="10" t="s">
        <v>681</v>
      </c>
      <c r="E6" s="10" t="s">
        <v>720</v>
      </c>
      <c r="F6" s="0" t="n">
        <v>15</v>
      </c>
      <c r="G6" s="10" t="s">
        <v>829</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472</v>
      </c>
      <c r="D7" s="10" t="s">
        <v>681</v>
      </c>
      <c r="E7" s="10" t="s">
        <v>721</v>
      </c>
      <c r="F7" s="0" t="n">
        <v>7</v>
      </c>
      <c r="G7" s="10" t="s">
        <v>827</v>
      </c>
      <c r="H7" s="10" t="s">
        <v>832</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472</v>
      </c>
      <c r="D8" s="10" t="s">
        <v>683</v>
      </c>
      <c r="E8" s="10" t="s">
        <v>826</v>
      </c>
      <c r="F8" s="0" t="n">
        <v>50</v>
      </c>
      <c r="G8" s="10" t="s">
        <v>827</v>
      </c>
      <c r="H8" s="10" t="s">
        <v>833</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472</v>
      </c>
      <c r="D9" s="10" t="s">
        <v>683</v>
      </c>
      <c r="E9" s="10" t="s">
        <v>720</v>
      </c>
      <c r="F9" s="0" t="n">
        <v>18</v>
      </c>
      <c r="G9" s="10" t="s">
        <v>829</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472</v>
      </c>
      <c r="D10" s="10" t="s">
        <v>683</v>
      </c>
      <c r="E10" s="10" t="s">
        <v>721</v>
      </c>
      <c r="F10" s="0" t="n">
        <v>9</v>
      </c>
      <c r="G10" s="10" t="s">
        <v>827</v>
      </c>
      <c r="H10" s="10" t="s">
        <v>834</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472</v>
      </c>
      <c r="D11" s="10" t="s">
        <v>686</v>
      </c>
      <c r="E11" s="10" t="s">
        <v>826</v>
      </c>
      <c r="F11" s="0" t="n">
        <v>50</v>
      </c>
      <c r="G11" s="10" t="s">
        <v>827</v>
      </c>
      <c r="H11" s="10" t="s">
        <v>835</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472</v>
      </c>
      <c r="D12" s="10" t="s">
        <v>686</v>
      </c>
      <c r="E12" s="10" t="s">
        <v>720</v>
      </c>
      <c r="F12" s="0" t="n">
        <v>41</v>
      </c>
      <c r="G12" s="10" t="s">
        <v>829</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472</v>
      </c>
      <c r="D13" s="10" t="s">
        <v>686</v>
      </c>
      <c r="E13" s="10" t="s">
        <v>721</v>
      </c>
      <c r="F13" s="0" t="n">
        <v>28</v>
      </c>
      <c r="G13" s="10" t="s">
        <v>827</v>
      </c>
      <c r="H13" s="10" t="s">
        <v>836</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472</v>
      </c>
      <c r="D14" s="10" t="s">
        <v>688</v>
      </c>
      <c r="E14" s="10" t="s">
        <v>826</v>
      </c>
      <c r="F14" s="0" t="n">
        <v>70</v>
      </c>
      <c r="G14" s="10" t="s">
        <v>827</v>
      </c>
      <c r="H14" s="10" t="s">
        <v>837</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472</v>
      </c>
      <c r="D15" s="10" t="s">
        <v>688</v>
      </c>
      <c r="E15" s="10" t="s">
        <v>720</v>
      </c>
      <c r="F15" s="0" t="n">
        <v>22</v>
      </c>
      <c r="G15" s="10" t="s">
        <v>829</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472</v>
      </c>
      <c r="D16" s="10" t="s">
        <v>688</v>
      </c>
      <c r="E16" s="10" t="s">
        <v>721</v>
      </c>
      <c r="F16" s="0" t="n">
        <v>8</v>
      </c>
      <c r="G16" s="10" t="s">
        <v>827</v>
      </c>
      <c r="H16" s="10" t="s">
        <v>838</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498</v>
      </c>
      <c r="D17" s="10" t="s">
        <v>678</v>
      </c>
      <c r="E17" s="10" t="s">
        <v>826</v>
      </c>
      <c r="F17" s="0" t="n">
        <v>40</v>
      </c>
      <c r="G17" s="10" t="s">
        <v>827</v>
      </c>
      <c r="H17" s="10" t="s">
        <v>839</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498</v>
      </c>
      <c r="D18" s="10" t="s">
        <v>678</v>
      </c>
      <c r="E18" s="10" t="s">
        <v>720</v>
      </c>
      <c r="F18" s="0" t="n">
        <v>14</v>
      </c>
      <c r="G18" s="10" t="s">
        <v>829</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498</v>
      </c>
      <c r="D19" s="10" t="s">
        <v>678</v>
      </c>
      <c r="E19" s="10" t="s">
        <v>721</v>
      </c>
      <c r="F19" s="0" t="n">
        <v>3</v>
      </c>
      <c r="G19" s="10" t="s">
        <v>792</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498</v>
      </c>
      <c r="D20" s="10" t="s">
        <v>681</v>
      </c>
      <c r="E20" s="10" t="s">
        <v>826</v>
      </c>
      <c r="F20" s="0" t="n">
        <v>40</v>
      </c>
      <c r="G20" s="10" t="s">
        <v>827</v>
      </c>
      <c r="H20" s="10" t="s">
        <v>840</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498</v>
      </c>
      <c r="D21" s="10" t="s">
        <v>681</v>
      </c>
      <c r="E21" s="10" t="s">
        <v>720</v>
      </c>
      <c r="F21" s="0" t="n">
        <v>16</v>
      </c>
      <c r="G21" s="10" t="s">
        <v>829</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498</v>
      </c>
      <c r="D22" s="10" t="s">
        <v>681</v>
      </c>
      <c r="E22" s="10" t="s">
        <v>721</v>
      </c>
      <c r="F22" s="0" t="n">
        <v>4</v>
      </c>
      <c r="G22" s="10" t="s">
        <v>792</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498</v>
      </c>
      <c r="D23" s="10" t="s">
        <v>683</v>
      </c>
      <c r="E23" s="10" t="s">
        <v>826</v>
      </c>
      <c r="F23" s="0" t="n">
        <v>50</v>
      </c>
      <c r="G23" s="10" t="s">
        <v>827</v>
      </c>
      <c r="H23" s="10" t="s">
        <v>841</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498</v>
      </c>
      <c r="D24" s="10" t="s">
        <v>683</v>
      </c>
      <c r="E24" s="10" t="s">
        <v>720</v>
      </c>
      <c r="F24" s="0" t="n">
        <v>3</v>
      </c>
      <c r="G24" s="10" t="s">
        <v>829</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498</v>
      </c>
      <c r="D25" s="10" t="s">
        <v>683</v>
      </c>
      <c r="E25" s="10" t="s">
        <v>721</v>
      </c>
      <c r="F25" s="0" t="n">
        <v>6</v>
      </c>
      <c r="G25" s="10" t="s">
        <v>792</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498</v>
      </c>
      <c r="D26" s="10" t="s">
        <v>686</v>
      </c>
      <c r="E26" s="10" t="s">
        <v>826</v>
      </c>
      <c r="F26" s="0" t="n">
        <v>50</v>
      </c>
      <c r="G26" s="10" t="s">
        <v>827</v>
      </c>
      <c r="H26" s="10" t="s">
        <v>842</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498</v>
      </c>
      <c r="D27" s="10" t="s">
        <v>686</v>
      </c>
      <c r="E27" s="10" t="s">
        <v>720</v>
      </c>
      <c r="F27" s="0" t="n">
        <v>28</v>
      </c>
      <c r="G27" s="10" t="s">
        <v>829</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498</v>
      </c>
      <c r="D28" s="10" t="s">
        <v>686</v>
      </c>
      <c r="E28" s="10" t="s">
        <v>721</v>
      </c>
      <c r="F28" s="0" t="n">
        <v>2</v>
      </c>
      <c r="G28" s="10" t="s">
        <v>792</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498</v>
      </c>
      <c r="D29" s="10" t="s">
        <v>688</v>
      </c>
      <c r="E29" s="10" t="s">
        <v>826</v>
      </c>
      <c r="F29" s="0" t="n">
        <v>70</v>
      </c>
      <c r="G29" s="10" t="s">
        <v>827</v>
      </c>
      <c r="H29" s="10" t="s">
        <v>843</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498</v>
      </c>
      <c r="D30" s="10" t="s">
        <v>688</v>
      </c>
      <c r="E30" s="10" t="s">
        <v>720</v>
      </c>
      <c r="F30" s="0" t="n">
        <v>25</v>
      </c>
      <c r="G30" s="10" t="s">
        <v>829</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498</v>
      </c>
      <c r="D31" s="10" t="s">
        <v>688</v>
      </c>
      <c r="E31" s="10" t="s">
        <v>721</v>
      </c>
      <c r="F31" s="0" t="n">
        <v>3</v>
      </c>
      <c r="G31" s="10" t="s">
        <v>792</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516</v>
      </c>
      <c r="D32" s="10" t="s">
        <v>678</v>
      </c>
      <c r="E32" s="10" t="s">
        <v>826</v>
      </c>
      <c r="F32" s="0" t="n">
        <v>37</v>
      </c>
      <c r="G32" s="10" t="s">
        <v>827</v>
      </c>
      <c r="H32" s="10" t="s">
        <v>844</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516</v>
      </c>
      <c r="D33" s="10" t="s">
        <v>678</v>
      </c>
      <c r="E33" s="10" t="s">
        <v>720</v>
      </c>
      <c r="F33" s="0" t="n">
        <v>13</v>
      </c>
      <c r="G33" s="10" t="s">
        <v>829</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516</v>
      </c>
      <c r="D34" s="10" t="s">
        <v>678</v>
      </c>
      <c r="E34" s="10" t="s">
        <v>721</v>
      </c>
      <c r="F34" s="0" t="n">
        <v>1</v>
      </c>
      <c r="G34" s="10" t="s">
        <v>827</v>
      </c>
      <c r="H34" s="10" t="s">
        <v>845</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516</v>
      </c>
      <c r="D35" s="10" t="s">
        <v>681</v>
      </c>
      <c r="E35" s="10" t="s">
        <v>826</v>
      </c>
      <c r="F35" s="0" t="n">
        <v>37</v>
      </c>
      <c r="G35" s="10" t="s">
        <v>827</v>
      </c>
      <c r="H35" s="10" t="s">
        <v>846</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516</v>
      </c>
      <c r="D36" s="10" t="s">
        <v>681</v>
      </c>
      <c r="E36" s="10" t="s">
        <v>720</v>
      </c>
      <c r="F36" s="0" t="n">
        <v>17</v>
      </c>
      <c r="G36" s="10" t="s">
        <v>829</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516</v>
      </c>
      <c r="D37" s="10" t="s">
        <v>681</v>
      </c>
      <c r="E37" s="10" t="s">
        <v>721</v>
      </c>
      <c r="F37" s="0" t="n">
        <v>2</v>
      </c>
      <c r="G37" s="10" t="s">
        <v>827</v>
      </c>
      <c r="H37" s="10" t="s">
        <v>847</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516</v>
      </c>
      <c r="D38" s="10" t="s">
        <v>683</v>
      </c>
      <c r="E38" s="10" t="s">
        <v>826</v>
      </c>
      <c r="F38" s="0" t="n">
        <v>47</v>
      </c>
      <c r="G38" s="10" t="s">
        <v>827</v>
      </c>
      <c r="H38" s="10" t="s">
        <v>848</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516</v>
      </c>
      <c r="D39" s="10" t="s">
        <v>683</v>
      </c>
      <c r="E39" s="10" t="s">
        <v>720</v>
      </c>
      <c r="F39" s="0" t="n">
        <v>20</v>
      </c>
      <c r="G39" s="10" t="s">
        <v>829</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516</v>
      </c>
      <c r="D40" s="10" t="s">
        <v>683</v>
      </c>
      <c r="E40" s="10" t="s">
        <v>721</v>
      </c>
      <c r="F40" s="0" t="n">
        <v>4</v>
      </c>
      <c r="G40" s="10" t="s">
        <v>827</v>
      </c>
      <c r="H40" s="10" t="s">
        <v>849</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516</v>
      </c>
      <c r="D41" s="10" t="s">
        <v>686</v>
      </c>
      <c r="E41" s="10" t="s">
        <v>826</v>
      </c>
      <c r="F41" s="0" t="n">
        <v>47</v>
      </c>
      <c r="G41" s="10" t="s">
        <v>827</v>
      </c>
      <c r="H41" s="10" t="s">
        <v>850</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516</v>
      </c>
      <c r="D42" s="10" t="s">
        <v>686</v>
      </c>
      <c r="E42" s="10" t="s">
        <v>720</v>
      </c>
      <c r="F42" s="0" t="n">
        <v>12</v>
      </c>
      <c r="G42" s="10" t="s">
        <v>829</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516</v>
      </c>
      <c r="D43" s="10" t="s">
        <v>686</v>
      </c>
      <c r="E43" s="10" t="s">
        <v>721</v>
      </c>
      <c r="F43" s="0" t="n">
        <v>3</v>
      </c>
      <c r="G43" s="10" t="s">
        <v>827</v>
      </c>
      <c r="H43" s="10" t="s">
        <v>851</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516</v>
      </c>
      <c r="D44" s="10" t="s">
        <v>688</v>
      </c>
      <c r="E44" s="10" t="s">
        <v>826</v>
      </c>
      <c r="F44" s="0" t="n">
        <v>67</v>
      </c>
      <c r="G44" s="10" t="s">
        <v>827</v>
      </c>
      <c r="H44" s="10" t="s">
        <v>852</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516</v>
      </c>
      <c r="D45" s="10" t="s">
        <v>688</v>
      </c>
      <c r="E45" s="10" t="s">
        <v>720</v>
      </c>
      <c r="F45" s="0" t="n">
        <v>17</v>
      </c>
      <c r="G45" s="10" t="s">
        <v>829</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516</v>
      </c>
      <c r="D46" s="10" t="s">
        <v>688</v>
      </c>
      <c r="E46" s="10" t="s">
        <v>721</v>
      </c>
      <c r="F46" s="0" t="n">
        <v>4</v>
      </c>
      <c r="G46" s="10" t="s">
        <v>827</v>
      </c>
      <c r="H46" s="10" t="s">
        <v>853</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516</v>
      </c>
      <c r="D47" s="10" t="s">
        <v>690</v>
      </c>
      <c r="E47" s="10" t="s">
        <v>826</v>
      </c>
      <c r="F47" s="0" t="n">
        <v>42</v>
      </c>
      <c r="G47" s="10" t="s">
        <v>827</v>
      </c>
      <c r="H47" s="10" t="s">
        <v>854</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516</v>
      </c>
      <c r="D48" s="10" t="s">
        <v>690</v>
      </c>
      <c r="E48" s="10" t="s">
        <v>720</v>
      </c>
      <c r="F48" s="0" t="n">
        <v>11</v>
      </c>
      <c r="G48" s="10" t="s">
        <v>829</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516</v>
      </c>
      <c r="D49" s="10" t="s">
        <v>690</v>
      </c>
      <c r="E49" s="10" t="s">
        <v>721</v>
      </c>
      <c r="F49" s="0" t="n">
        <v>1</v>
      </c>
      <c r="G49" s="10" t="s">
        <v>827</v>
      </c>
      <c r="H49" s="10" t="s">
        <v>855</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516</v>
      </c>
      <c r="D50" s="10" t="s">
        <v>692</v>
      </c>
      <c r="E50" s="10" t="s">
        <v>826</v>
      </c>
      <c r="F50" s="0" t="n">
        <v>57</v>
      </c>
      <c r="G50" s="10" t="s">
        <v>827</v>
      </c>
      <c r="H50" s="10" t="s">
        <v>856</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516</v>
      </c>
      <c r="D51" s="10" t="s">
        <v>692</v>
      </c>
      <c r="E51" s="10" t="s">
        <v>720</v>
      </c>
      <c r="F51" s="0" t="n">
        <v>22</v>
      </c>
      <c r="G51" s="10" t="s">
        <v>829</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516</v>
      </c>
      <c r="D52" s="10" t="s">
        <v>692</v>
      </c>
      <c r="E52" s="10" t="s">
        <v>721</v>
      </c>
      <c r="F52" s="0" t="n">
        <v>8</v>
      </c>
      <c r="G52" s="10" t="s">
        <v>827</v>
      </c>
      <c r="H52" s="10" t="s">
        <v>857</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516</v>
      </c>
      <c r="D53" s="10" t="s">
        <v>694</v>
      </c>
      <c r="E53" s="10" t="s">
        <v>826</v>
      </c>
      <c r="F53" s="0" t="n">
        <v>42</v>
      </c>
      <c r="G53" s="10" t="s">
        <v>827</v>
      </c>
      <c r="H53" s="10" t="s">
        <v>858</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516</v>
      </c>
      <c r="D54" s="10" t="s">
        <v>694</v>
      </c>
      <c r="E54" s="10" t="s">
        <v>720</v>
      </c>
      <c r="F54" s="0" t="n">
        <v>12</v>
      </c>
      <c r="G54" s="10" t="s">
        <v>829</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516</v>
      </c>
      <c r="D55" s="10" t="s">
        <v>694</v>
      </c>
      <c r="E55" s="10" t="s">
        <v>721</v>
      </c>
      <c r="F55" s="0" t="n">
        <v>2</v>
      </c>
      <c r="G55" s="10" t="s">
        <v>827</v>
      </c>
      <c r="H55" s="10" t="s">
        <v>859</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516</v>
      </c>
      <c r="D56" s="10" t="s">
        <v>696</v>
      </c>
      <c r="E56" s="10" t="s">
        <v>826</v>
      </c>
      <c r="F56" s="0" t="n">
        <v>72</v>
      </c>
      <c r="G56" s="10" t="s">
        <v>827</v>
      </c>
      <c r="H56" s="10" t="s">
        <v>860</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516</v>
      </c>
      <c r="D57" s="10" t="s">
        <v>696</v>
      </c>
      <c r="E57" s="10" t="s">
        <v>720</v>
      </c>
      <c r="F57" s="0" t="n">
        <v>33</v>
      </c>
      <c r="G57" s="10" t="s">
        <v>829</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516</v>
      </c>
      <c r="D58" s="10" t="s">
        <v>696</v>
      </c>
      <c r="E58" s="10" t="s">
        <v>721</v>
      </c>
      <c r="F58" s="0" t="n">
        <v>14</v>
      </c>
      <c r="G58" s="10" t="s">
        <v>827</v>
      </c>
      <c r="H58" s="10" t="s">
        <v>861</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516</v>
      </c>
      <c r="D59" s="10" t="s">
        <v>698</v>
      </c>
      <c r="E59" s="10" t="s">
        <v>826</v>
      </c>
      <c r="F59" s="0" t="n">
        <v>37</v>
      </c>
      <c r="G59" s="10" t="s">
        <v>827</v>
      </c>
      <c r="H59" s="10" t="s">
        <v>862</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516</v>
      </c>
      <c r="D60" s="10" t="s">
        <v>698</v>
      </c>
      <c r="E60" s="10" t="s">
        <v>720</v>
      </c>
      <c r="F60" s="0" t="n">
        <v>16</v>
      </c>
      <c r="G60" s="10" t="s">
        <v>829</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516</v>
      </c>
      <c r="D61" s="10" t="s">
        <v>698</v>
      </c>
      <c r="E61" s="10" t="s">
        <v>721</v>
      </c>
      <c r="F61" s="0" t="n">
        <v>3</v>
      </c>
      <c r="G61" s="10" t="s">
        <v>827</v>
      </c>
      <c r="H61" s="10" t="s">
        <v>863</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532</v>
      </c>
      <c r="D62" s="10" t="s">
        <v>678</v>
      </c>
      <c r="E62" s="10" t="s">
        <v>826</v>
      </c>
      <c r="F62" s="0" t="n">
        <v>40</v>
      </c>
      <c r="G62" s="10" t="s">
        <v>827</v>
      </c>
      <c r="H62" s="10" t="s">
        <v>864</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532</v>
      </c>
      <c r="D63" s="10" t="s">
        <v>678</v>
      </c>
      <c r="E63" s="10" t="s">
        <v>720</v>
      </c>
      <c r="F63" s="0" t="n">
        <v>23</v>
      </c>
      <c r="G63" s="10" t="s">
        <v>829</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532</v>
      </c>
      <c r="D64" s="10" t="s">
        <v>678</v>
      </c>
      <c r="E64" s="10" t="s">
        <v>721</v>
      </c>
      <c r="F64" s="0" t="n">
        <v>2</v>
      </c>
      <c r="G64" s="10" t="s">
        <v>827</v>
      </c>
      <c r="H64" s="10" t="s">
        <v>865</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532</v>
      </c>
      <c r="D65" s="10" t="s">
        <v>681</v>
      </c>
      <c r="E65" s="10" t="s">
        <v>826</v>
      </c>
      <c r="F65" s="0" t="n">
        <v>40</v>
      </c>
      <c r="G65" s="10" t="s">
        <v>827</v>
      </c>
      <c r="H65" s="10" t="s">
        <v>866</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532</v>
      </c>
      <c r="D66" s="10" t="s">
        <v>681</v>
      </c>
      <c r="E66" s="10" t="s">
        <v>720</v>
      </c>
      <c r="F66" s="0" t="n">
        <v>22</v>
      </c>
      <c r="G66" s="10" t="s">
        <v>829</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532</v>
      </c>
      <c r="D67" s="10" t="s">
        <v>681</v>
      </c>
      <c r="E67" s="10" t="s">
        <v>721</v>
      </c>
      <c r="F67" s="0" t="n">
        <v>4</v>
      </c>
      <c r="G67" s="10" t="s">
        <v>827</v>
      </c>
      <c r="H67" s="10" t="s">
        <v>867</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532</v>
      </c>
      <c r="D68" s="10" t="s">
        <v>683</v>
      </c>
      <c r="E68" s="10" t="s">
        <v>826</v>
      </c>
      <c r="F68" s="0" t="n">
        <v>50</v>
      </c>
      <c r="G68" s="10" t="s">
        <v>827</v>
      </c>
      <c r="H68" s="10" t="s">
        <v>868</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532</v>
      </c>
      <c r="D69" s="10" t="s">
        <v>683</v>
      </c>
      <c r="E69" s="10" t="s">
        <v>720</v>
      </c>
      <c r="F69" s="0" t="n">
        <v>15</v>
      </c>
      <c r="G69" s="10" t="s">
        <v>829</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532</v>
      </c>
      <c r="D70" s="10" t="s">
        <v>683</v>
      </c>
      <c r="E70" s="10" t="s">
        <v>721</v>
      </c>
      <c r="F70" s="0" t="n">
        <v>2</v>
      </c>
      <c r="G70" s="10" t="s">
        <v>827</v>
      </c>
      <c r="H70" s="10" t="s">
        <v>869</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532</v>
      </c>
      <c r="D71" s="10" t="s">
        <v>686</v>
      </c>
      <c r="E71" s="10" t="s">
        <v>826</v>
      </c>
      <c r="F71" s="0" t="n">
        <v>50</v>
      </c>
      <c r="G71" s="10" t="s">
        <v>827</v>
      </c>
      <c r="H71" s="10" t="s">
        <v>870</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532</v>
      </c>
      <c r="D72" s="10" t="s">
        <v>686</v>
      </c>
      <c r="E72" s="10" t="s">
        <v>720</v>
      </c>
      <c r="F72" s="0" t="n">
        <v>17</v>
      </c>
      <c r="G72" s="10" t="s">
        <v>829</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532</v>
      </c>
      <c r="D73" s="10" t="s">
        <v>686</v>
      </c>
      <c r="E73" s="10" t="s">
        <v>721</v>
      </c>
      <c r="F73" s="0" t="n">
        <v>6</v>
      </c>
      <c r="G73" s="10" t="s">
        <v>827</v>
      </c>
      <c r="H73" s="10" t="s">
        <v>871</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532</v>
      </c>
      <c r="D74" s="10" t="s">
        <v>688</v>
      </c>
      <c r="E74" s="10" t="s">
        <v>826</v>
      </c>
      <c r="F74" s="0" t="n">
        <v>70</v>
      </c>
      <c r="G74" s="10" t="s">
        <v>827</v>
      </c>
      <c r="H74" s="10" t="s">
        <v>872</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532</v>
      </c>
      <c r="D75" s="10" t="s">
        <v>688</v>
      </c>
      <c r="E75" s="10" t="s">
        <v>720</v>
      </c>
      <c r="F75" s="0" t="n">
        <v>21</v>
      </c>
      <c r="G75" s="10" t="s">
        <v>829</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532</v>
      </c>
      <c r="D76" s="10" t="s">
        <v>688</v>
      </c>
      <c r="E76" s="10" t="s">
        <v>721</v>
      </c>
      <c r="F76" s="0" t="n">
        <v>6</v>
      </c>
      <c r="G76" s="10" t="s">
        <v>827</v>
      </c>
      <c r="H76" s="10" t="s">
        <v>873</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532</v>
      </c>
      <c r="D77" s="10" t="s">
        <v>690</v>
      </c>
      <c r="E77" s="10" t="s">
        <v>826</v>
      </c>
      <c r="F77" s="0" t="n">
        <v>45</v>
      </c>
      <c r="G77" s="10" t="s">
        <v>827</v>
      </c>
      <c r="H77" s="10" t="s">
        <v>874</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532</v>
      </c>
      <c r="D78" s="10" t="s">
        <v>690</v>
      </c>
      <c r="E78" s="10" t="s">
        <v>720</v>
      </c>
      <c r="F78" s="0" t="n">
        <v>21</v>
      </c>
      <c r="G78" s="10" t="s">
        <v>829</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532</v>
      </c>
      <c r="D79" s="10" t="s">
        <v>690</v>
      </c>
      <c r="E79" s="10" t="s">
        <v>721</v>
      </c>
      <c r="F79" s="0" t="n">
        <v>4</v>
      </c>
      <c r="G79" s="10" t="s">
        <v>827</v>
      </c>
      <c r="H79" s="10" t="s">
        <v>875</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532</v>
      </c>
      <c r="D80" s="10" t="s">
        <v>694</v>
      </c>
      <c r="E80" s="10" t="s">
        <v>826</v>
      </c>
      <c r="F80" s="0" t="n">
        <v>45</v>
      </c>
      <c r="G80" s="10" t="s">
        <v>827</v>
      </c>
      <c r="H80" s="10" t="s">
        <v>876</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532</v>
      </c>
      <c r="D81" s="10" t="s">
        <v>694</v>
      </c>
      <c r="E81" s="10" t="s">
        <v>720</v>
      </c>
      <c r="F81" s="0" t="n">
        <v>19</v>
      </c>
      <c r="G81" s="10" t="s">
        <v>829</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532</v>
      </c>
      <c r="D82" s="10" t="s">
        <v>694</v>
      </c>
      <c r="E82" s="10" t="s">
        <v>721</v>
      </c>
      <c r="F82" s="0" t="n">
        <v>2</v>
      </c>
      <c r="G82" s="10" t="s">
        <v>827</v>
      </c>
      <c r="H82" s="10" t="s">
        <v>877</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532</v>
      </c>
      <c r="D83" s="10" t="s">
        <v>696</v>
      </c>
      <c r="E83" s="10" t="s">
        <v>826</v>
      </c>
      <c r="F83" s="0" t="n">
        <v>75</v>
      </c>
      <c r="G83" s="10" t="s">
        <v>827</v>
      </c>
      <c r="H83" s="10" t="s">
        <v>878</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532</v>
      </c>
      <c r="D84" s="10" t="s">
        <v>696</v>
      </c>
      <c r="E84" s="10" t="s">
        <v>720</v>
      </c>
      <c r="F84" s="0" t="n">
        <v>20</v>
      </c>
      <c r="G84" s="10" t="s">
        <v>829</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532</v>
      </c>
      <c r="D85" s="10" t="s">
        <v>696</v>
      </c>
      <c r="E85" s="10" t="s">
        <v>721</v>
      </c>
      <c r="F85" s="0" t="n">
        <v>3</v>
      </c>
      <c r="G85" s="10" t="s">
        <v>827</v>
      </c>
      <c r="H85" s="10" t="s">
        <v>879</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532</v>
      </c>
      <c r="D86" s="10" t="s">
        <v>698</v>
      </c>
      <c r="E86" s="10" t="s">
        <v>826</v>
      </c>
      <c r="F86" s="0" t="n">
        <v>40</v>
      </c>
      <c r="G86" s="10" t="s">
        <v>827</v>
      </c>
      <c r="H86" s="10" t="s">
        <v>880</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532</v>
      </c>
      <c r="D87" s="10" t="s">
        <v>698</v>
      </c>
      <c r="E87" s="10" t="s">
        <v>720</v>
      </c>
      <c r="F87" s="0" t="n">
        <v>19</v>
      </c>
      <c r="G87" s="10" t="s">
        <v>829</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532</v>
      </c>
      <c r="D88" s="10" t="s">
        <v>698</v>
      </c>
      <c r="E88" s="10" t="s">
        <v>721</v>
      </c>
      <c r="F88" s="0" t="n">
        <v>4</v>
      </c>
      <c r="G88" s="10" t="s">
        <v>827</v>
      </c>
      <c r="H88" s="10" t="s">
        <v>881</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549</v>
      </c>
      <c r="D89" s="10" t="s">
        <v>678</v>
      </c>
      <c r="E89" s="10" t="s">
        <v>826</v>
      </c>
      <c r="F89" s="0" t="n">
        <v>40</v>
      </c>
      <c r="G89" s="10" t="s">
        <v>827</v>
      </c>
      <c r="H89" s="10" t="s">
        <v>882</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549</v>
      </c>
      <c r="D90" s="10" t="s">
        <v>678</v>
      </c>
      <c r="E90" s="10" t="s">
        <v>720</v>
      </c>
      <c r="F90" s="0" t="n">
        <v>14</v>
      </c>
      <c r="G90" s="10" t="s">
        <v>829</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549</v>
      </c>
      <c r="D91" s="10" t="s">
        <v>678</v>
      </c>
      <c r="E91" s="10" t="s">
        <v>721</v>
      </c>
      <c r="F91" s="0" t="n">
        <v>4</v>
      </c>
      <c r="G91" s="10" t="s">
        <v>827</v>
      </c>
      <c r="H91" s="10" t="s">
        <v>883</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549</v>
      </c>
      <c r="D92" s="10" t="s">
        <v>681</v>
      </c>
      <c r="E92" s="10" t="s">
        <v>826</v>
      </c>
      <c r="F92" s="0" t="n">
        <v>40</v>
      </c>
      <c r="G92" s="10" t="s">
        <v>827</v>
      </c>
      <c r="H92" s="10" t="s">
        <v>884</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549</v>
      </c>
      <c r="D93" s="10" t="s">
        <v>681</v>
      </c>
      <c r="E93" s="10" t="s">
        <v>720</v>
      </c>
      <c r="F93" s="0" t="n">
        <v>16</v>
      </c>
      <c r="G93" s="10" t="s">
        <v>829</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549</v>
      </c>
      <c r="D94" s="10" t="s">
        <v>681</v>
      </c>
      <c r="E94" s="10" t="s">
        <v>721</v>
      </c>
      <c r="F94" s="0" t="n">
        <v>3</v>
      </c>
      <c r="G94" s="10" t="s">
        <v>827</v>
      </c>
      <c r="H94" s="10" t="s">
        <v>885</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549</v>
      </c>
      <c r="D95" s="10" t="s">
        <v>683</v>
      </c>
      <c r="E95" s="10" t="s">
        <v>826</v>
      </c>
      <c r="F95" s="0" t="n">
        <v>50</v>
      </c>
      <c r="G95" s="10" t="s">
        <v>827</v>
      </c>
      <c r="H95" s="10" t="s">
        <v>886</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549</v>
      </c>
      <c r="D96" s="10" t="s">
        <v>683</v>
      </c>
      <c r="E96" s="10" t="s">
        <v>720</v>
      </c>
      <c r="F96" s="0" t="n">
        <v>26</v>
      </c>
      <c r="G96" s="10" t="s">
        <v>829</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549</v>
      </c>
      <c r="D97" s="10" t="s">
        <v>683</v>
      </c>
      <c r="E97" s="10" t="s">
        <v>721</v>
      </c>
      <c r="F97" s="0" t="n">
        <v>8</v>
      </c>
      <c r="G97" s="10" t="s">
        <v>827</v>
      </c>
      <c r="H97" s="10" t="s">
        <v>887</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549</v>
      </c>
      <c r="D98" s="10" t="s">
        <v>686</v>
      </c>
      <c r="E98" s="10" t="s">
        <v>826</v>
      </c>
      <c r="F98" s="0" t="n">
        <v>50</v>
      </c>
      <c r="G98" s="10" t="s">
        <v>827</v>
      </c>
      <c r="H98" s="10" t="s">
        <v>888</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549</v>
      </c>
      <c r="D99" s="10" t="s">
        <v>686</v>
      </c>
      <c r="E99" s="10" t="s">
        <v>720</v>
      </c>
      <c r="F99" s="0" t="n">
        <v>16</v>
      </c>
      <c r="G99" s="10" t="s">
        <v>829</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549</v>
      </c>
      <c r="D100" s="10" t="s">
        <v>686</v>
      </c>
      <c r="E100" s="10" t="s">
        <v>721</v>
      </c>
      <c r="F100" s="0" t="n">
        <v>4</v>
      </c>
      <c r="G100" s="10" t="s">
        <v>827</v>
      </c>
      <c r="H100" s="10" t="s">
        <v>889</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549</v>
      </c>
      <c r="D101" s="10" t="s">
        <v>688</v>
      </c>
      <c r="E101" s="10" t="s">
        <v>826</v>
      </c>
      <c r="F101" s="0" t="n">
        <v>70</v>
      </c>
      <c r="G101" s="10" t="s">
        <v>827</v>
      </c>
      <c r="H101" s="10" t="s">
        <v>890</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549</v>
      </c>
      <c r="D102" s="10" t="s">
        <v>688</v>
      </c>
      <c r="E102" s="10" t="s">
        <v>720</v>
      </c>
      <c r="F102" s="0" t="n">
        <v>30</v>
      </c>
      <c r="G102" s="10" t="s">
        <v>829</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549</v>
      </c>
      <c r="D103" s="10" t="s">
        <v>688</v>
      </c>
      <c r="E103" s="10" t="s">
        <v>721</v>
      </c>
      <c r="F103" s="0" t="n">
        <v>12</v>
      </c>
      <c r="G103" s="10" t="s">
        <v>827</v>
      </c>
      <c r="H103" s="10" t="s">
        <v>891</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549</v>
      </c>
      <c r="D104" s="10" t="s">
        <v>690</v>
      </c>
      <c r="E104" s="10" t="s">
        <v>826</v>
      </c>
      <c r="F104" s="0" t="n">
        <v>45</v>
      </c>
      <c r="G104" s="10" t="s">
        <v>827</v>
      </c>
      <c r="H104" s="10" t="s">
        <v>892</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549</v>
      </c>
      <c r="D105" s="10" t="s">
        <v>690</v>
      </c>
      <c r="E105" s="10" t="s">
        <v>720</v>
      </c>
      <c r="F105" s="0" t="n">
        <v>22</v>
      </c>
      <c r="G105" s="10" t="s">
        <v>829</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549</v>
      </c>
      <c r="D106" s="10" t="s">
        <v>690</v>
      </c>
      <c r="E106" s="10" t="s">
        <v>721</v>
      </c>
      <c r="F106" s="0" t="n">
        <v>4</v>
      </c>
      <c r="G106" s="10" t="s">
        <v>827</v>
      </c>
      <c r="H106" s="10" t="s">
        <v>893</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549</v>
      </c>
      <c r="D107" s="10" t="s">
        <v>692</v>
      </c>
      <c r="E107" s="10" t="s">
        <v>826</v>
      </c>
      <c r="F107" s="0" t="n">
        <v>60</v>
      </c>
      <c r="G107" s="10" t="s">
        <v>827</v>
      </c>
      <c r="H107" s="10" t="s">
        <v>894</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549</v>
      </c>
      <c r="D108" s="10" t="s">
        <v>692</v>
      </c>
      <c r="E108" s="10" t="s">
        <v>720</v>
      </c>
      <c r="F108" s="0" t="n">
        <v>35</v>
      </c>
      <c r="G108" s="10" t="s">
        <v>829</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549</v>
      </c>
      <c r="D109" s="10" t="s">
        <v>692</v>
      </c>
      <c r="E109" s="10" t="s">
        <v>721</v>
      </c>
      <c r="F109" s="0" t="n">
        <v>4</v>
      </c>
      <c r="G109" s="10" t="s">
        <v>827</v>
      </c>
      <c r="H109" s="10" t="s">
        <v>895</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549</v>
      </c>
      <c r="D110" s="10" t="s">
        <v>694</v>
      </c>
      <c r="E110" s="10" t="s">
        <v>826</v>
      </c>
      <c r="F110" s="0" t="n">
        <v>45</v>
      </c>
      <c r="G110" s="10" t="s">
        <v>827</v>
      </c>
      <c r="H110" s="10" t="s">
        <v>896</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549</v>
      </c>
      <c r="D111" s="10" t="s">
        <v>694</v>
      </c>
      <c r="E111" s="10" t="s">
        <v>720</v>
      </c>
      <c r="F111" s="0" t="n">
        <v>17</v>
      </c>
      <c r="G111" s="10" t="s">
        <v>829</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549</v>
      </c>
      <c r="D112" s="10" t="s">
        <v>694</v>
      </c>
      <c r="E112" s="10" t="s">
        <v>721</v>
      </c>
      <c r="F112" s="0" t="n">
        <v>6</v>
      </c>
      <c r="G112" s="10" t="s">
        <v>827</v>
      </c>
      <c r="H112" s="10" t="s">
        <v>897</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549</v>
      </c>
      <c r="D113" s="10" t="s">
        <v>696</v>
      </c>
      <c r="E113" s="10" t="s">
        <v>826</v>
      </c>
      <c r="F113" s="0" t="n">
        <v>75</v>
      </c>
      <c r="G113" s="10" t="s">
        <v>827</v>
      </c>
      <c r="H113" s="10" t="s">
        <v>898</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549</v>
      </c>
      <c r="D114" s="10" t="s">
        <v>696</v>
      </c>
      <c r="E114" s="10" t="s">
        <v>720</v>
      </c>
      <c r="F114" s="0" t="n">
        <v>22</v>
      </c>
      <c r="G114" s="10" t="s">
        <v>829</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549</v>
      </c>
      <c r="D115" s="10" t="s">
        <v>696</v>
      </c>
      <c r="E115" s="10" t="s">
        <v>721</v>
      </c>
      <c r="F115" s="0" t="n">
        <v>5</v>
      </c>
      <c r="G115" s="10" t="s">
        <v>827</v>
      </c>
      <c r="H115" s="10" t="s">
        <v>899</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549</v>
      </c>
      <c r="D116" s="10" t="s">
        <v>698</v>
      </c>
      <c r="E116" s="10" t="s">
        <v>826</v>
      </c>
      <c r="F116" s="0" t="n">
        <v>40</v>
      </c>
      <c r="G116" s="10" t="s">
        <v>827</v>
      </c>
      <c r="H116" s="10" t="s">
        <v>900</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549</v>
      </c>
      <c r="D117" s="10" t="s">
        <v>698</v>
      </c>
      <c r="E117" s="10" t="s">
        <v>720</v>
      </c>
      <c r="F117" s="0" t="n">
        <v>10</v>
      </c>
      <c r="G117" s="10" t="s">
        <v>829</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549</v>
      </c>
      <c r="D118" s="10" t="s">
        <v>698</v>
      </c>
      <c r="E118" s="10" t="s">
        <v>721</v>
      </c>
      <c r="F118" s="0" t="n">
        <v>3</v>
      </c>
      <c r="G118" s="10" t="s">
        <v>827</v>
      </c>
      <c r="H118" s="10" t="s">
        <v>901</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563</v>
      </c>
      <c r="D119" s="10" t="s">
        <v>678</v>
      </c>
      <c r="E119" s="10" t="s">
        <v>826</v>
      </c>
      <c r="F119" s="0" t="n">
        <v>35</v>
      </c>
      <c r="G119" s="10" t="s">
        <v>827</v>
      </c>
      <c r="H119" s="10" t="s">
        <v>902</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46443</v>
      </c>
      <c r="B120" s="38" t="n">
        <v>0.458333333333333</v>
      </c>
      <c r="C120" s="10" t="s">
        <v>563</v>
      </c>
      <c r="D120" s="10" t="s">
        <v>678</v>
      </c>
      <c r="E120" s="10" t="s">
        <v>720</v>
      </c>
      <c r="F120" s="0" t="n">
        <v>7</v>
      </c>
      <c r="G120" s="10" t="s">
        <v>829</v>
      </c>
      <c r="J120" s="30" t="n">
        <f aca="false">IF(OR($C120="",$A120=""),"",IF($A120&lt;IFERROR(IF(INDEX(campaigns!$BG$2:$BG$51,MATCH($C120,campaigns!$A$2:$A$51,0))="","",INDEX(campaigns!$BG$2:$BG$51,MATCH($C120,campaigns!$A$2:$A$51,0))),""),0,NETWORKDAYS(IFERROR(IF(INDEX(campaigns!$BG$2:$BG$51,MATCH($C120,campaigns!$A$2:$A$51,0))="","",INDEX(campaigns!$BG$2:$BG$51,MATCH($C120,campaigns!$A$2:$A$51,0))),""),$A120,calendar!$A$2:$A$80)))</f>
        <v>3</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46447</v>
      </c>
      <c r="B121" s="38" t="n">
        <v>0.666666666666667</v>
      </c>
      <c r="C121" s="10" t="s">
        <v>563</v>
      </c>
      <c r="D121" s="10" t="s">
        <v>678</v>
      </c>
      <c r="E121" s="10" t="s">
        <v>721</v>
      </c>
      <c r="F121" s="0" t="n">
        <v>1</v>
      </c>
      <c r="G121" s="10" t="s">
        <v>827</v>
      </c>
      <c r="H121" s="10" t="s">
        <v>903</v>
      </c>
      <c r="J121" s="30" t="n">
        <f aca="false">IF(OR($C121="",$A121=""),"",IF($A121&lt;IFERROR(IF(INDEX(campaigns!$BG$2:$BG$51,MATCH($C121,campaigns!$A$2:$A$51,0))="","",INDEX(campaigns!$BG$2:$BG$51,MATCH($C121,campaigns!$A$2:$A$51,0))),""),0,NETWORKDAYS(IFERROR(IF(INDEX(campaigns!$BG$2:$BG$51,MATCH($C121,campaigns!$A$2:$A$51,0))="","",INDEX(campaigns!$BG$2:$BG$51,MATCH($C121,campaigns!$A$2:$A$51,0))),""),$A121,calendar!$A$2:$A$80)))</f>
        <v>5</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563</v>
      </c>
      <c r="D122" s="10" t="s">
        <v>681</v>
      </c>
      <c r="E122" s="10" t="s">
        <v>826</v>
      </c>
      <c r="F122" s="0" t="n">
        <v>35</v>
      </c>
      <c r="G122" s="10" t="s">
        <v>827</v>
      </c>
      <c r="H122" s="10" t="s">
        <v>904</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46443</v>
      </c>
      <c r="B123" s="38" t="n">
        <v>0.458333333333333</v>
      </c>
      <c r="C123" s="10" t="s">
        <v>563</v>
      </c>
      <c r="D123" s="10" t="s">
        <v>681</v>
      </c>
      <c r="E123" s="10" t="s">
        <v>720</v>
      </c>
      <c r="F123" s="0" t="n">
        <v>9</v>
      </c>
      <c r="G123" s="10" t="s">
        <v>829</v>
      </c>
      <c r="J123" s="30" t="n">
        <f aca="false">IF(OR($C123="",$A123=""),"",IF($A123&lt;IFERROR(IF(INDEX(campaigns!$BG$2:$BG$51,MATCH($C123,campaigns!$A$2:$A$51,0))="","",INDEX(campaigns!$BG$2:$BG$51,MATCH($C123,campaigns!$A$2:$A$51,0))),""),0,NETWORKDAYS(IFERROR(IF(INDEX(campaigns!$BG$2:$BG$51,MATCH($C123,campaigns!$A$2:$A$51,0))="","",INDEX(campaigns!$BG$2:$BG$51,MATCH($C123,campaigns!$A$2:$A$51,0))),""),$A123,calendar!$A$2:$A$80)))</f>
        <v>3</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46447</v>
      </c>
      <c r="B124" s="38" t="n">
        <v>0.666666666666667</v>
      </c>
      <c r="C124" s="10" t="s">
        <v>563</v>
      </c>
      <c r="D124" s="10" t="s">
        <v>681</v>
      </c>
      <c r="E124" s="10" t="s">
        <v>721</v>
      </c>
      <c r="F124" s="0" t="n">
        <v>2</v>
      </c>
      <c r="G124" s="10" t="s">
        <v>827</v>
      </c>
      <c r="H124" s="10" t="s">
        <v>905</v>
      </c>
      <c r="J124" s="30" t="n">
        <f aca="false">IF(OR($C124="",$A124=""),"",IF($A124&lt;IFERROR(IF(INDEX(campaigns!$BG$2:$BG$51,MATCH($C124,campaigns!$A$2:$A$51,0))="","",INDEX(campaigns!$BG$2:$BG$51,MATCH($C124,campaigns!$A$2:$A$51,0))),""),0,NETWORKDAYS(IFERROR(IF(INDEX(campaigns!$BG$2:$BG$51,MATCH($C124,campaigns!$A$2:$A$51,0))="","",INDEX(campaigns!$BG$2:$BG$51,MATCH($C124,campaigns!$A$2:$A$51,0))),""),$A124,calendar!$A$2:$A$80)))</f>
        <v>5</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563</v>
      </c>
      <c r="D125" s="10" t="s">
        <v>683</v>
      </c>
      <c r="E125" s="10" t="s">
        <v>826</v>
      </c>
      <c r="F125" s="0" t="n">
        <v>45</v>
      </c>
      <c r="G125" s="10" t="s">
        <v>827</v>
      </c>
      <c r="H125" s="10" t="s">
        <v>906</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46443</v>
      </c>
      <c r="B126" s="38" t="n">
        <v>0.458333333333333</v>
      </c>
      <c r="C126" s="10" t="s">
        <v>563</v>
      </c>
      <c r="D126" s="10" t="s">
        <v>683</v>
      </c>
      <c r="E126" s="10" t="s">
        <v>720</v>
      </c>
      <c r="F126" s="0" t="n">
        <v>12</v>
      </c>
      <c r="G126" s="10" t="s">
        <v>829</v>
      </c>
      <c r="J126" s="30" t="n">
        <f aca="false">IF(OR($C126="",$A126=""),"",IF($A126&lt;IFERROR(IF(INDEX(campaigns!$BG$2:$BG$51,MATCH($C126,campaigns!$A$2:$A$51,0))="","",INDEX(campaigns!$BG$2:$BG$51,MATCH($C126,campaigns!$A$2:$A$51,0))),""),0,NETWORKDAYS(IFERROR(IF(INDEX(campaigns!$BG$2:$BG$51,MATCH($C126,campaigns!$A$2:$A$51,0))="","",INDEX(campaigns!$BG$2:$BG$51,MATCH($C126,campaigns!$A$2:$A$51,0))),""),$A126,calendar!$A$2:$A$80)))</f>
        <v>3</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46447</v>
      </c>
      <c r="B127" s="38" t="n">
        <v>0.666666666666667</v>
      </c>
      <c r="C127" s="10" t="s">
        <v>563</v>
      </c>
      <c r="D127" s="10" t="s">
        <v>683</v>
      </c>
      <c r="E127" s="10" t="s">
        <v>721</v>
      </c>
      <c r="F127" s="0" t="n">
        <v>4</v>
      </c>
      <c r="G127" s="10" t="s">
        <v>827</v>
      </c>
      <c r="H127" s="10" t="s">
        <v>907</v>
      </c>
      <c r="J127" s="30" t="n">
        <f aca="false">IF(OR($C127="",$A127=""),"",IF($A127&lt;IFERROR(IF(INDEX(campaigns!$BG$2:$BG$51,MATCH($C127,campaigns!$A$2:$A$51,0))="","",INDEX(campaigns!$BG$2:$BG$51,MATCH($C127,campaigns!$A$2:$A$51,0))),""),0,NETWORKDAYS(IFERROR(IF(INDEX(campaigns!$BG$2:$BG$51,MATCH($C127,campaigns!$A$2:$A$51,0))="","",INDEX(campaigns!$BG$2:$BG$51,MATCH($C127,campaigns!$A$2:$A$51,0))),""),$A127,calendar!$A$2:$A$80)))</f>
        <v>5</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t="n">
        <v>46441</v>
      </c>
      <c r="B128" s="38" t="n">
        <v>0.541666666666667</v>
      </c>
      <c r="C128" s="10" t="s">
        <v>563</v>
      </c>
      <c r="D128" s="10" t="s">
        <v>686</v>
      </c>
      <c r="E128" s="10" t="s">
        <v>826</v>
      </c>
      <c r="F128" s="0" t="n">
        <v>45</v>
      </c>
      <c r="G128" s="10" t="s">
        <v>827</v>
      </c>
      <c r="H128" s="10" t="s">
        <v>908</v>
      </c>
      <c r="J128" s="30" t="n">
        <f aca="false">IF(OR($C128="",$A128=""),"",IF($A128&lt;IFERROR(IF(INDEX(campaigns!$BG$2:$BG$51,MATCH($C128,campaigns!$A$2:$A$51,0))="","",INDEX(campaigns!$BG$2:$BG$51,MATCH($C128,campaigns!$A$2:$A$51,0))),""),0,NETWORKDAYS(IFERROR(IF(INDEX(campaigns!$BG$2:$BG$51,MATCH($C128,campaigns!$A$2:$A$51,0))="","",INDEX(campaigns!$BG$2:$BG$51,MATCH($C128,campaigns!$A$2:$A$51,0))),""),$A128,calendar!$A$2:$A$80)))</f>
        <v>1</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t="n">
        <v>46443</v>
      </c>
      <c r="B129" s="38" t="n">
        <v>0.458333333333333</v>
      </c>
      <c r="C129" s="10" t="s">
        <v>563</v>
      </c>
      <c r="D129" s="10" t="s">
        <v>686</v>
      </c>
      <c r="E129" s="10" t="s">
        <v>720</v>
      </c>
      <c r="F129" s="0" t="n">
        <v>16</v>
      </c>
      <c r="G129" s="10" t="s">
        <v>829</v>
      </c>
      <c r="J129" s="30" t="n">
        <f aca="false">IF(OR($C129="",$A129=""),"",IF($A129&lt;IFERROR(IF(INDEX(campaigns!$BG$2:$BG$51,MATCH($C129,campaigns!$A$2:$A$51,0))="","",INDEX(campaigns!$BG$2:$BG$51,MATCH($C129,campaigns!$A$2:$A$51,0))),""),0,NETWORKDAYS(IFERROR(IF(INDEX(campaigns!$BG$2:$BG$51,MATCH($C129,campaigns!$A$2:$A$51,0))="","",INDEX(campaigns!$BG$2:$BG$51,MATCH($C129,campaigns!$A$2:$A$51,0))),""),$A129,calendar!$A$2:$A$80)))</f>
        <v>3</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t="n">
        <v>46447</v>
      </c>
      <c r="B130" s="38" t="n">
        <v>0.666666666666667</v>
      </c>
      <c r="C130" s="10" t="s">
        <v>563</v>
      </c>
      <c r="D130" s="10" t="s">
        <v>686</v>
      </c>
      <c r="E130" s="10" t="s">
        <v>721</v>
      </c>
      <c r="F130" s="0" t="n">
        <v>5</v>
      </c>
      <c r="G130" s="10" t="s">
        <v>827</v>
      </c>
      <c r="H130" s="10" t="s">
        <v>909</v>
      </c>
      <c r="J130" s="30" t="n">
        <f aca="false">IF(OR($C130="",$A130=""),"",IF($A130&lt;IFERROR(IF(INDEX(campaigns!$BG$2:$BG$51,MATCH($C130,campaigns!$A$2:$A$51,0))="","",INDEX(campaigns!$BG$2:$BG$51,MATCH($C130,campaigns!$A$2:$A$51,0))),""),0,NETWORKDAYS(IFERROR(IF(INDEX(campaigns!$BG$2:$BG$51,MATCH($C130,campaigns!$A$2:$A$51,0))="","",INDEX(campaigns!$BG$2:$BG$51,MATCH($C130,campaigns!$A$2:$A$51,0))),""),$A130,calendar!$A$2:$A$80)))</f>
        <v>5</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t="n">
        <v>46441</v>
      </c>
      <c r="B131" s="38" t="n">
        <v>0.541666666666667</v>
      </c>
      <c r="C131" s="10" t="s">
        <v>563</v>
      </c>
      <c r="D131" s="10" t="s">
        <v>688</v>
      </c>
      <c r="E131" s="10" t="s">
        <v>826</v>
      </c>
      <c r="F131" s="0" t="n">
        <v>65</v>
      </c>
      <c r="G131" s="10" t="s">
        <v>827</v>
      </c>
      <c r="H131" s="10" t="s">
        <v>910</v>
      </c>
      <c r="J131" s="30" t="n">
        <f aca="false">IF(OR($C131="",$A131=""),"",IF($A131&lt;IFERROR(IF(INDEX(campaigns!$BG$2:$BG$51,MATCH($C131,campaigns!$A$2:$A$51,0))="","",INDEX(campaigns!$BG$2:$BG$51,MATCH($C131,campaigns!$A$2:$A$51,0))),""),0,NETWORKDAYS(IFERROR(IF(INDEX(campaigns!$BG$2:$BG$51,MATCH($C131,campaigns!$A$2:$A$51,0))="","",INDEX(campaigns!$BG$2:$BG$51,MATCH($C131,campaigns!$A$2:$A$51,0))),""),$A131,calendar!$A$2:$A$80)))</f>
        <v>1</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t="n">
        <v>46443</v>
      </c>
      <c r="B132" s="38" t="n">
        <v>0.458333333333333</v>
      </c>
      <c r="C132" s="10" t="s">
        <v>563</v>
      </c>
      <c r="D132" s="10" t="s">
        <v>688</v>
      </c>
      <c r="E132" s="10" t="s">
        <v>720</v>
      </c>
      <c r="F132" s="0" t="n">
        <v>31</v>
      </c>
      <c r="G132" s="10" t="s">
        <v>829</v>
      </c>
      <c r="J132" s="30" t="n">
        <f aca="false">IF(OR($C132="",$A132=""),"",IF($A132&lt;IFERROR(IF(INDEX(campaigns!$BG$2:$BG$51,MATCH($C132,campaigns!$A$2:$A$51,0))="","",INDEX(campaigns!$BG$2:$BG$51,MATCH($C132,campaigns!$A$2:$A$51,0))),""),0,NETWORKDAYS(IFERROR(IF(INDEX(campaigns!$BG$2:$BG$51,MATCH($C132,campaigns!$A$2:$A$51,0))="","",INDEX(campaigns!$BG$2:$BG$51,MATCH($C132,campaigns!$A$2:$A$51,0))),""),$A132,calendar!$A$2:$A$80)))</f>
        <v>3</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t="n">
        <v>46447</v>
      </c>
      <c r="B133" s="38" t="n">
        <v>0.666666666666667</v>
      </c>
      <c r="C133" s="10" t="s">
        <v>563</v>
      </c>
      <c r="D133" s="10" t="s">
        <v>688</v>
      </c>
      <c r="E133" s="10" t="s">
        <v>721</v>
      </c>
      <c r="F133" s="0" t="n">
        <v>7</v>
      </c>
      <c r="G133" s="10" t="s">
        <v>827</v>
      </c>
      <c r="H133" s="10" t="s">
        <v>911</v>
      </c>
      <c r="J133" s="30" t="n">
        <f aca="false">IF(OR($C133="",$A133=""),"",IF($A133&lt;IFERROR(IF(INDEX(campaigns!$BG$2:$BG$51,MATCH($C133,campaigns!$A$2:$A$51,0))="","",INDEX(campaigns!$BG$2:$BG$51,MATCH($C133,campaigns!$A$2:$A$51,0))),""),0,NETWORKDAYS(IFERROR(IF(INDEX(campaigns!$BG$2:$BG$51,MATCH($C133,campaigns!$A$2:$A$51,0))="","",INDEX(campaigns!$BG$2:$BG$51,MATCH($C133,campaigns!$A$2:$A$51,0))),""),$A133,calendar!$A$2:$A$80)))</f>
        <v>5</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t="n">
        <v>46441</v>
      </c>
      <c r="B134" s="38" t="n">
        <v>0.541666666666667</v>
      </c>
      <c r="C134" s="10" t="s">
        <v>563</v>
      </c>
      <c r="D134" s="10" t="s">
        <v>692</v>
      </c>
      <c r="E134" s="10" t="s">
        <v>826</v>
      </c>
      <c r="F134" s="0" t="n">
        <v>55</v>
      </c>
      <c r="G134" s="10" t="s">
        <v>827</v>
      </c>
      <c r="H134" s="10" t="s">
        <v>912</v>
      </c>
      <c r="J134" s="30" t="n">
        <f aca="false">IF(OR($C134="",$A134=""),"",IF($A134&lt;IFERROR(IF(INDEX(campaigns!$BG$2:$BG$51,MATCH($C134,campaigns!$A$2:$A$51,0))="","",INDEX(campaigns!$BG$2:$BG$51,MATCH($C134,campaigns!$A$2:$A$51,0))),""),0,NETWORKDAYS(IFERROR(IF(INDEX(campaigns!$BG$2:$BG$51,MATCH($C134,campaigns!$A$2:$A$51,0))="","",INDEX(campaigns!$BG$2:$BG$51,MATCH($C134,campaigns!$A$2:$A$51,0))),""),$A134,calendar!$A$2:$A$80)))</f>
        <v>1</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t="n">
        <v>46443</v>
      </c>
      <c r="B135" s="38" t="n">
        <v>0.458333333333333</v>
      </c>
      <c r="C135" s="10" t="s">
        <v>563</v>
      </c>
      <c r="D135" s="10" t="s">
        <v>692</v>
      </c>
      <c r="E135" s="10" t="s">
        <v>720</v>
      </c>
      <c r="F135" s="0" t="n">
        <v>18</v>
      </c>
      <c r="G135" s="10" t="s">
        <v>829</v>
      </c>
      <c r="J135" s="30" t="n">
        <f aca="false">IF(OR($C135="",$A135=""),"",IF($A135&lt;IFERROR(IF(INDEX(campaigns!$BG$2:$BG$51,MATCH($C135,campaigns!$A$2:$A$51,0))="","",INDEX(campaigns!$BG$2:$BG$51,MATCH($C135,campaigns!$A$2:$A$51,0))),""),0,NETWORKDAYS(IFERROR(IF(INDEX(campaigns!$BG$2:$BG$51,MATCH($C135,campaigns!$A$2:$A$51,0))="","",INDEX(campaigns!$BG$2:$BG$51,MATCH($C135,campaigns!$A$2:$A$51,0))),""),$A135,calendar!$A$2:$A$80)))</f>
        <v>3</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t="n">
        <v>46447</v>
      </c>
      <c r="B136" s="38" t="n">
        <v>0.666666666666667</v>
      </c>
      <c r="C136" s="10" t="s">
        <v>563</v>
      </c>
      <c r="D136" s="10" t="s">
        <v>692</v>
      </c>
      <c r="E136" s="10" t="s">
        <v>721</v>
      </c>
      <c r="F136" s="0" t="n">
        <v>2</v>
      </c>
      <c r="G136" s="10" t="s">
        <v>827</v>
      </c>
      <c r="H136" s="10" t="s">
        <v>913</v>
      </c>
      <c r="J136" s="30" t="n">
        <f aca="false">IF(OR($C136="",$A136=""),"",IF($A136&lt;IFERROR(IF(INDEX(campaigns!$BG$2:$BG$51,MATCH($C136,campaigns!$A$2:$A$51,0))="","",INDEX(campaigns!$BG$2:$BG$51,MATCH($C136,campaigns!$A$2:$A$51,0))),""),0,NETWORKDAYS(IFERROR(IF(INDEX(campaigns!$BG$2:$BG$51,MATCH($C136,campaigns!$A$2:$A$51,0))="","",INDEX(campaigns!$BG$2:$BG$51,MATCH($C136,campaigns!$A$2:$A$51,0))),""),$A136,calendar!$A$2:$A$80)))</f>
        <v>5</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t="n">
        <v>46441</v>
      </c>
      <c r="B137" s="38" t="n">
        <v>0.541666666666667</v>
      </c>
      <c r="C137" s="10" t="s">
        <v>563</v>
      </c>
      <c r="D137" s="10" t="s">
        <v>694</v>
      </c>
      <c r="E137" s="10" t="s">
        <v>826</v>
      </c>
      <c r="F137" s="0" t="n">
        <v>40</v>
      </c>
      <c r="G137" s="10" t="s">
        <v>827</v>
      </c>
      <c r="H137" s="10" t="s">
        <v>914</v>
      </c>
      <c r="J137" s="30" t="n">
        <f aca="false">IF(OR($C137="",$A137=""),"",IF($A137&lt;IFERROR(IF(INDEX(campaigns!$BG$2:$BG$51,MATCH($C137,campaigns!$A$2:$A$51,0))="","",INDEX(campaigns!$BG$2:$BG$51,MATCH($C137,campaigns!$A$2:$A$51,0))),""),0,NETWORKDAYS(IFERROR(IF(INDEX(campaigns!$BG$2:$BG$51,MATCH($C137,campaigns!$A$2:$A$51,0))="","",INDEX(campaigns!$BG$2:$BG$51,MATCH($C137,campaigns!$A$2:$A$51,0))),""),$A137,calendar!$A$2:$A$80)))</f>
        <v>1</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t="n">
        <v>46443</v>
      </c>
      <c r="B138" s="38" t="n">
        <v>0.458333333333333</v>
      </c>
      <c r="C138" s="10" t="s">
        <v>563</v>
      </c>
      <c r="D138" s="10" t="s">
        <v>694</v>
      </c>
      <c r="E138" s="10" t="s">
        <v>720</v>
      </c>
      <c r="F138" s="0" t="n">
        <v>17</v>
      </c>
      <c r="G138" s="10" t="s">
        <v>829</v>
      </c>
      <c r="J138" s="30" t="n">
        <f aca="false">IF(OR($C138="",$A138=""),"",IF($A138&lt;IFERROR(IF(INDEX(campaigns!$BG$2:$BG$51,MATCH($C138,campaigns!$A$2:$A$51,0))="","",INDEX(campaigns!$BG$2:$BG$51,MATCH($C138,campaigns!$A$2:$A$51,0))),""),0,NETWORKDAYS(IFERROR(IF(INDEX(campaigns!$BG$2:$BG$51,MATCH($C138,campaigns!$A$2:$A$51,0))="","",INDEX(campaigns!$BG$2:$BG$51,MATCH($C138,campaigns!$A$2:$A$51,0))),""),$A138,calendar!$A$2:$A$80)))</f>
        <v>3</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t="n">
        <v>46447</v>
      </c>
      <c r="B139" s="38" t="n">
        <v>0.666666666666667</v>
      </c>
      <c r="C139" s="10" t="s">
        <v>563</v>
      </c>
      <c r="D139" s="10" t="s">
        <v>694</v>
      </c>
      <c r="E139" s="10" t="s">
        <v>721</v>
      </c>
      <c r="F139" s="0" t="n">
        <v>2</v>
      </c>
      <c r="G139" s="10" t="s">
        <v>827</v>
      </c>
      <c r="H139" s="10" t="s">
        <v>915</v>
      </c>
      <c r="J139" s="30" t="n">
        <f aca="false">IF(OR($C139="",$A139=""),"",IF($A139&lt;IFERROR(IF(INDEX(campaigns!$BG$2:$BG$51,MATCH($C139,campaigns!$A$2:$A$51,0))="","",INDEX(campaigns!$BG$2:$BG$51,MATCH($C139,campaigns!$A$2:$A$51,0))),""),0,NETWORKDAYS(IFERROR(IF(INDEX(campaigns!$BG$2:$BG$51,MATCH($C139,campaigns!$A$2:$A$51,0))="","",INDEX(campaigns!$BG$2:$BG$51,MATCH($C139,campaigns!$A$2:$A$51,0))),""),$A139,calendar!$A$2:$A$80)))</f>
        <v>5</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t="n">
        <v>46441</v>
      </c>
      <c r="B140" s="38" t="n">
        <v>0.541666666666667</v>
      </c>
      <c r="C140" s="10" t="s">
        <v>563</v>
      </c>
      <c r="D140" s="10" t="s">
        <v>696</v>
      </c>
      <c r="E140" s="10" t="s">
        <v>826</v>
      </c>
      <c r="F140" s="0" t="n">
        <v>70</v>
      </c>
      <c r="G140" s="10" t="s">
        <v>827</v>
      </c>
      <c r="H140" s="10" t="s">
        <v>916</v>
      </c>
      <c r="J140" s="30" t="n">
        <f aca="false">IF(OR($C140="",$A140=""),"",IF($A140&lt;IFERROR(IF(INDEX(campaigns!$BG$2:$BG$51,MATCH($C140,campaigns!$A$2:$A$51,0))="","",INDEX(campaigns!$BG$2:$BG$51,MATCH($C140,campaigns!$A$2:$A$51,0))),""),0,NETWORKDAYS(IFERROR(IF(INDEX(campaigns!$BG$2:$BG$51,MATCH($C140,campaigns!$A$2:$A$51,0))="","",INDEX(campaigns!$BG$2:$BG$51,MATCH($C140,campaigns!$A$2:$A$51,0))),""),$A140,calendar!$A$2:$A$80)))</f>
        <v>1</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t="n">
        <v>46443</v>
      </c>
      <c r="B141" s="38" t="n">
        <v>0.458333333333333</v>
      </c>
      <c r="C141" s="10" t="s">
        <v>563</v>
      </c>
      <c r="D141" s="10" t="s">
        <v>696</v>
      </c>
      <c r="E141" s="10" t="s">
        <v>720</v>
      </c>
      <c r="F141" s="0" t="n">
        <v>21</v>
      </c>
      <c r="G141" s="10" t="s">
        <v>829</v>
      </c>
      <c r="J141" s="30" t="n">
        <f aca="false">IF(OR($C141="",$A141=""),"",IF($A141&lt;IFERROR(IF(INDEX(campaigns!$BG$2:$BG$51,MATCH($C141,campaigns!$A$2:$A$51,0))="","",INDEX(campaigns!$BG$2:$BG$51,MATCH($C141,campaigns!$A$2:$A$51,0))),""),0,NETWORKDAYS(IFERROR(IF(INDEX(campaigns!$BG$2:$BG$51,MATCH($C141,campaigns!$A$2:$A$51,0))="","",INDEX(campaigns!$BG$2:$BG$51,MATCH($C141,campaigns!$A$2:$A$51,0))),""),$A141,calendar!$A$2:$A$80)))</f>
        <v>3</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t="n">
        <v>46447</v>
      </c>
      <c r="B142" s="38" t="n">
        <v>0.666666666666667</v>
      </c>
      <c r="C142" s="10" t="s">
        <v>563</v>
      </c>
      <c r="D142" s="10" t="s">
        <v>696</v>
      </c>
      <c r="E142" s="10" t="s">
        <v>721</v>
      </c>
      <c r="F142" s="0" t="n">
        <v>3</v>
      </c>
      <c r="G142" s="10" t="s">
        <v>827</v>
      </c>
      <c r="H142" s="10" t="s">
        <v>917</v>
      </c>
      <c r="J142" s="30" t="n">
        <f aca="false">IF(OR($C142="",$A142=""),"",IF($A142&lt;IFERROR(IF(INDEX(campaigns!$BG$2:$BG$51,MATCH($C142,campaigns!$A$2:$A$51,0))="","",INDEX(campaigns!$BG$2:$BG$51,MATCH($C142,campaigns!$A$2:$A$51,0))),""),0,NETWORKDAYS(IFERROR(IF(INDEX(campaigns!$BG$2:$BG$51,MATCH($C142,campaigns!$A$2:$A$51,0))="","",INDEX(campaigns!$BG$2:$BG$51,MATCH($C142,campaigns!$A$2:$A$51,0))),""),$A142,calendar!$A$2:$A$80)))</f>
        <v>5</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t="n">
        <v>46441</v>
      </c>
      <c r="B143" s="38" t="n">
        <v>0.541666666666667</v>
      </c>
      <c r="C143" s="10" t="s">
        <v>563</v>
      </c>
      <c r="D143" s="10" t="s">
        <v>698</v>
      </c>
      <c r="E143" s="10" t="s">
        <v>826</v>
      </c>
      <c r="F143" s="0" t="n">
        <v>35</v>
      </c>
      <c r="G143" s="10" t="s">
        <v>827</v>
      </c>
      <c r="H143" s="10" t="s">
        <v>918</v>
      </c>
      <c r="J143" s="30" t="n">
        <f aca="false">IF(OR($C143="",$A143=""),"",IF($A143&lt;IFERROR(IF(INDEX(campaigns!$BG$2:$BG$51,MATCH($C143,campaigns!$A$2:$A$51,0))="","",INDEX(campaigns!$BG$2:$BG$51,MATCH($C143,campaigns!$A$2:$A$51,0))),""),0,NETWORKDAYS(IFERROR(IF(INDEX(campaigns!$BG$2:$BG$51,MATCH($C143,campaigns!$A$2:$A$51,0))="","",INDEX(campaigns!$BG$2:$BG$51,MATCH($C143,campaigns!$A$2:$A$51,0))),""),$A143,calendar!$A$2:$A$80)))</f>
        <v>1</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t="n">
        <v>46443</v>
      </c>
      <c r="B144" s="38" t="n">
        <v>0.458333333333333</v>
      </c>
      <c r="C144" s="10" t="s">
        <v>563</v>
      </c>
      <c r="D144" s="10" t="s">
        <v>698</v>
      </c>
      <c r="E144" s="10" t="s">
        <v>720</v>
      </c>
      <c r="F144" s="0" t="n">
        <v>14</v>
      </c>
      <c r="G144" s="10" t="s">
        <v>829</v>
      </c>
      <c r="J144" s="30" t="n">
        <f aca="false">IF(OR($C144="",$A144=""),"",IF($A144&lt;IFERROR(IF(INDEX(campaigns!$BG$2:$BG$51,MATCH($C144,campaigns!$A$2:$A$51,0))="","",INDEX(campaigns!$BG$2:$BG$51,MATCH($C144,campaigns!$A$2:$A$51,0))),""),0,NETWORKDAYS(IFERROR(IF(INDEX(campaigns!$BG$2:$BG$51,MATCH($C144,campaigns!$A$2:$A$51,0))="","",INDEX(campaigns!$BG$2:$BG$51,MATCH($C144,campaigns!$A$2:$A$51,0))),""),$A144,calendar!$A$2:$A$80)))</f>
        <v>3</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t="n">
        <v>46447</v>
      </c>
      <c r="B145" s="38" t="n">
        <v>0.666666666666667</v>
      </c>
      <c r="C145" s="10" t="s">
        <v>563</v>
      </c>
      <c r="D145" s="10" t="s">
        <v>698</v>
      </c>
      <c r="E145" s="10" t="s">
        <v>721</v>
      </c>
      <c r="F145" s="0" t="n">
        <v>3</v>
      </c>
      <c r="G145" s="10" t="s">
        <v>827</v>
      </c>
      <c r="H145" s="10" t="s">
        <v>919</v>
      </c>
      <c r="J145" s="30" t="n">
        <f aca="false">IF(OR($C145="",$A145=""),"",IF($A145&lt;IFERROR(IF(INDEX(campaigns!$BG$2:$BG$51,MATCH($C145,campaigns!$A$2:$A$51,0))="","",INDEX(campaigns!$BG$2:$BG$51,MATCH($C145,campaigns!$A$2:$A$51,0))),""),0,NETWORKDAYS(IFERROR(IF(INDEX(campaigns!$BG$2:$BG$51,MATCH($C145,campaigns!$A$2:$A$51,0))="","",INDEX(campaigns!$BG$2:$BG$51,MATCH($C145,campaigns!$A$2:$A$51,0))),""),$A145,calendar!$A$2:$A$80)))</f>
        <v>5</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t="n">
        <v>46469</v>
      </c>
      <c r="B146" s="38" t="n">
        <v>0.541666666666667</v>
      </c>
      <c r="C146" s="10" t="s">
        <v>576</v>
      </c>
      <c r="D146" s="10" t="s">
        <v>678</v>
      </c>
      <c r="E146" s="10" t="s">
        <v>826</v>
      </c>
      <c r="F146" s="0" t="n">
        <v>40</v>
      </c>
      <c r="G146" s="10" t="s">
        <v>827</v>
      </c>
      <c r="H146" s="10" t="s">
        <v>920</v>
      </c>
      <c r="J146" s="30" t="n">
        <f aca="false">IF(OR($C146="",$A146=""),"",IF($A146&lt;IFERROR(IF(INDEX(campaigns!$BG$2:$BG$51,MATCH($C146,campaigns!$A$2:$A$51,0))="","",INDEX(campaigns!$BG$2:$BG$51,MATCH($C146,campaigns!$A$2:$A$51,0))),""),0,NETWORKDAYS(IFERROR(IF(INDEX(campaigns!$BG$2:$BG$51,MATCH($C146,campaigns!$A$2:$A$51,0))="","",INDEX(campaigns!$BG$2:$BG$51,MATCH($C146,campaigns!$A$2:$A$51,0))),""),$A146,calendar!$A$2:$A$80)))</f>
        <v>1</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t="n">
        <v>46471</v>
      </c>
      <c r="B147" s="38" t="n">
        <v>0.458333333333333</v>
      </c>
      <c r="C147" s="10" t="s">
        <v>576</v>
      </c>
      <c r="D147" s="10" t="s">
        <v>678</v>
      </c>
      <c r="E147" s="10" t="s">
        <v>720</v>
      </c>
      <c r="F147" s="0" t="n">
        <v>13</v>
      </c>
      <c r="G147" s="10" t="s">
        <v>829</v>
      </c>
      <c r="J147" s="30" t="n">
        <f aca="false">IF(OR($C147="",$A147=""),"",IF($A147&lt;IFERROR(IF(INDEX(campaigns!$BG$2:$BG$51,MATCH($C147,campaigns!$A$2:$A$51,0))="","",INDEX(campaigns!$BG$2:$BG$51,MATCH($C147,campaigns!$A$2:$A$51,0))),""),0,NETWORKDAYS(IFERROR(IF(INDEX(campaigns!$BG$2:$BG$51,MATCH($C147,campaigns!$A$2:$A$51,0))="","",INDEX(campaigns!$BG$2:$BG$51,MATCH($C147,campaigns!$A$2:$A$51,0))),""),$A147,calendar!$A$2:$A$80)))</f>
        <v>3</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t="n">
        <v>46475</v>
      </c>
      <c r="B148" s="38" t="n">
        <v>0.666666666666667</v>
      </c>
      <c r="C148" s="10" t="s">
        <v>576</v>
      </c>
      <c r="D148" s="10" t="s">
        <v>678</v>
      </c>
      <c r="E148" s="10" t="s">
        <v>721</v>
      </c>
      <c r="F148" s="0" t="n">
        <v>3</v>
      </c>
      <c r="G148" s="10" t="s">
        <v>827</v>
      </c>
      <c r="H148" s="10" t="s">
        <v>921</v>
      </c>
      <c r="J148" s="30" t="n">
        <f aca="false">IF(OR($C148="",$A148=""),"",IF($A148&lt;IFERROR(IF(INDEX(campaigns!$BG$2:$BG$51,MATCH($C148,campaigns!$A$2:$A$51,0))="","",INDEX(campaigns!$BG$2:$BG$51,MATCH($C148,campaigns!$A$2:$A$51,0))),""),0,NETWORKDAYS(IFERROR(IF(INDEX(campaigns!$BG$2:$BG$51,MATCH($C148,campaigns!$A$2:$A$51,0))="","",INDEX(campaigns!$BG$2:$BG$51,MATCH($C148,campaigns!$A$2:$A$51,0))),""),$A148,calendar!$A$2:$A$80)))</f>
        <v>5</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t="n">
        <v>46469</v>
      </c>
      <c r="B149" s="38" t="n">
        <v>0.541666666666667</v>
      </c>
      <c r="C149" s="10" t="s">
        <v>576</v>
      </c>
      <c r="D149" s="10" t="s">
        <v>681</v>
      </c>
      <c r="E149" s="10" t="s">
        <v>826</v>
      </c>
      <c r="F149" s="0" t="n">
        <v>40</v>
      </c>
      <c r="G149" s="10" t="s">
        <v>827</v>
      </c>
      <c r="H149" s="10" t="s">
        <v>922</v>
      </c>
      <c r="J149" s="30" t="n">
        <f aca="false">IF(OR($C149="",$A149=""),"",IF($A149&lt;IFERROR(IF(INDEX(campaigns!$BG$2:$BG$51,MATCH($C149,campaigns!$A$2:$A$51,0))="","",INDEX(campaigns!$BG$2:$BG$51,MATCH($C149,campaigns!$A$2:$A$51,0))),""),0,NETWORKDAYS(IFERROR(IF(INDEX(campaigns!$BG$2:$BG$51,MATCH($C149,campaigns!$A$2:$A$51,0))="","",INDEX(campaigns!$BG$2:$BG$51,MATCH($C149,campaigns!$A$2:$A$51,0))),""),$A149,calendar!$A$2:$A$80)))</f>
        <v>1</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t="n">
        <v>46471</v>
      </c>
      <c r="B150" s="38" t="n">
        <v>0.458333333333333</v>
      </c>
      <c r="C150" s="10" t="s">
        <v>576</v>
      </c>
      <c r="D150" s="10" t="s">
        <v>681</v>
      </c>
      <c r="E150" s="10" t="s">
        <v>720</v>
      </c>
      <c r="F150" s="0" t="n">
        <v>11</v>
      </c>
      <c r="G150" s="10" t="s">
        <v>829</v>
      </c>
      <c r="J150" s="30" t="n">
        <f aca="false">IF(OR($C150="",$A150=""),"",IF($A150&lt;IFERROR(IF(INDEX(campaigns!$BG$2:$BG$51,MATCH($C150,campaigns!$A$2:$A$51,0))="","",INDEX(campaigns!$BG$2:$BG$51,MATCH($C150,campaigns!$A$2:$A$51,0))),""),0,NETWORKDAYS(IFERROR(IF(INDEX(campaigns!$BG$2:$BG$51,MATCH($C150,campaigns!$A$2:$A$51,0))="","",INDEX(campaigns!$BG$2:$BG$51,MATCH($C150,campaigns!$A$2:$A$51,0))),""),$A150,calendar!$A$2:$A$80)))</f>
        <v>3</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t="n">
        <v>46475</v>
      </c>
      <c r="B151" s="38" t="n">
        <v>0.666666666666667</v>
      </c>
      <c r="C151" s="10" t="s">
        <v>576</v>
      </c>
      <c r="D151" s="10" t="s">
        <v>681</v>
      </c>
      <c r="E151" s="10" t="s">
        <v>721</v>
      </c>
      <c r="F151" s="0" t="n">
        <v>2</v>
      </c>
      <c r="G151" s="10" t="s">
        <v>827</v>
      </c>
      <c r="H151" s="10" t="s">
        <v>923</v>
      </c>
      <c r="J151" s="30" t="n">
        <f aca="false">IF(OR($C151="",$A151=""),"",IF($A151&lt;IFERROR(IF(INDEX(campaigns!$BG$2:$BG$51,MATCH($C151,campaigns!$A$2:$A$51,0))="","",INDEX(campaigns!$BG$2:$BG$51,MATCH($C151,campaigns!$A$2:$A$51,0))),""),0,NETWORKDAYS(IFERROR(IF(INDEX(campaigns!$BG$2:$BG$51,MATCH($C151,campaigns!$A$2:$A$51,0))="","",INDEX(campaigns!$BG$2:$BG$51,MATCH($C151,campaigns!$A$2:$A$51,0))),""),$A151,calendar!$A$2:$A$80)))</f>
        <v>5</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t="n">
        <v>46469</v>
      </c>
      <c r="B152" s="38" t="n">
        <v>0.541666666666667</v>
      </c>
      <c r="C152" s="10" t="s">
        <v>576</v>
      </c>
      <c r="D152" s="10" t="s">
        <v>683</v>
      </c>
      <c r="E152" s="10" t="s">
        <v>826</v>
      </c>
      <c r="F152" s="0" t="n">
        <v>26</v>
      </c>
      <c r="G152" s="10" t="s">
        <v>827</v>
      </c>
      <c r="H152" s="10" t="s">
        <v>924</v>
      </c>
      <c r="J152" s="30" t="n">
        <f aca="false">IF(OR($C152="",$A152=""),"",IF($A152&lt;IFERROR(IF(INDEX(campaigns!$BG$2:$BG$51,MATCH($C152,campaigns!$A$2:$A$51,0))="","",INDEX(campaigns!$BG$2:$BG$51,MATCH($C152,campaigns!$A$2:$A$51,0))),""),0,NETWORKDAYS(IFERROR(IF(INDEX(campaigns!$BG$2:$BG$51,MATCH($C152,campaigns!$A$2:$A$51,0))="","",INDEX(campaigns!$BG$2:$BG$51,MATCH($C152,campaigns!$A$2:$A$51,0))),""),$A152,calendar!$A$2:$A$80)))</f>
        <v>1</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t="n">
        <v>46471</v>
      </c>
      <c r="B153" s="38" t="n">
        <v>0.458333333333333</v>
      </c>
      <c r="C153" s="10" t="s">
        <v>576</v>
      </c>
      <c r="D153" s="10" t="s">
        <v>683</v>
      </c>
      <c r="E153" s="10" t="s">
        <v>720</v>
      </c>
      <c r="F153" s="0" t="n">
        <v>8</v>
      </c>
      <c r="G153" s="10" t="s">
        <v>829</v>
      </c>
      <c r="J153" s="30" t="n">
        <f aca="false">IF(OR($C153="",$A153=""),"",IF($A153&lt;IFERROR(IF(INDEX(campaigns!$BG$2:$BG$51,MATCH($C153,campaigns!$A$2:$A$51,0))="","",INDEX(campaigns!$BG$2:$BG$51,MATCH($C153,campaigns!$A$2:$A$51,0))),""),0,NETWORKDAYS(IFERROR(IF(INDEX(campaigns!$BG$2:$BG$51,MATCH($C153,campaigns!$A$2:$A$51,0))="","",INDEX(campaigns!$BG$2:$BG$51,MATCH($C153,campaigns!$A$2:$A$51,0))),""),$A153,calendar!$A$2:$A$80)))</f>
        <v>3</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t="n">
        <v>46475</v>
      </c>
      <c r="B154" s="38" t="n">
        <v>0.666666666666667</v>
      </c>
      <c r="C154" s="10" t="s">
        <v>576</v>
      </c>
      <c r="D154" s="10" t="s">
        <v>683</v>
      </c>
      <c r="E154" s="10" t="s">
        <v>721</v>
      </c>
      <c r="F154" s="0" t="n">
        <v>6</v>
      </c>
      <c r="G154" s="10" t="s">
        <v>827</v>
      </c>
      <c r="H154" s="10" t="s">
        <v>925</v>
      </c>
      <c r="J154" s="30" t="n">
        <f aca="false">IF(OR($C154="",$A154=""),"",IF($A154&lt;IFERROR(IF(INDEX(campaigns!$BG$2:$BG$51,MATCH($C154,campaigns!$A$2:$A$51,0))="","",INDEX(campaigns!$BG$2:$BG$51,MATCH($C154,campaigns!$A$2:$A$51,0))),""),0,NETWORKDAYS(IFERROR(IF(INDEX(campaigns!$BG$2:$BG$51,MATCH($C154,campaigns!$A$2:$A$51,0))="","",INDEX(campaigns!$BG$2:$BG$51,MATCH($C154,campaigns!$A$2:$A$51,0))),""),$A154,calendar!$A$2:$A$80)))</f>
        <v>5</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t="n">
        <v>46469</v>
      </c>
      <c r="B155" s="38" t="n">
        <v>0.541666666666667</v>
      </c>
      <c r="C155" s="10" t="s">
        <v>576</v>
      </c>
      <c r="D155" s="10" t="s">
        <v>686</v>
      </c>
      <c r="E155" s="10" t="s">
        <v>826</v>
      </c>
      <c r="F155" s="0" t="n">
        <v>50</v>
      </c>
      <c r="G155" s="10" t="s">
        <v>827</v>
      </c>
      <c r="H155" s="10" t="s">
        <v>926</v>
      </c>
      <c r="J155" s="30" t="n">
        <f aca="false">IF(OR($C155="",$A155=""),"",IF($A155&lt;IFERROR(IF(INDEX(campaigns!$BG$2:$BG$51,MATCH($C155,campaigns!$A$2:$A$51,0))="","",INDEX(campaigns!$BG$2:$BG$51,MATCH($C155,campaigns!$A$2:$A$51,0))),""),0,NETWORKDAYS(IFERROR(IF(INDEX(campaigns!$BG$2:$BG$51,MATCH($C155,campaigns!$A$2:$A$51,0))="","",INDEX(campaigns!$BG$2:$BG$51,MATCH($C155,campaigns!$A$2:$A$51,0))),""),$A155,calendar!$A$2:$A$80)))</f>
        <v>1</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t="n">
        <v>46471</v>
      </c>
      <c r="B156" s="38" t="n">
        <v>0.458333333333333</v>
      </c>
      <c r="C156" s="10" t="s">
        <v>576</v>
      </c>
      <c r="D156" s="10" t="s">
        <v>686</v>
      </c>
      <c r="E156" s="10" t="s">
        <v>720</v>
      </c>
      <c r="F156" s="0" t="n">
        <v>13</v>
      </c>
      <c r="G156" s="10" t="s">
        <v>829</v>
      </c>
      <c r="J156" s="30" t="n">
        <f aca="false">IF(OR($C156="",$A156=""),"",IF($A156&lt;IFERROR(IF(INDEX(campaigns!$BG$2:$BG$51,MATCH($C156,campaigns!$A$2:$A$51,0))="","",INDEX(campaigns!$BG$2:$BG$51,MATCH($C156,campaigns!$A$2:$A$51,0))),""),0,NETWORKDAYS(IFERROR(IF(INDEX(campaigns!$BG$2:$BG$51,MATCH($C156,campaigns!$A$2:$A$51,0))="","",INDEX(campaigns!$BG$2:$BG$51,MATCH($C156,campaigns!$A$2:$A$51,0))),""),$A156,calendar!$A$2:$A$80)))</f>
        <v>3</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t="n">
        <v>46475</v>
      </c>
      <c r="B157" s="38" t="n">
        <v>0.666666666666667</v>
      </c>
      <c r="C157" s="10" t="s">
        <v>576</v>
      </c>
      <c r="D157" s="10" t="s">
        <v>686</v>
      </c>
      <c r="E157" s="10" t="s">
        <v>721</v>
      </c>
      <c r="F157" s="0" t="n">
        <v>1</v>
      </c>
      <c r="G157" s="10" t="s">
        <v>827</v>
      </c>
      <c r="H157" s="10" t="s">
        <v>927</v>
      </c>
      <c r="J157" s="30" t="n">
        <f aca="false">IF(OR($C157="",$A157=""),"",IF($A157&lt;IFERROR(IF(INDEX(campaigns!$BG$2:$BG$51,MATCH($C157,campaigns!$A$2:$A$51,0))="","",INDEX(campaigns!$BG$2:$BG$51,MATCH($C157,campaigns!$A$2:$A$51,0))),""),0,NETWORKDAYS(IFERROR(IF(INDEX(campaigns!$BG$2:$BG$51,MATCH($C157,campaigns!$A$2:$A$51,0))="","",INDEX(campaigns!$BG$2:$BG$51,MATCH($C157,campaigns!$A$2:$A$51,0))),""),$A157,calendar!$A$2:$A$80)))</f>
        <v>5</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t="n">
        <v>46469</v>
      </c>
      <c r="B158" s="38" t="n">
        <v>0.541666666666667</v>
      </c>
      <c r="C158" s="10" t="s">
        <v>576</v>
      </c>
      <c r="D158" s="10" t="s">
        <v>688</v>
      </c>
      <c r="E158" s="10" t="s">
        <v>826</v>
      </c>
      <c r="F158" s="0" t="n">
        <v>70</v>
      </c>
      <c r="G158" s="10" t="s">
        <v>827</v>
      </c>
      <c r="H158" s="10" t="s">
        <v>928</v>
      </c>
      <c r="J158" s="30" t="n">
        <f aca="false">IF(OR($C158="",$A158=""),"",IF($A158&lt;IFERROR(IF(INDEX(campaigns!$BG$2:$BG$51,MATCH($C158,campaigns!$A$2:$A$51,0))="","",INDEX(campaigns!$BG$2:$BG$51,MATCH($C158,campaigns!$A$2:$A$51,0))),""),0,NETWORKDAYS(IFERROR(IF(INDEX(campaigns!$BG$2:$BG$51,MATCH($C158,campaigns!$A$2:$A$51,0))="","",INDEX(campaigns!$BG$2:$BG$51,MATCH($C158,campaigns!$A$2:$A$51,0))),""),$A158,calendar!$A$2:$A$80)))</f>
        <v>1</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t="n">
        <v>46471</v>
      </c>
      <c r="B159" s="38" t="n">
        <v>0.458333333333333</v>
      </c>
      <c r="C159" s="10" t="s">
        <v>576</v>
      </c>
      <c r="D159" s="10" t="s">
        <v>688</v>
      </c>
      <c r="E159" s="10" t="s">
        <v>720</v>
      </c>
      <c r="F159" s="0" t="n">
        <v>31</v>
      </c>
      <c r="G159" s="10" t="s">
        <v>829</v>
      </c>
      <c r="J159" s="30" t="n">
        <f aca="false">IF(OR($C159="",$A159=""),"",IF($A159&lt;IFERROR(IF(INDEX(campaigns!$BG$2:$BG$51,MATCH($C159,campaigns!$A$2:$A$51,0))="","",INDEX(campaigns!$BG$2:$BG$51,MATCH($C159,campaigns!$A$2:$A$51,0))),""),0,NETWORKDAYS(IFERROR(IF(INDEX(campaigns!$BG$2:$BG$51,MATCH($C159,campaigns!$A$2:$A$51,0))="","",INDEX(campaigns!$BG$2:$BG$51,MATCH($C159,campaigns!$A$2:$A$51,0))),""),$A159,calendar!$A$2:$A$80)))</f>
        <v>3</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t="n">
        <v>46475</v>
      </c>
      <c r="B160" s="38" t="n">
        <v>0.666666666666667</v>
      </c>
      <c r="C160" s="10" t="s">
        <v>576</v>
      </c>
      <c r="D160" s="10" t="s">
        <v>688</v>
      </c>
      <c r="E160" s="10" t="s">
        <v>721</v>
      </c>
      <c r="F160" s="0" t="n">
        <v>5</v>
      </c>
      <c r="G160" s="10" t="s">
        <v>827</v>
      </c>
      <c r="H160" s="10" t="s">
        <v>929</v>
      </c>
      <c r="J160" s="30" t="n">
        <f aca="false">IF(OR($C160="",$A160=""),"",IF($A160&lt;IFERROR(IF(INDEX(campaigns!$BG$2:$BG$51,MATCH($C160,campaigns!$A$2:$A$51,0))="","",INDEX(campaigns!$BG$2:$BG$51,MATCH($C160,campaigns!$A$2:$A$51,0))),""),0,NETWORKDAYS(IFERROR(IF(INDEX(campaigns!$BG$2:$BG$51,MATCH($C160,campaigns!$A$2:$A$51,0))="","",INDEX(campaigns!$BG$2:$BG$51,MATCH($C160,campaigns!$A$2:$A$51,0))),""),$A160,calendar!$A$2:$A$80)))</f>
        <v>5</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t="n">
        <v>46469</v>
      </c>
      <c r="B161" s="38" t="n">
        <v>0.541666666666667</v>
      </c>
      <c r="C161" s="10" t="s">
        <v>576</v>
      </c>
      <c r="D161" s="10" t="s">
        <v>690</v>
      </c>
      <c r="E161" s="10" t="s">
        <v>826</v>
      </c>
      <c r="F161" s="0" t="n">
        <v>45</v>
      </c>
      <c r="G161" s="10" t="s">
        <v>827</v>
      </c>
      <c r="H161" s="10" t="s">
        <v>930</v>
      </c>
      <c r="J161" s="30" t="n">
        <f aca="false">IF(OR($C161="",$A161=""),"",IF($A161&lt;IFERROR(IF(INDEX(campaigns!$BG$2:$BG$51,MATCH($C161,campaigns!$A$2:$A$51,0))="","",INDEX(campaigns!$BG$2:$BG$51,MATCH($C161,campaigns!$A$2:$A$51,0))),""),0,NETWORKDAYS(IFERROR(IF(INDEX(campaigns!$BG$2:$BG$51,MATCH($C161,campaigns!$A$2:$A$51,0))="","",INDEX(campaigns!$BG$2:$BG$51,MATCH($C161,campaigns!$A$2:$A$51,0))),""),$A161,calendar!$A$2:$A$80)))</f>
        <v>1</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t="n">
        <v>46471</v>
      </c>
      <c r="B162" s="38" t="n">
        <v>0.458333333333333</v>
      </c>
      <c r="C162" s="10" t="s">
        <v>576</v>
      </c>
      <c r="D162" s="10" t="s">
        <v>690</v>
      </c>
      <c r="E162" s="10" t="s">
        <v>720</v>
      </c>
      <c r="F162" s="0" t="n">
        <v>14</v>
      </c>
      <c r="G162" s="10" t="s">
        <v>829</v>
      </c>
      <c r="J162" s="30" t="n">
        <f aca="false">IF(OR($C162="",$A162=""),"",IF($A162&lt;IFERROR(IF(INDEX(campaigns!$BG$2:$BG$51,MATCH($C162,campaigns!$A$2:$A$51,0))="","",INDEX(campaigns!$BG$2:$BG$51,MATCH($C162,campaigns!$A$2:$A$51,0))),""),0,NETWORKDAYS(IFERROR(IF(INDEX(campaigns!$BG$2:$BG$51,MATCH($C162,campaigns!$A$2:$A$51,0))="","",INDEX(campaigns!$BG$2:$BG$51,MATCH($C162,campaigns!$A$2:$A$51,0))),""),$A162,calendar!$A$2:$A$80)))</f>
        <v>3</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t="n">
        <v>46475</v>
      </c>
      <c r="B163" s="38" t="n">
        <v>0.666666666666667</v>
      </c>
      <c r="C163" s="10" t="s">
        <v>576</v>
      </c>
      <c r="D163" s="10" t="s">
        <v>690</v>
      </c>
      <c r="E163" s="10" t="s">
        <v>721</v>
      </c>
      <c r="F163" s="0" t="n">
        <v>3</v>
      </c>
      <c r="G163" s="10" t="s">
        <v>827</v>
      </c>
      <c r="H163" s="10" t="s">
        <v>931</v>
      </c>
      <c r="J163" s="30" t="n">
        <f aca="false">IF(OR($C163="",$A163=""),"",IF($A163&lt;IFERROR(IF(INDEX(campaigns!$BG$2:$BG$51,MATCH($C163,campaigns!$A$2:$A$51,0))="","",INDEX(campaigns!$BG$2:$BG$51,MATCH($C163,campaigns!$A$2:$A$51,0))),""),0,NETWORKDAYS(IFERROR(IF(INDEX(campaigns!$BG$2:$BG$51,MATCH($C163,campaigns!$A$2:$A$51,0))="","",INDEX(campaigns!$BG$2:$BG$51,MATCH($C163,campaigns!$A$2:$A$51,0))),""),$A163,calendar!$A$2:$A$80)))</f>
        <v>5</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t="n">
        <v>46469</v>
      </c>
      <c r="B164" s="38" t="n">
        <v>0.541666666666667</v>
      </c>
      <c r="C164" s="10" t="s">
        <v>576</v>
      </c>
      <c r="D164" s="10" t="s">
        <v>692</v>
      </c>
      <c r="E164" s="10" t="s">
        <v>826</v>
      </c>
      <c r="F164" s="0" t="n">
        <v>60</v>
      </c>
      <c r="G164" s="10" t="s">
        <v>827</v>
      </c>
      <c r="H164" s="10" t="s">
        <v>932</v>
      </c>
      <c r="J164" s="30" t="n">
        <f aca="false">IF(OR($C164="",$A164=""),"",IF($A164&lt;IFERROR(IF(INDEX(campaigns!$BG$2:$BG$51,MATCH($C164,campaigns!$A$2:$A$51,0))="","",INDEX(campaigns!$BG$2:$BG$51,MATCH($C164,campaigns!$A$2:$A$51,0))),""),0,NETWORKDAYS(IFERROR(IF(INDEX(campaigns!$BG$2:$BG$51,MATCH($C164,campaigns!$A$2:$A$51,0))="","",INDEX(campaigns!$BG$2:$BG$51,MATCH($C164,campaigns!$A$2:$A$51,0))),""),$A164,calendar!$A$2:$A$80)))</f>
        <v>1</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t="n">
        <v>46471</v>
      </c>
      <c r="B165" s="38" t="n">
        <v>0.458333333333333</v>
      </c>
      <c r="C165" s="10" t="s">
        <v>576</v>
      </c>
      <c r="D165" s="10" t="s">
        <v>692</v>
      </c>
      <c r="E165" s="10" t="s">
        <v>720</v>
      </c>
      <c r="F165" s="0" t="n">
        <v>29</v>
      </c>
      <c r="G165" s="10" t="s">
        <v>829</v>
      </c>
      <c r="J165" s="30" t="n">
        <f aca="false">IF(OR($C165="",$A165=""),"",IF($A165&lt;IFERROR(IF(INDEX(campaigns!$BG$2:$BG$51,MATCH($C165,campaigns!$A$2:$A$51,0))="","",INDEX(campaigns!$BG$2:$BG$51,MATCH($C165,campaigns!$A$2:$A$51,0))),""),0,NETWORKDAYS(IFERROR(IF(INDEX(campaigns!$BG$2:$BG$51,MATCH($C165,campaigns!$A$2:$A$51,0))="","",INDEX(campaigns!$BG$2:$BG$51,MATCH($C165,campaigns!$A$2:$A$51,0))),""),$A165,calendar!$A$2:$A$80)))</f>
        <v>3</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t="n">
        <v>46475</v>
      </c>
      <c r="B166" s="38" t="n">
        <v>0.666666666666667</v>
      </c>
      <c r="C166" s="10" t="s">
        <v>576</v>
      </c>
      <c r="D166" s="10" t="s">
        <v>692</v>
      </c>
      <c r="E166" s="10" t="s">
        <v>721</v>
      </c>
      <c r="F166" s="0" t="n">
        <v>3</v>
      </c>
      <c r="G166" s="10" t="s">
        <v>827</v>
      </c>
      <c r="H166" s="10" t="s">
        <v>933</v>
      </c>
      <c r="J166" s="30" t="n">
        <f aca="false">IF(OR($C166="",$A166=""),"",IF($A166&lt;IFERROR(IF(INDEX(campaigns!$BG$2:$BG$51,MATCH($C166,campaigns!$A$2:$A$51,0))="","",INDEX(campaigns!$BG$2:$BG$51,MATCH($C166,campaigns!$A$2:$A$51,0))),""),0,NETWORKDAYS(IFERROR(IF(INDEX(campaigns!$BG$2:$BG$51,MATCH($C166,campaigns!$A$2:$A$51,0))="","",INDEX(campaigns!$BG$2:$BG$51,MATCH($C166,campaigns!$A$2:$A$51,0))),""),$A166,calendar!$A$2:$A$80)))</f>
        <v>5</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t="n">
        <v>46469</v>
      </c>
      <c r="B167" s="38" t="n">
        <v>0.541666666666667</v>
      </c>
      <c r="C167" s="10" t="s">
        <v>576</v>
      </c>
      <c r="D167" s="10" t="s">
        <v>694</v>
      </c>
      <c r="E167" s="10" t="s">
        <v>826</v>
      </c>
      <c r="F167" s="0" t="n">
        <v>45</v>
      </c>
      <c r="G167" s="10" t="s">
        <v>827</v>
      </c>
      <c r="H167" s="10" t="s">
        <v>934</v>
      </c>
      <c r="J167" s="30" t="n">
        <f aca="false">IF(OR($C167="",$A167=""),"",IF($A167&lt;IFERROR(IF(INDEX(campaigns!$BG$2:$BG$51,MATCH($C167,campaigns!$A$2:$A$51,0))="","",INDEX(campaigns!$BG$2:$BG$51,MATCH($C167,campaigns!$A$2:$A$51,0))),""),0,NETWORKDAYS(IFERROR(IF(INDEX(campaigns!$BG$2:$BG$51,MATCH($C167,campaigns!$A$2:$A$51,0))="","",INDEX(campaigns!$BG$2:$BG$51,MATCH($C167,campaigns!$A$2:$A$51,0))),""),$A167,calendar!$A$2:$A$80)))</f>
        <v>1</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t="n">
        <v>46471</v>
      </c>
      <c r="B168" s="38" t="n">
        <v>0.458333333333333</v>
      </c>
      <c r="C168" s="10" t="s">
        <v>576</v>
      </c>
      <c r="D168" s="10" t="s">
        <v>694</v>
      </c>
      <c r="E168" s="10" t="s">
        <v>720</v>
      </c>
      <c r="F168" s="0" t="n">
        <v>18</v>
      </c>
      <c r="G168" s="10" t="s">
        <v>829</v>
      </c>
      <c r="J168" s="30" t="n">
        <f aca="false">IF(OR($C168="",$A168=""),"",IF($A168&lt;IFERROR(IF(INDEX(campaigns!$BG$2:$BG$51,MATCH($C168,campaigns!$A$2:$A$51,0))="","",INDEX(campaigns!$BG$2:$BG$51,MATCH($C168,campaigns!$A$2:$A$51,0))),""),0,NETWORKDAYS(IFERROR(IF(INDEX(campaigns!$BG$2:$BG$51,MATCH($C168,campaigns!$A$2:$A$51,0))="","",INDEX(campaigns!$BG$2:$BG$51,MATCH($C168,campaigns!$A$2:$A$51,0))),""),$A168,calendar!$A$2:$A$80)))</f>
        <v>3</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t="n">
        <v>46475</v>
      </c>
      <c r="B169" s="38" t="n">
        <v>0.666666666666667</v>
      </c>
      <c r="C169" s="10" t="s">
        <v>576</v>
      </c>
      <c r="D169" s="10" t="s">
        <v>694</v>
      </c>
      <c r="E169" s="10" t="s">
        <v>721</v>
      </c>
      <c r="F169" s="0" t="n">
        <v>3</v>
      </c>
      <c r="G169" s="10" t="s">
        <v>827</v>
      </c>
      <c r="H169" s="10" t="s">
        <v>935</v>
      </c>
      <c r="J169" s="30" t="n">
        <f aca="false">IF(OR($C169="",$A169=""),"",IF($A169&lt;IFERROR(IF(INDEX(campaigns!$BG$2:$BG$51,MATCH($C169,campaigns!$A$2:$A$51,0))="","",INDEX(campaigns!$BG$2:$BG$51,MATCH($C169,campaigns!$A$2:$A$51,0))),""),0,NETWORKDAYS(IFERROR(IF(INDEX(campaigns!$BG$2:$BG$51,MATCH($C169,campaigns!$A$2:$A$51,0))="","",INDEX(campaigns!$BG$2:$BG$51,MATCH($C169,campaigns!$A$2:$A$51,0))),""),$A169,calendar!$A$2:$A$80)))</f>
        <v>5</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t="n">
        <v>46469</v>
      </c>
      <c r="B170" s="38" t="n">
        <v>0.541666666666667</v>
      </c>
      <c r="C170" s="10" t="s">
        <v>576</v>
      </c>
      <c r="D170" s="10" t="s">
        <v>696</v>
      </c>
      <c r="E170" s="10" t="s">
        <v>826</v>
      </c>
      <c r="F170" s="0" t="n">
        <v>75</v>
      </c>
      <c r="G170" s="10" t="s">
        <v>827</v>
      </c>
      <c r="H170" s="10" t="s">
        <v>936</v>
      </c>
      <c r="J170" s="30" t="n">
        <f aca="false">IF(OR($C170="",$A170=""),"",IF($A170&lt;IFERROR(IF(INDEX(campaigns!$BG$2:$BG$51,MATCH($C170,campaigns!$A$2:$A$51,0))="","",INDEX(campaigns!$BG$2:$BG$51,MATCH($C170,campaigns!$A$2:$A$51,0))),""),0,NETWORKDAYS(IFERROR(IF(INDEX(campaigns!$BG$2:$BG$51,MATCH($C170,campaigns!$A$2:$A$51,0))="","",INDEX(campaigns!$BG$2:$BG$51,MATCH($C170,campaigns!$A$2:$A$51,0))),""),$A170,calendar!$A$2:$A$80)))</f>
        <v>1</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t="n">
        <v>46471</v>
      </c>
      <c r="B171" s="38" t="n">
        <v>0.458333333333333</v>
      </c>
      <c r="C171" s="10" t="s">
        <v>576</v>
      </c>
      <c r="D171" s="10" t="s">
        <v>696</v>
      </c>
      <c r="E171" s="10" t="s">
        <v>720</v>
      </c>
      <c r="F171" s="0" t="n">
        <v>31</v>
      </c>
      <c r="G171" s="10" t="s">
        <v>829</v>
      </c>
      <c r="J171" s="30" t="n">
        <f aca="false">IF(OR($C171="",$A171=""),"",IF($A171&lt;IFERROR(IF(INDEX(campaigns!$BG$2:$BG$51,MATCH($C171,campaigns!$A$2:$A$51,0))="","",INDEX(campaigns!$BG$2:$BG$51,MATCH($C171,campaigns!$A$2:$A$51,0))),""),0,NETWORKDAYS(IFERROR(IF(INDEX(campaigns!$BG$2:$BG$51,MATCH($C171,campaigns!$A$2:$A$51,0))="","",INDEX(campaigns!$BG$2:$BG$51,MATCH($C171,campaigns!$A$2:$A$51,0))),""),$A171,calendar!$A$2:$A$80)))</f>
        <v>3</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t="n">
        <v>46475</v>
      </c>
      <c r="B172" s="38" t="n">
        <v>0.666666666666667</v>
      </c>
      <c r="C172" s="10" t="s">
        <v>576</v>
      </c>
      <c r="D172" s="10" t="s">
        <v>696</v>
      </c>
      <c r="E172" s="10" t="s">
        <v>721</v>
      </c>
      <c r="F172" s="0" t="n">
        <v>9</v>
      </c>
      <c r="G172" s="10" t="s">
        <v>827</v>
      </c>
      <c r="H172" s="10" t="s">
        <v>937</v>
      </c>
      <c r="J172" s="30" t="n">
        <f aca="false">IF(OR($C172="",$A172=""),"",IF($A172&lt;IFERROR(IF(INDEX(campaigns!$BG$2:$BG$51,MATCH($C172,campaigns!$A$2:$A$51,0))="","",INDEX(campaigns!$BG$2:$BG$51,MATCH($C172,campaigns!$A$2:$A$51,0))),""),0,NETWORKDAYS(IFERROR(IF(INDEX(campaigns!$BG$2:$BG$51,MATCH($C172,campaigns!$A$2:$A$51,0))="","",INDEX(campaigns!$BG$2:$BG$51,MATCH($C172,campaigns!$A$2:$A$51,0))),""),$A172,calendar!$A$2:$A$80)))</f>
        <v>5</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t="n">
        <v>46469</v>
      </c>
      <c r="B173" s="38" t="n">
        <v>0.541666666666667</v>
      </c>
      <c r="C173" s="10" t="s">
        <v>576</v>
      </c>
      <c r="D173" s="10" t="s">
        <v>698</v>
      </c>
      <c r="E173" s="10" t="s">
        <v>826</v>
      </c>
      <c r="F173" s="0" t="n">
        <v>40</v>
      </c>
      <c r="G173" s="10" t="s">
        <v>827</v>
      </c>
      <c r="H173" s="10" t="s">
        <v>938</v>
      </c>
      <c r="J173" s="30" t="n">
        <f aca="false">IF(OR($C173="",$A173=""),"",IF($A173&lt;IFERROR(IF(INDEX(campaigns!$BG$2:$BG$51,MATCH($C173,campaigns!$A$2:$A$51,0))="","",INDEX(campaigns!$BG$2:$BG$51,MATCH($C173,campaigns!$A$2:$A$51,0))),""),0,NETWORKDAYS(IFERROR(IF(INDEX(campaigns!$BG$2:$BG$51,MATCH($C173,campaigns!$A$2:$A$51,0))="","",INDEX(campaigns!$BG$2:$BG$51,MATCH($C173,campaigns!$A$2:$A$51,0))),""),$A173,calendar!$A$2:$A$80)))</f>
        <v>1</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t="n">
        <v>46471</v>
      </c>
      <c r="B174" s="38" t="n">
        <v>0.458333333333333</v>
      </c>
      <c r="C174" s="10" t="s">
        <v>576</v>
      </c>
      <c r="D174" s="10" t="s">
        <v>698</v>
      </c>
      <c r="E174" s="10" t="s">
        <v>720</v>
      </c>
      <c r="F174" s="0" t="n">
        <v>10</v>
      </c>
      <c r="G174" s="10" t="s">
        <v>829</v>
      </c>
      <c r="J174" s="30" t="n">
        <f aca="false">IF(OR($C174="",$A174=""),"",IF($A174&lt;IFERROR(IF(INDEX(campaigns!$BG$2:$BG$51,MATCH($C174,campaigns!$A$2:$A$51,0))="","",INDEX(campaigns!$BG$2:$BG$51,MATCH($C174,campaigns!$A$2:$A$51,0))),""),0,NETWORKDAYS(IFERROR(IF(INDEX(campaigns!$BG$2:$BG$51,MATCH($C174,campaigns!$A$2:$A$51,0))="","",INDEX(campaigns!$BG$2:$BG$51,MATCH($C174,campaigns!$A$2:$A$51,0))),""),$A174,calendar!$A$2:$A$80)))</f>
        <v>3</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t="n">
        <v>46475</v>
      </c>
      <c r="B175" s="38" t="n">
        <v>0.666666666666667</v>
      </c>
      <c r="C175" s="10" t="s">
        <v>576</v>
      </c>
      <c r="D175" s="10" t="s">
        <v>698</v>
      </c>
      <c r="E175" s="10" t="s">
        <v>721</v>
      </c>
      <c r="F175" s="0" t="n">
        <v>2</v>
      </c>
      <c r="G175" s="10" t="s">
        <v>827</v>
      </c>
      <c r="H175" s="10" t="s">
        <v>939</v>
      </c>
      <c r="J175" s="30" t="n">
        <f aca="false">IF(OR($C175="",$A175=""),"",IF($A175&lt;IFERROR(IF(INDEX(campaigns!$BG$2:$BG$51,MATCH($C175,campaigns!$A$2:$A$51,0))="","",INDEX(campaigns!$BG$2:$BG$51,MATCH($C175,campaigns!$A$2:$A$51,0))),""),0,NETWORKDAYS(IFERROR(IF(INDEX(campaigns!$BG$2:$BG$51,MATCH($C175,campaigns!$A$2:$A$51,0))="","",INDEX(campaigns!$BG$2:$BG$51,MATCH($C175,campaigns!$A$2:$A$51,0))),""),$A175,calendar!$A$2:$A$80)))</f>
        <v>5</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t="n">
        <v>46469</v>
      </c>
      <c r="B176" s="38" t="n">
        <v>0.541666666666667</v>
      </c>
      <c r="C176" s="10" t="s">
        <v>584</v>
      </c>
      <c r="D176" s="10" t="s">
        <v>678</v>
      </c>
      <c r="E176" s="10" t="s">
        <v>826</v>
      </c>
      <c r="F176" s="0" t="n">
        <v>40</v>
      </c>
      <c r="G176" s="10" t="s">
        <v>827</v>
      </c>
      <c r="H176" s="10" t="s">
        <v>940</v>
      </c>
      <c r="J176" s="30" t="n">
        <f aca="false">IF(OR($C176="",$A176=""),"",IF($A176&lt;IFERROR(IF(INDEX(campaigns!$BG$2:$BG$51,MATCH($C176,campaigns!$A$2:$A$51,0))="","",INDEX(campaigns!$BG$2:$BG$51,MATCH($C176,campaigns!$A$2:$A$51,0))),""),0,NETWORKDAYS(IFERROR(IF(INDEX(campaigns!$BG$2:$BG$51,MATCH($C176,campaigns!$A$2:$A$51,0))="","",INDEX(campaigns!$BG$2:$BG$51,MATCH($C176,campaigns!$A$2:$A$51,0))),""),$A176,calendar!$A$2:$A$80)))</f>
        <v>1</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t="n">
        <v>46471</v>
      </c>
      <c r="B177" s="38" t="n">
        <v>0.458333333333333</v>
      </c>
      <c r="C177" s="10" t="s">
        <v>584</v>
      </c>
      <c r="D177" s="10" t="s">
        <v>678</v>
      </c>
      <c r="E177" s="10" t="s">
        <v>720</v>
      </c>
      <c r="F177" s="0" t="n">
        <v>13</v>
      </c>
      <c r="G177" s="10" t="s">
        <v>829</v>
      </c>
      <c r="J177" s="30" t="n">
        <f aca="false">IF(OR($C177="",$A177=""),"",IF($A177&lt;IFERROR(IF(INDEX(campaigns!$BG$2:$BG$51,MATCH($C177,campaigns!$A$2:$A$51,0))="","",INDEX(campaigns!$BG$2:$BG$51,MATCH($C177,campaigns!$A$2:$A$51,0))),""),0,NETWORKDAYS(IFERROR(IF(INDEX(campaigns!$BG$2:$BG$51,MATCH($C177,campaigns!$A$2:$A$51,0))="","",INDEX(campaigns!$BG$2:$BG$51,MATCH($C177,campaigns!$A$2:$A$51,0))),""),$A177,calendar!$A$2:$A$80)))</f>
        <v>3</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t="n">
        <v>46475</v>
      </c>
      <c r="B178" s="38" t="n">
        <v>0.666666666666667</v>
      </c>
      <c r="C178" s="10" t="s">
        <v>584</v>
      </c>
      <c r="D178" s="10" t="s">
        <v>678</v>
      </c>
      <c r="E178" s="10" t="s">
        <v>721</v>
      </c>
      <c r="F178" s="0" t="n">
        <v>2</v>
      </c>
      <c r="G178" s="10" t="s">
        <v>827</v>
      </c>
      <c r="H178" s="10" t="s">
        <v>941</v>
      </c>
      <c r="J178" s="30" t="n">
        <f aca="false">IF(OR($C178="",$A178=""),"",IF($A178&lt;IFERROR(IF(INDEX(campaigns!$BG$2:$BG$51,MATCH($C178,campaigns!$A$2:$A$51,0))="","",INDEX(campaigns!$BG$2:$BG$51,MATCH($C178,campaigns!$A$2:$A$51,0))),""),0,NETWORKDAYS(IFERROR(IF(INDEX(campaigns!$BG$2:$BG$51,MATCH($C178,campaigns!$A$2:$A$51,0))="","",INDEX(campaigns!$BG$2:$BG$51,MATCH($C178,campaigns!$A$2:$A$51,0))),""),$A178,calendar!$A$2:$A$80)))</f>
        <v>5</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t="n">
        <v>46469</v>
      </c>
      <c r="B179" s="38" t="n">
        <v>0.541666666666667</v>
      </c>
      <c r="C179" s="10" t="s">
        <v>584</v>
      </c>
      <c r="D179" s="10" t="s">
        <v>681</v>
      </c>
      <c r="E179" s="10" t="s">
        <v>826</v>
      </c>
      <c r="F179" s="0" t="n">
        <v>40</v>
      </c>
      <c r="G179" s="10" t="s">
        <v>827</v>
      </c>
      <c r="H179" s="10" t="s">
        <v>942</v>
      </c>
      <c r="J179" s="30" t="n">
        <f aca="false">IF(OR($C179="",$A179=""),"",IF($A179&lt;IFERROR(IF(INDEX(campaigns!$BG$2:$BG$51,MATCH($C179,campaigns!$A$2:$A$51,0))="","",INDEX(campaigns!$BG$2:$BG$51,MATCH($C179,campaigns!$A$2:$A$51,0))),""),0,NETWORKDAYS(IFERROR(IF(INDEX(campaigns!$BG$2:$BG$51,MATCH($C179,campaigns!$A$2:$A$51,0))="","",INDEX(campaigns!$BG$2:$BG$51,MATCH($C179,campaigns!$A$2:$A$51,0))),""),$A179,calendar!$A$2:$A$80)))</f>
        <v>1</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t="n">
        <v>46471</v>
      </c>
      <c r="B180" s="38" t="n">
        <v>0.458333333333333</v>
      </c>
      <c r="C180" s="10" t="s">
        <v>584</v>
      </c>
      <c r="D180" s="10" t="s">
        <v>681</v>
      </c>
      <c r="E180" s="10" t="s">
        <v>720</v>
      </c>
      <c r="F180" s="0" t="n">
        <v>18</v>
      </c>
      <c r="G180" s="10" t="s">
        <v>829</v>
      </c>
      <c r="J180" s="30" t="n">
        <f aca="false">IF(OR($C180="",$A180=""),"",IF($A180&lt;IFERROR(IF(INDEX(campaigns!$BG$2:$BG$51,MATCH($C180,campaigns!$A$2:$A$51,0))="","",INDEX(campaigns!$BG$2:$BG$51,MATCH($C180,campaigns!$A$2:$A$51,0))),""),0,NETWORKDAYS(IFERROR(IF(INDEX(campaigns!$BG$2:$BG$51,MATCH($C180,campaigns!$A$2:$A$51,0))="","",INDEX(campaigns!$BG$2:$BG$51,MATCH($C180,campaigns!$A$2:$A$51,0))),""),$A180,calendar!$A$2:$A$80)))</f>
        <v>3</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t="n">
        <v>46475</v>
      </c>
      <c r="B181" s="38" t="n">
        <v>0.666666666666667</v>
      </c>
      <c r="C181" s="10" t="s">
        <v>584</v>
      </c>
      <c r="D181" s="10" t="s">
        <v>681</v>
      </c>
      <c r="E181" s="10" t="s">
        <v>721</v>
      </c>
      <c r="F181" s="0" t="n">
        <v>1</v>
      </c>
      <c r="G181" s="10" t="s">
        <v>827</v>
      </c>
      <c r="H181" s="10" t="s">
        <v>943</v>
      </c>
      <c r="J181" s="30" t="n">
        <f aca="false">IF(OR($C181="",$A181=""),"",IF($A181&lt;IFERROR(IF(INDEX(campaigns!$BG$2:$BG$51,MATCH($C181,campaigns!$A$2:$A$51,0))="","",INDEX(campaigns!$BG$2:$BG$51,MATCH($C181,campaigns!$A$2:$A$51,0))),""),0,NETWORKDAYS(IFERROR(IF(INDEX(campaigns!$BG$2:$BG$51,MATCH($C181,campaigns!$A$2:$A$51,0))="","",INDEX(campaigns!$BG$2:$BG$51,MATCH($C181,campaigns!$A$2:$A$51,0))),""),$A181,calendar!$A$2:$A$80)))</f>
        <v>5</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t="n">
        <v>46469</v>
      </c>
      <c r="B182" s="38" t="n">
        <v>0.541666666666667</v>
      </c>
      <c r="C182" s="10" t="s">
        <v>584</v>
      </c>
      <c r="D182" s="10" t="s">
        <v>683</v>
      </c>
      <c r="E182" s="10" t="s">
        <v>826</v>
      </c>
      <c r="F182" s="0" t="n">
        <v>50</v>
      </c>
      <c r="G182" s="10" t="s">
        <v>827</v>
      </c>
      <c r="H182" s="10" t="s">
        <v>944</v>
      </c>
      <c r="J182" s="30" t="n">
        <f aca="false">IF(OR($C182="",$A182=""),"",IF($A182&lt;IFERROR(IF(INDEX(campaigns!$BG$2:$BG$51,MATCH($C182,campaigns!$A$2:$A$51,0))="","",INDEX(campaigns!$BG$2:$BG$51,MATCH($C182,campaigns!$A$2:$A$51,0))),""),0,NETWORKDAYS(IFERROR(IF(INDEX(campaigns!$BG$2:$BG$51,MATCH($C182,campaigns!$A$2:$A$51,0))="","",INDEX(campaigns!$BG$2:$BG$51,MATCH($C182,campaigns!$A$2:$A$51,0))),""),$A182,calendar!$A$2:$A$80)))</f>
        <v>1</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t="n">
        <v>46471</v>
      </c>
      <c r="B183" s="38" t="n">
        <v>0.458333333333333</v>
      </c>
      <c r="C183" s="10" t="s">
        <v>584</v>
      </c>
      <c r="D183" s="10" t="s">
        <v>683</v>
      </c>
      <c r="E183" s="10" t="s">
        <v>720</v>
      </c>
      <c r="F183" s="0" t="n">
        <v>13</v>
      </c>
      <c r="G183" s="10" t="s">
        <v>829</v>
      </c>
      <c r="J183" s="30" t="n">
        <f aca="false">IF(OR($C183="",$A183=""),"",IF($A183&lt;IFERROR(IF(INDEX(campaigns!$BG$2:$BG$51,MATCH($C183,campaigns!$A$2:$A$51,0))="","",INDEX(campaigns!$BG$2:$BG$51,MATCH($C183,campaigns!$A$2:$A$51,0))),""),0,NETWORKDAYS(IFERROR(IF(INDEX(campaigns!$BG$2:$BG$51,MATCH($C183,campaigns!$A$2:$A$51,0))="","",INDEX(campaigns!$BG$2:$BG$51,MATCH($C183,campaigns!$A$2:$A$51,0))),""),$A183,calendar!$A$2:$A$80)))</f>
        <v>3</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t="n">
        <v>46475</v>
      </c>
      <c r="B184" s="38" t="n">
        <v>0.666666666666667</v>
      </c>
      <c r="C184" s="10" t="s">
        <v>584</v>
      </c>
      <c r="D184" s="10" t="s">
        <v>683</v>
      </c>
      <c r="E184" s="10" t="s">
        <v>721</v>
      </c>
      <c r="F184" s="0" t="n">
        <v>1</v>
      </c>
      <c r="G184" s="10" t="s">
        <v>827</v>
      </c>
      <c r="H184" s="10" t="s">
        <v>945</v>
      </c>
      <c r="J184" s="30" t="n">
        <f aca="false">IF(OR($C184="",$A184=""),"",IF($A184&lt;IFERROR(IF(INDEX(campaigns!$BG$2:$BG$51,MATCH($C184,campaigns!$A$2:$A$51,0))="","",INDEX(campaigns!$BG$2:$BG$51,MATCH($C184,campaigns!$A$2:$A$51,0))),""),0,NETWORKDAYS(IFERROR(IF(INDEX(campaigns!$BG$2:$BG$51,MATCH($C184,campaigns!$A$2:$A$51,0))="","",INDEX(campaigns!$BG$2:$BG$51,MATCH($C184,campaigns!$A$2:$A$51,0))),""),$A184,calendar!$A$2:$A$80)))</f>
        <v>5</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t="n">
        <v>46469</v>
      </c>
      <c r="B185" s="38" t="n">
        <v>0.541666666666667</v>
      </c>
      <c r="C185" s="10" t="s">
        <v>584</v>
      </c>
      <c r="D185" s="10" t="s">
        <v>686</v>
      </c>
      <c r="E185" s="10" t="s">
        <v>826</v>
      </c>
      <c r="F185" s="0" t="n">
        <v>50</v>
      </c>
      <c r="G185" s="10" t="s">
        <v>827</v>
      </c>
      <c r="H185" s="10" t="s">
        <v>946</v>
      </c>
      <c r="J185" s="30" t="n">
        <f aca="false">IF(OR($C185="",$A185=""),"",IF($A185&lt;IFERROR(IF(INDEX(campaigns!$BG$2:$BG$51,MATCH($C185,campaigns!$A$2:$A$51,0))="","",INDEX(campaigns!$BG$2:$BG$51,MATCH($C185,campaigns!$A$2:$A$51,0))),""),0,NETWORKDAYS(IFERROR(IF(INDEX(campaigns!$BG$2:$BG$51,MATCH($C185,campaigns!$A$2:$A$51,0))="","",INDEX(campaigns!$BG$2:$BG$51,MATCH($C185,campaigns!$A$2:$A$51,0))),""),$A185,calendar!$A$2:$A$80)))</f>
        <v>1</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t="n">
        <v>46471</v>
      </c>
      <c r="B186" s="38" t="n">
        <v>0.458333333333333</v>
      </c>
      <c r="C186" s="10" t="s">
        <v>584</v>
      </c>
      <c r="D186" s="10" t="s">
        <v>686</v>
      </c>
      <c r="E186" s="10" t="s">
        <v>720</v>
      </c>
      <c r="F186" s="0" t="n">
        <v>10</v>
      </c>
      <c r="G186" s="10" t="s">
        <v>829</v>
      </c>
      <c r="J186" s="30" t="n">
        <f aca="false">IF(OR($C186="",$A186=""),"",IF($A186&lt;IFERROR(IF(INDEX(campaigns!$BG$2:$BG$51,MATCH($C186,campaigns!$A$2:$A$51,0))="","",INDEX(campaigns!$BG$2:$BG$51,MATCH($C186,campaigns!$A$2:$A$51,0))),""),0,NETWORKDAYS(IFERROR(IF(INDEX(campaigns!$BG$2:$BG$51,MATCH($C186,campaigns!$A$2:$A$51,0))="","",INDEX(campaigns!$BG$2:$BG$51,MATCH($C186,campaigns!$A$2:$A$51,0))),""),$A186,calendar!$A$2:$A$80)))</f>
        <v>3</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t="n">
        <v>46475</v>
      </c>
      <c r="B187" s="38" t="n">
        <v>0.666666666666667</v>
      </c>
      <c r="C187" s="10" t="s">
        <v>584</v>
      </c>
      <c r="D187" s="10" t="s">
        <v>686</v>
      </c>
      <c r="E187" s="10" t="s">
        <v>721</v>
      </c>
      <c r="F187" s="0" t="n">
        <v>1</v>
      </c>
      <c r="G187" s="10" t="s">
        <v>827</v>
      </c>
      <c r="H187" s="10" t="s">
        <v>947</v>
      </c>
      <c r="J187" s="30" t="n">
        <f aca="false">IF(OR($C187="",$A187=""),"",IF($A187&lt;IFERROR(IF(INDEX(campaigns!$BG$2:$BG$51,MATCH($C187,campaigns!$A$2:$A$51,0))="","",INDEX(campaigns!$BG$2:$BG$51,MATCH($C187,campaigns!$A$2:$A$51,0))),""),0,NETWORKDAYS(IFERROR(IF(INDEX(campaigns!$BG$2:$BG$51,MATCH($C187,campaigns!$A$2:$A$51,0))="","",INDEX(campaigns!$BG$2:$BG$51,MATCH($C187,campaigns!$A$2:$A$51,0))),""),$A187,calendar!$A$2:$A$80)))</f>
        <v>5</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t="n">
        <v>46469</v>
      </c>
      <c r="B188" s="38" t="n">
        <v>0.541666666666667</v>
      </c>
      <c r="C188" s="10" t="s">
        <v>584</v>
      </c>
      <c r="D188" s="10" t="s">
        <v>688</v>
      </c>
      <c r="E188" s="10" t="s">
        <v>826</v>
      </c>
      <c r="F188" s="0" t="n">
        <v>70</v>
      </c>
      <c r="G188" s="10" t="s">
        <v>827</v>
      </c>
      <c r="H188" s="10" t="s">
        <v>948</v>
      </c>
      <c r="J188" s="30" t="n">
        <f aca="false">IF(OR($C188="",$A188=""),"",IF($A188&lt;IFERROR(IF(INDEX(campaigns!$BG$2:$BG$51,MATCH($C188,campaigns!$A$2:$A$51,0))="","",INDEX(campaigns!$BG$2:$BG$51,MATCH($C188,campaigns!$A$2:$A$51,0))),""),0,NETWORKDAYS(IFERROR(IF(INDEX(campaigns!$BG$2:$BG$51,MATCH($C188,campaigns!$A$2:$A$51,0))="","",INDEX(campaigns!$BG$2:$BG$51,MATCH($C188,campaigns!$A$2:$A$51,0))),""),$A188,calendar!$A$2:$A$80)))</f>
        <v>1</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t="n">
        <v>46471</v>
      </c>
      <c r="B189" s="38" t="n">
        <v>0.458333333333333</v>
      </c>
      <c r="C189" s="10" t="s">
        <v>584</v>
      </c>
      <c r="D189" s="10" t="s">
        <v>688</v>
      </c>
      <c r="E189" s="10" t="s">
        <v>720</v>
      </c>
      <c r="F189" s="0" t="n">
        <v>22</v>
      </c>
      <c r="G189" s="10" t="s">
        <v>829</v>
      </c>
      <c r="J189" s="30" t="n">
        <f aca="false">IF(OR($C189="",$A189=""),"",IF($A189&lt;IFERROR(IF(INDEX(campaigns!$BG$2:$BG$51,MATCH($C189,campaigns!$A$2:$A$51,0))="","",INDEX(campaigns!$BG$2:$BG$51,MATCH($C189,campaigns!$A$2:$A$51,0))),""),0,NETWORKDAYS(IFERROR(IF(INDEX(campaigns!$BG$2:$BG$51,MATCH($C189,campaigns!$A$2:$A$51,0))="","",INDEX(campaigns!$BG$2:$BG$51,MATCH($C189,campaigns!$A$2:$A$51,0))),""),$A189,calendar!$A$2:$A$80)))</f>
        <v>3</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t="n">
        <v>46475</v>
      </c>
      <c r="B190" s="38" t="n">
        <v>0.666666666666667</v>
      </c>
      <c r="C190" s="10" t="s">
        <v>584</v>
      </c>
      <c r="D190" s="10" t="s">
        <v>688</v>
      </c>
      <c r="E190" s="10" t="s">
        <v>721</v>
      </c>
      <c r="F190" s="0" t="n">
        <v>1</v>
      </c>
      <c r="G190" s="10" t="s">
        <v>827</v>
      </c>
      <c r="H190" s="10" t="s">
        <v>949</v>
      </c>
      <c r="J190" s="30" t="n">
        <f aca="false">IF(OR($C190="",$A190=""),"",IF($A190&lt;IFERROR(IF(INDEX(campaigns!$BG$2:$BG$51,MATCH($C190,campaigns!$A$2:$A$51,0))="","",INDEX(campaigns!$BG$2:$BG$51,MATCH($C190,campaigns!$A$2:$A$51,0))),""),0,NETWORKDAYS(IFERROR(IF(INDEX(campaigns!$BG$2:$BG$51,MATCH($C190,campaigns!$A$2:$A$51,0))="","",INDEX(campaigns!$BG$2:$BG$51,MATCH($C190,campaigns!$A$2:$A$51,0))),""),$A190,calendar!$A$2:$A$80)))</f>
        <v>5</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t="n">
        <v>46469</v>
      </c>
      <c r="B191" s="38" t="n">
        <v>0.541666666666667</v>
      </c>
      <c r="C191" s="10" t="s">
        <v>584</v>
      </c>
      <c r="D191" s="10" t="s">
        <v>690</v>
      </c>
      <c r="E191" s="10" t="s">
        <v>826</v>
      </c>
      <c r="F191" s="0" t="n">
        <v>45</v>
      </c>
      <c r="G191" s="10" t="s">
        <v>827</v>
      </c>
      <c r="H191" s="10" t="s">
        <v>950</v>
      </c>
      <c r="J191" s="30" t="n">
        <f aca="false">IF(OR($C191="",$A191=""),"",IF($A191&lt;IFERROR(IF(INDEX(campaigns!$BG$2:$BG$51,MATCH($C191,campaigns!$A$2:$A$51,0))="","",INDEX(campaigns!$BG$2:$BG$51,MATCH($C191,campaigns!$A$2:$A$51,0))),""),0,NETWORKDAYS(IFERROR(IF(INDEX(campaigns!$BG$2:$BG$51,MATCH($C191,campaigns!$A$2:$A$51,0))="","",INDEX(campaigns!$BG$2:$BG$51,MATCH($C191,campaigns!$A$2:$A$51,0))),""),$A191,calendar!$A$2:$A$80)))</f>
        <v>1</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t="n">
        <v>46471</v>
      </c>
      <c r="B192" s="38" t="n">
        <v>0.458333333333333</v>
      </c>
      <c r="C192" s="10" t="s">
        <v>584</v>
      </c>
      <c r="D192" s="10" t="s">
        <v>690</v>
      </c>
      <c r="E192" s="10" t="s">
        <v>720</v>
      </c>
      <c r="F192" s="0" t="n">
        <v>19</v>
      </c>
      <c r="G192" s="10" t="s">
        <v>829</v>
      </c>
      <c r="J192" s="30" t="n">
        <f aca="false">IF(OR($C192="",$A192=""),"",IF($A192&lt;IFERROR(IF(INDEX(campaigns!$BG$2:$BG$51,MATCH($C192,campaigns!$A$2:$A$51,0))="","",INDEX(campaigns!$BG$2:$BG$51,MATCH($C192,campaigns!$A$2:$A$51,0))),""),0,NETWORKDAYS(IFERROR(IF(INDEX(campaigns!$BG$2:$BG$51,MATCH($C192,campaigns!$A$2:$A$51,0))="","",INDEX(campaigns!$BG$2:$BG$51,MATCH($C192,campaigns!$A$2:$A$51,0))),""),$A192,calendar!$A$2:$A$80)))</f>
        <v>3</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t="n">
        <v>46475</v>
      </c>
      <c r="B193" s="38" t="n">
        <v>0.666666666666667</v>
      </c>
      <c r="C193" s="10" t="s">
        <v>584</v>
      </c>
      <c r="D193" s="10" t="s">
        <v>690</v>
      </c>
      <c r="E193" s="10" t="s">
        <v>721</v>
      </c>
      <c r="F193" s="0" t="n">
        <v>4</v>
      </c>
      <c r="G193" s="10" t="s">
        <v>827</v>
      </c>
      <c r="H193" s="10" t="s">
        <v>951</v>
      </c>
      <c r="J193" s="30" t="n">
        <f aca="false">IF(OR($C193="",$A193=""),"",IF($A193&lt;IFERROR(IF(INDEX(campaigns!$BG$2:$BG$51,MATCH($C193,campaigns!$A$2:$A$51,0))="","",INDEX(campaigns!$BG$2:$BG$51,MATCH($C193,campaigns!$A$2:$A$51,0))),""),0,NETWORKDAYS(IFERROR(IF(INDEX(campaigns!$BG$2:$BG$51,MATCH($C193,campaigns!$A$2:$A$51,0))="","",INDEX(campaigns!$BG$2:$BG$51,MATCH($C193,campaigns!$A$2:$A$51,0))),""),$A193,calendar!$A$2:$A$80)))</f>
        <v>5</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t="n">
        <v>46469</v>
      </c>
      <c r="B194" s="38" t="n">
        <v>0.541666666666667</v>
      </c>
      <c r="C194" s="10" t="s">
        <v>584</v>
      </c>
      <c r="D194" s="10" t="s">
        <v>692</v>
      </c>
      <c r="E194" s="10" t="s">
        <v>826</v>
      </c>
      <c r="F194" s="0" t="n">
        <v>60</v>
      </c>
      <c r="G194" s="10" t="s">
        <v>827</v>
      </c>
      <c r="H194" s="10" t="s">
        <v>952</v>
      </c>
      <c r="J194" s="30" t="n">
        <f aca="false">IF(OR($C194="",$A194=""),"",IF($A194&lt;IFERROR(IF(INDEX(campaigns!$BG$2:$BG$51,MATCH($C194,campaigns!$A$2:$A$51,0))="","",INDEX(campaigns!$BG$2:$BG$51,MATCH($C194,campaigns!$A$2:$A$51,0))),""),0,NETWORKDAYS(IFERROR(IF(INDEX(campaigns!$BG$2:$BG$51,MATCH($C194,campaigns!$A$2:$A$51,0))="","",INDEX(campaigns!$BG$2:$BG$51,MATCH($C194,campaigns!$A$2:$A$51,0))),""),$A194,calendar!$A$2:$A$80)))</f>
        <v>1</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t="n">
        <v>46471</v>
      </c>
      <c r="B195" s="38" t="n">
        <v>0.458333333333333</v>
      </c>
      <c r="C195" s="10" t="s">
        <v>584</v>
      </c>
      <c r="D195" s="10" t="s">
        <v>692</v>
      </c>
      <c r="E195" s="10" t="s">
        <v>720</v>
      </c>
      <c r="F195" s="0" t="n">
        <v>19</v>
      </c>
      <c r="G195" s="10" t="s">
        <v>829</v>
      </c>
      <c r="J195" s="30" t="n">
        <f aca="false">IF(OR($C195="",$A195=""),"",IF($A195&lt;IFERROR(IF(INDEX(campaigns!$BG$2:$BG$51,MATCH($C195,campaigns!$A$2:$A$51,0))="","",INDEX(campaigns!$BG$2:$BG$51,MATCH($C195,campaigns!$A$2:$A$51,0))),""),0,NETWORKDAYS(IFERROR(IF(INDEX(campaigns!$BG$2:$BG$51,MATCH($C195,campaigns!$A$2:$A$51,0))="","",INDEX(campaigns!$BG$2:$BG$51,MATCH($C195,campaigns!$A$2:$A$51,0))),""),$A195,calendar!$A$2:$A$80)))</f>
        <v>3</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t="n">
        <v>46475</v>
      </c>
      <c r="B196" s="38" t="n">
        <v>0.666666666666667</v>
      </c>
      <c r="C196" s="10" t="s">
        <v>584</v>
      </c>
      <c r="D196" s="10" t="s">
        <v>692</v>
      </c>
      <c r="E196" s="10" t="s">
        <v>721</v>
      </c>
      <c r="F196" s="0" t="n">
        <v>2</v>
      </c>
      <c r="G196" s="10" t="s">
        <v>827</v>
      </c>
      <c r="H196" s="10" t="s">
        <v>953</v>
      </c>
      <c r="J196" s="30" t="n">
        <f aca="false">IF(OR($C196="",$A196=""),"",IF($A196&lt;IFERROR(IF(INDEX(campaigns!$BG$2:$BG$51,MATCH($C196,campaigns!$A$2:$A$51,0))="","",INDEX(campaigns!$BG$2:$BG$51,MATCH($C196,campaigns!$A$2:$A$51,0))),""),0,NETWORKDAYS(IFERROR(IF(INDEX(campaigns!$BG$2:$BG$51,MATCH($C196,campaigns!$A$2:$A$51,0))="","",INDEX(campaigns!$BG$2:$BG$51,MATCH($C196,campaigns!$A$2:$A$51,0))),""),$A196,calendar!$A$2:$A$80)))</f>
        <v>5</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t="n">
        <v>46469</v>
      </c>
      <c r="B197" s="38" t="n">
        <v>0.541666666666667</v>
      </c>
      <c r="C197" s="10" t="s">
        <v>584</v>
      </c>
      <c r="D197" s="10" t="s">
        <v>696</v>
      </c>
      <c r="E197" s="10" t="s">
        <v>826</v>
      </c>
      <c r="F197" s="0" t="n">
        <v>75</v>
      </c>
      <c r="G197" s="10" t="s">
        <v>827</v>
      </c>
      <c r="H197" s="10" t="s">
        <v>954</v>
      </c>
      <c r="J197" s="30" t="n">
        <f aca="false">IF(OR($C197="",$A197=""),"",IF($A197&lt;IFERROR(IF(INDEX(campaigns!$BG$2:$BG$51,MATCH($C197,campaigns!$A$2:$A$51,0))="","",INDEX(campaigns!$BG$2:$BG$51,MATCH($C197,campaigns!$A$2:$A$51,0))),""),0,NETWORKDAYS(IFERROR(IF(INDEX(campaigns!$BG$2:$BG$51,MATCH($C197,campaigns!$A$2:$A$51,0))="","",INDEX(campaigns!$BG$2:$BG$51,MATCH($C197,campaigns!$A$2:$A$51,0))),""),$A197,calendar!$A$2:$A$80)))</f>
        <v>1</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t="n">
        <v>46471</v>
      </c>
      <c r="B198" s="38" t="n">
        <v>0.458333333333333</v>
      </c>
      <c r="C198" s="10" t="s">
        <v>584</v>
      </c>
      <c r="D198" s="10" t="s">
        <v>696</v>
      </c>
      <c r="E198" s="10" t="s">
        <v>720</v>
      </c>
      <c r="F198" s="0" t="n">
        <v>19</v>
      </c>
      <c r="G198" s="10" t="s">
        <v>829</v>
      </c>
      <c r="J198" s="30" t="n">
        <f aca="false">IF(OR($C198="",$A198=""),"",IF($A198&lt;IFERROR(IF(INDEX(campaigns!$BG$2:$BG$51,MATCH($C198,campaigns!$A$2:$A$51,0))="","",INDEX(campaigns!$BG$2:$BG$51,MATCH($C198,campaigns!$A$2:$A$51,0))),""),0,NETWORKDAYS(IFERROR(IF(INDEX(campaigns!$BG$2:$BG$51,MATCH($C198,campaigns!$A$2:$A$51,0))="","",INDEX(campaigns!$BG$2:$BG$51,MATCH($C198,campaigns!$A$2:$A$51,0))),""),$A198,calendar!$A$2:$A$80)))</f>
        <v>3</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t="n">
        <v>46475</v>
      </c>
      <c r="B199" s="38" t="n">
        <v>0.666666666666667</v>
      </c>
      <c r="C199" s="10" t="s">
        <v>584</v>
      </c>
      <c r="D199" s="10" t="s">
        <v>696</v>
      </c>
      <c r="E199" s="10" t="s">
        <v>721</v>
      </c>
      <c r="F199" s="0" t="n">
        <v>3</v>
      </c>
      <c r="G199" s="10" t="s">
        <v>827</v>
      </c>
      <c r="H199" s="10" t="s">
        <v>955</v>
      </c>
      <c r="J199" s="30" t="n">
        <f aca="false">IF(OR($C199="",$A199=""),"",IF($A199&lt;IFERROR(IF(INDEX(campaigns!$BG$2:$BG$51,MATCH($C199,campaigns!$A$2:$A$51,0))="","",INDEX(campaigns!$BG$2:$BG$51,MATCH($C199,campaigns!$A$2:$A$51,0))),""),0,NETWORKDAYS(IFERROR(IF(INDEX(campaigns!$BG$2:$BG$51,MATCH($C199,campaigns!$A$2:$A$51,0))="","",INDEX(campaigns!$BG$2:$BG$51,MATCH($C199,campaigns!$A$2:$A$51,0))),""),$A199,calendar!$A$2:$A$80)))</f>
        <v>5</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t="n">
        <v>46469</v>
      </c>
      <c r="B200" s="38" t="n">
        <v>0.541666666666667</v>
      </c>
      <c r="C200" s="10" t="s">
        <v>584</v>
      </c>
      <c r="D200" s="10" t="s">
        <v>698</v>
      </c>
      <c r="E200" s="10" t="s">
        <v>826</v>
      </c>
      <c r="F200" s="0" t="n">
        <v>40</v>
      </c>
      <c r="G200" s="10" t="s">
        <v>827</v>
      </c>
      <c r="H200" s="10" t="s">
        <v>956</v>
      </c>
      <c r="J200" s="30" t="n">
        <f aca="false">IF(OR($C200="",$A200=""),"",IF($A200&lt;IFERROR(IF(INDEX(campaigns!$BG$2:$BG$51,MATCH($C200,campaigns!$A$2:$A$51,0))="","",INDEX(campaigns!$BG$2:$BG$51,MATCH($C200,campaigns!$A$2:$A$51,0))),""),0,NETWORKDAYS(IFERROR(IF(INDEX(campaigns!$BG$2:$BG$51,MATCH($C200,campaigns!$A$2:$A$51,0))="","",INDEX(campaigns!$BG$2:$BG$51,MATCH($C200,campaigns!$A$2:$A$51,0))),""),$A200,calendar!$A$2:$A$80)))</f>
        <v>1</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t="n">
        <v>46471</v>
      </c>
      <c r="B201" s="38" t="n">
        <v>0.458333333333333</v>
      </c>
      <c r="C201" s="10" t="s">
        <v>584</v>
      </c>
      <c r="D201" s="10" t="s">
        <v>698</v>
      </c>
      <c r="E201" s="10" t="s">
        <v>720</v>
      </c>
      <c r="F201" s="0" t="n">
        <v>11</v>
      </c>
      <c r="G201" s="10" t="s">
        <v>829</v>
      </c>
      <c r="J201" s="30" t="n">
        <f aca="false">IF(OR($C201="",$A201=""),"",IF($A201&lt;IFERROR(IF(INDEX(campaigns!$BG$2:$BG$51,MATCH($C201,campaigns!$A$2:$A$51,0))="","",INDEX(campaigns!$BG$2:$BG$51,MATCH($C201,campaigns!$A$2:$A$51,0))),""),0,NETWORKDAYS(IFERROR(IF(INDEX(campaigns!$BG$2:$BG$51,MATCH($C201,campaigns!$A$2:$A$51,0))="","",INDEX(campaigns!$BG$2:$BG$51,MATCH($C201,campaigns!$A$2:$A$51,0))),""),$A201,calendar!$A$2:$A$80)))</f>
        <v>3</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t="n">
        <v>46475</v>
      </c>
      <c r="B202" s="38" t="n">
        <v>0.666666666666667</v>
      </c>
      <c r="C202" s="10" t="s">
        <v>584</v>
      </c>
      <c r="D202" s="10" t="s">
        <v>698</v>
      </c>
      <c r="E202" s="10" t="s">
        <v>721</v>
      </c>
      <c r="F202" s="0" t="n">
        <v>1</v>
      </c>
      <c r="G202" s="10" t="s">
        <v>827</v>
      </c>
      <c r="H202" s="10" t="s">
        <v>957</v>
      </c>
      <c r="J202" s="30" t="n">
        <f aca="false">IF(OR($C202="",$A202=""),"",IF($A202&lt;IFERROR(IF(INDEX(campaigns!$BG$2:$BG$51,MATCH($C202,campaigns!$A$2:$A$51,0))="","",INDEX(campaigns!$BG$2:$BG$51,MATCH($C202,campaigns!$A$2:$A$51,0))),""),0,NETWORKDAYS(IFERROR(IF(INDEX(campaigns!$BG$2:$BG$51,MATCH($C202,campaigns!$A$2:$A$51,0))="","",INDEX(campaigns!$BG$2:$BG$51,MATCH($C202,campaigns!$A$2:$A$51,0))),""),$A202,calendar!$A$2:$A$80)))</f>
        <v>5</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824</v>
      </c>
      <c r="B1" s="28" t="s">
        <v>358</v>
      </c>
      <c r="C1" s="28" t="s">
        <v>642</v>
      </c>
      <c r="D1" s="28" t="s">
        <v>958</v>
      </c>
      <c r="E1" s="28" t="s">
        <v>959</v>
      </c>
      <c r="F1" s="28" t="s">
        <v>960</v>
      </c>
      <c r="G1" s="28" t="s">
        <v>823</v>
      </c>
      <c r="H1" s="28" t="s">
        <v>961</v>
      </c>
      <c r="I1" s="28" t="s">
        <v>962</v>
      </c>
      <c r="J1" s="28" t="s">
        <v>963</v>
      </c>
      <c r="K1" s="28" t="s">
        <v>964</v>
      </c>
      <c r="L1" s="28" t="s">
        <v>178</v>
      </c>
      <c r="M1" s="29" t="s">
        <v>300</v>
      </c>
      <c r="N1" s="29" t="s">
        <v>825</v>
      </c>
      <c r="O1" s="29" t="s">
        <v>965</v>
      </c>
      <c r="P1" s="29" t="s">
        <v>966</v>
      </c>
      <c r="Q1" s="29" t="s">
        <v>120</v>
      </c>
      <c r="R1" s="29" t="s">
        <v>176</v>
      </c>
      <c r="S1" s="29" t="s">
        <v>967</v>
      </c>
    </row>
    <row r="2" customFormat="false" ht="15" hidden="false" customHeight="false" outlineLevel="0" collapsed="false">
      <c r="A2" s="0" t="s">
        <v>828</v>
      </c>
      <c r="B2" s="0" t="s">
        <v>472</v>
      </c>
      <c r="C2" s="0" t="s">
        <v>678</v>
      </c>
      <c r="D2" s="10" t="s">
        <v>968</v>
      </c>
      <c r="E2" s="11" t="n">
        <v>46399</v>
      </c>
      <c r="F2" s="38" t="n">
        <v>0.356944444444445</v>
      </c>
      <c r="G2" s="10" t="s">
        <v>338</v>
      </c>
      <c r="H2" s="10" t="s">
        <v>969</v>
      </c>
      <c r="I2" s="11" t="n">
        <v>46399</v>
      </c>
      <c r="J2" s="10" t="s">
        <v>486</v>
      </c>
      <c r="K2" s="10" t="s">
        <v>486</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830</v>
      </c>
      <c r="B3" s="0" t="s">
        <v>472</v>
      </c>
      <c r="C3" s="0" t="s">
        <v>678</v>
      </c>
      <c r="D3" s="10" t="s">
        <v>970</v>
      </c>
      <c r="E3" s="11" t="n">
        <v>46406</v>
      </c>
      <c r="F3" s="38" t="n">
        <v>0.645833333333333</v>
      </c>
      <c r="G3" s="10" t="s">
        <v>137</v>
      </c>
      <c r="H3" s="10" t="s">
        <v>971</v>
      </c>
      <c r="I3" s="11" t="n">
        <v>46406</v>
      </c>
      <c r="J3" s="10" t="s">
        <v>486</v>
      </c>
      <c r="K3" s="10" t="s">
        <v>486</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831</v>
      </c>
      <c r="B4" s="0" t="s">
        <v>472</v>
      </c>
      <c r="C4" s="0" t="s">
        <v>681</v>
      </c>
      <c r="D4" s="10" t="s">
        <v>968</v>
      </c>
      <c r="E4" s="11" t="n">
        <v>46399</v>
      </c>
      <c r="F4" s="38" t="n">
        <v>0.486111111111111</v>
      </c>
      <c r="G4" s="10" t="s">
        <v>137</v>
      </c>
      <c r="H4" s="10" t="s">
        <v>972</v>
      </c>
      <c r="I4" s="11" t="n">
        <v>46399</v>
      </c>
      <c r="J4" s="10" t="s">
        <v>486</v>
      </c>
      <c r="K4" s="10" t="s">
        <v>486</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832</v>
      </c>
      <c r="B5" s="0" t="s">
        <v>472</v>
      </c>
      <c r="C5" s="0" t="s">
        <v>681</v>
      </c>
      <c r="D5" s="10" t="s">
        <v>970</v>
      </c>
      <c r="E5" s="11" t="n">
        <v>46406</v>
      </c>
      <c r="F5" s="38" t="n">
        <v>0.645833333333333</v>
      </c>
      <c r="G5" s="10" t="s">
        <v>137</v>
      </c>
      <c r="H5" s="10" t="s">
        <v>973</v>
      </c>
      <c r="I5" s="11" t="n">
        <v>46406</v>
      </c>
      <c r="J5" s="10" t="s">
        <v>486</v>
      </c>
      <c r="K5" s="10" t="s">
        <v>486</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833</v>
      </c>
      <c r="B6" s="0" t="s">
        <v>472</v>
      </c>
      <c r="C6" s="0" t="s">
        <v>683</v>
      </c>
      <c r="D6" s="10" t="s">
        <v>968</v>
      </c>
      <c r="E6" s="11" t="n">
        <v>46399</v>
      </c>
      <c r="F6" s="38" t="n">
        <v>0.381944444444444</v>
      </c>
      <c r="G6" s="10" t="s">
        <v>338</v>
      </c>
      <c r="H6" s="10" t="s">
        <v>974</v>
      </c>
      <c r="I6" s="11" t="n">
        <v>46399</v>
      </c>
      <c r="J6" s="10" t="s">
        <v>486</v>
      </c>
      <c r="K6" s="10" t="s">
        <v>486</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834</v>
      </c>
      <c r="B7" s="0" t="s">
        <v>472</v>
      </c>
      <c r="C7" s="0" t="s">
        <v>683</v>
      </c>
      <c r="D7" s="10" t="s">
        <v>970</v>
      </c>
      <c r="E7" s="11" t="n">
        <v>46406</v>
      </c>
      <c r="F7" s="38" t="n">
        <v>0.645833333333333</v>
      </c>
      <c r="G7" s="10" t="s">
        <v>137</v>
      </c>
      <c r="H7" s="10" t="s">
        <v>975</v>
      </c>
      <c r="I7" s="11" t="n">
        <v>46406</v>
      </c>
      <c r="J7" s="10" t="s">
        <v>486</v>
      </c>
      <c r="K7" s="10" t="s">
        <v>486</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835</v>
      </c>
      <c r="B8" s="0" t="s">
        <v>472</v>
      </c>
      <c r="C8" s="0" t="s">
        <v>686</v>
      </c>
      <c r="D8" s="10" t="s">
        <v>968</v>
      </c>
      <c r="E8" s="11" t="n">
        <v>46401</v>
      </c>
      <c r="F8" s="38" t="n">
        <v>0.40625</v>
      </c>
      <c r="G8" s="10" t="s">
        <v>137</v>
      </c>
      <c r="H8" s="10" t="s">
        <v>976</v>
      </c>
      <c r="I8" s="11" t="n">
        <v>46401</v>
      </c>
      <c r="J8" s="10" t="s">
        <v>486</v>
      </c>
      <c r="K8" s="10" t="s">
        <v>486</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836</v>
      </c>
      <c r="B9" s="0" t="s">
        <v>472</v>
      </c>
      <c r="C9" s="0" t="s">
        <v>686</v>
      </c>
      <c r="D9" s="10" t="s">
        <v>970</v>
      </c>
      <c r="E9" s="11" t="n">
        <v>46406</v>
      </c>
      <c r="F9" s="38" t="n">
        <v>0.645833333333333</v>
      </c>
      <c r="G9" s="10" t="s">
        <v>137</v>
      </c>
      <c r="H9" s="10" t="s">
        <v>977</v>
      </c>
      <c r="I9" s="11" t="n">
        <v>46406</v>
      </c>
      <c r="J9" s="10" t="s">
        <v>486</v>
      </c>
      <c r="K9" s="10" t="s">
        <v>486</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837</v>
      </c>
      <c r="B10" s="0" t="s">
        <v>472</v>
      </c>
      <c r="C10" s="0" t="s">
        <v>688</v>
      </c>
      <c r="D10" s="10" t="s">
        <v>968</v>
      </c>
      <c r="E10" s="11" t="n">
        <v>46399</v>
      </c>
      <c r="F10" s="38" t="n">
        <v>0.590277777777778</v>
      </c>
      <c r="G10" s="10" t="s">
        <v>137</v>
      </c>
      <c r="H10" s="10" t="s">
        <v>978</v>
      </c>
      <c r="I10" s="11" t="n">
        <v>46399</v>
      </c>
      <c r="J10" s="10" t="s">
        <v>486</v>
      </c>
      <c r="K10" s="10" t="s">
        <v>486</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979</v>
      </c>
      <c r="B11" s="0" t="s">
        <v>472</v>
      </c>
      <c r="C11" s="0" t="s">
        <v>688</v>
      </c>
      <c r="D11" s="10" t="s">
        <v>970</v>
      </c>
      <c r="E11" s="11" t="n">
        <v>46406</v>
      </c>
      <c r="F11" s="38" t="n">
        <v>0.626388888888889</v>
      </c>
      <c r="G11" s="10" t="s">
        <v>137</v>
      </c>
      <c r="H11" s="10" t="s">
        <v>980</v>
      </c>
      <c r="I11" s="11" t="n">
        <v>46406</v>
      </c>
      <c r="J11" s="10" t="s">
        <v>486</v>
      </c>
      <c r="K11" s="10" t="s">
        <v>507</v>
      </c>
      <c r="L11" s="10" t="s">
        <v>981</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838</v>
      </c>
      <c r="B12" s="0" t="s">
        <v>472</v>
      </c>
      <c r="C12" s="0" t="s">
        <v>688</v>
      </c>
      <c r="D12" s="10" t="s">
        <v>970</v>
      </c>
      <c r="E12" s="11" t="n">
        <v>46406</v>
      </c>
      <c r="F12" s="38" t="n">
        <v>0.694444444444444</v>
      </c>
      <c r="G12" s="10" t="s">
        <v>137</v>
      </c>
      <c r="H12" s="10" t="s">
        <v>980</v>
      </c>
      <c r="I12" s="11" t="n">
        <v>46406</v>
      </c>
      <c r="J12" s="10" t="s">
        <v>486</v>
      </c>
      <c r="K12" s="10" t="s">
        <v>486</v>
      </c>
      <c r="L12" s="10" t="s">
        <v>982</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839</v>
      </c>
      <c r="B13" s="0" t="s">
        <v>498</v>
      </c>
      <c r="C13" s="0" t="s">
        <v>678</v>
      </c>
      <c r="D13" s="10" t="s">
        <v>968</v>
      </c>
      <c r="E13" s="11" t="n">
        <v>46399</v>
      </c>
      <c r="F13" s="38" t="n">
        <v>0.356944444444445</v>
      </c>
      <c r="G13" s="10" t="s">
        <v>338</v>
      </c>
      <c r="H13" s="10" t="s">
        <v>983</v>
      </c>
      <c r="I13" s="11" t="n">
        <v>46399</v>
      </c>
      <c r="J13" s="10" t="s">
        <v>486</v>
      </c>
      <c r="K13" s="10" t="s">
        <v>486</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984</v>
      </c>
      <c r="B14" s="0" t="s">
        <v>498</v>
      </c>
      <c r="C14" s="0" t="s">
        <v>678</v>
      </c>
      <c r="D14" s="10" t="s">
        <v>970</v>
      </c>
      <c r="E14" s="11" t="n">
        <v>46406</v>
      </c>
      <c r="F14" s="38" t="n">
        <v>0.645833333333333</v>
      </c>
      <c r="G14" s="10" t="s">
        <v>338</v>
      </c>
      <c r="H14" s="10" t="s">
        <v>985</v>
      </c>
      <c r="I14" s="11" t="n">
        <v>46406</v>
      </c>
      <c r="J14" s="10" t="s">
        <v>486</v>
      </c>
      <c r="K14" s="10" t="s">
        <v>486</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840</v>
      </c>
      <c r="B15" s="0" t="s">
        <v>498</v>
      </c>
      <c r="C15" s="0" t="s">
        <v>681</v>
      </c>
      <c r="D15" s="10" t="s">
        <v>968</v>
      </c>
      <c r="E15" s="11" t="n">
        <v>46399</v>
      </c>
      <c r="F15" s="38" t="n">
        <v>0.486111111111111</v>
      </c>
      <c r="G15" s="10" t="s">
        <v>137</v>
      </c>
      <c r="H15" s="10" t="s">
        <v>986</v>
      </c>
      <c r="I15" s="11" t="n">
        <v>46399</v>
      </c>
      <c r="J15" s="10" t="s">
        <v>486</v>
      </c>
      <c r="K15" s="10" t="s">
        <v>486</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987</v>
      </c>
      <c r="B16" s="0" t="s">
        <v>498</v>
      </c>
      <c r="C16" s="0" t="s">
        <v>681</v>
      </c>
      <c r="D16" s="10" t="s">
        <v>970</v>
      </c>
      <c r="E16" s="11" t="n">
        <v>46401</v>
      </c>
      <c r="F16" s="38" t="n">
        <v>0.638888888888889</v>
      </c>
      <c r="G16" s="10" t="s">
        <v>137</v>
      </c>
      <c r="H16" s="10" t="s">
        <v>988</v>
      </c>
      <c r="I16" s="11" t="n">
        <v>46401</v>
      </c>
      <c r="J16" s="10" t="s">
        <v>486</v>
      </c>
      <c r="K16" s="10" t="s">
        <v>486</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841</v>
      </c>
      <c r="B17" s="0" t="s">
        <v>498</v>
      </c>
      <c r="C17" s="0" t="s">
        <v>683</v>
      </c>
      <c r="D17" s="10" t="s">
        <v>968</v>
      </c>
      <c r="E17" s="11" t="n">
        <v>46399</v>
      </c>
      <c r="F17" s="38" t="n">
        <v>0.381944444444444</v>
      </c>
      <c r="G17" s="10" t="s">
        <v>338</v>
      </c>
      <c r="H17" s="10" t="s">
        <v>989</v>
      </c>
      <c r="I17" s="11" t="n">
        <v>46399</v>
      </c>
      <c r="J17" s="10" t="s">
        <v>486</v>
      </c>
      <c r="K17" s="10" t="s">
        <v>486</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842</v>
      </c>
      <c r="B18" s="0" t="s">
        <v>498</v>
      </c>
      <c r="C18" s="0" t="s">
        <v>686</v>
      </c>
      <c r="D18" s="10" t="s">
        <v>968</v>
      </c>
      <c r="E18" s="11" t="n">
        <v>46400</v>
      </c>
      <c r="F18" s="38" t="n">
        <v>0.378472222222222</v>
      </c>
      <c r="G18" s="10" t="s">
        <v>137</v>
      </c>
      <c r="H18" s="10" t="s">
        <v>990</v>
      </c>
      <c r="I18" s="11" t="n">
        <v>46400</v>
      </c>
      <c r="J18" s="10" t="s">
        <v>486</v>
      </c>
      <c r="K18" s="10" t="s">
        <v>486</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991</v>
      </c>
      <c r="B19" s="0" t="s">
        <v>498</v>
      </c>
      <c r="C19" s="0" t="s">
        <v>686</v>
      </c>
      <c r="D19" s="10" t="s">
        <v>970</v>
      </c>
      <c r="E19" s="11" t="n">
        <v>46406</v>
      </c>
      <c r="F19" s="38" t="n">
        <v>0.645833333333333</v>
      </c>
      <c r="G19" s="10" t="s">
        <v>338</v>
      </c>
      <c r="H19" s="10" t="s">
        <v>992</v>
      </c>
      <c r="I19" s="11" t="n">
        <v>46406</v>
      </c>
      <c r="J19" s="10" t="s">
        <v>486</v>
      </c>
      <c r="K19" s="10" t="s">
        <v>486</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843</v>
      </c>
      <c r="B20" s="0" t="s">
        <v>498</v>
      </c>
      <c r="C20" s="0" t="s">
        <v>688</v>
      </c>
      <c r="D20" s="10" t="s">
        <v>968</v>
      </c>
      <c r="E20" s="11" t="n">
        <v>46399</v>
      </c>
      <c r="F20" s="38" t="n">
        <v>0.590277777777778</v>
      </c>
      <c r="G20" s="10" t="s">
        <v>137</v>
      </c>
      <c r="H20" s="10" t="s">
        <v>993</v>
      </c>
      <c r="I20" s="11" t="n">
        <v>46399</v>
      </c>
      <c r="J20" s="10" t="s">
        <v>486</v>
      </c>
      <c r="K20" s="10" t="s">
        <v>486</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994</v>
      </c>
      <c r="B21" s="0" t="s">
        <v>498</v>
      </c>
      <c r="C21" s="0" t="s">
        <v>688</v>
      </c>
      <c r="D21" s="10" t="s">
        <v>970</v>
      </c>
      <c r="E21" s="11" t="n">
        <v>46406</v>
      </c>
      <c r="F21" s="38" t="n">
        <v>0.645833333333333</v>
      </c>
      <c r="G21" s="10" t="s">
        <v>338</v>
      </c>
      <c r="H21" s="10" t="s">
        <v>995</v>
      </c>
      <c r="I21" s="11" t="n">
        <v>46406</v>
      </c>
      <c r="J21" s="10" t="s">
        <v>486</v>
      </c>
      <c r="K21" s="10" t="s">
        <v>486</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844</v>
      </c>
      <c r="B22" s="0" t="s">
        <v>516</v>
      </c>
      <c r="C22" s="0" t="s">
        <v>678</v>
      </c>
      <c r="D22" s="10" t="s">
        <v>968</v>
      </c>
      <c r="E22" s="11" t="n">
        <v>46427</v>
      </c>
      <c r="F22" s="38" t="n">
        <v>0.541666666666667</v>
      </c>
      <c r="G22" s="10" t="s">
        <v>137</v>
      </c>
      <c r="H22" s="10" t="s">
        <v>996</v>
      </c>
      <c r="I22" s="11" t="n">
        <v>46427</v>
      </c>
      <c r="J22" s="10" t="s">
        <v>486</v>
      </c>
      <c r="K22" s="10" t="s">
        <v>486</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845</v>
      </c>
      <c r="B23" s="0" t="s">
        <v>516</v>
      </c>
      <c r="C23" s="0" t="s">
        <v>678</v>
      </c>
      <c r="D23" s="10" t="s">
        <v>970</v>
      </c>
      <c r="E23" s="11" t="n">
        <v>46434</v>
      </c>
      <c r="F23" s="38" t="n">
        <v>0.625</v>
      </c>
      <c r="G23" s="10" t="s">
        <v>137</v>
      </c>
      <c r="H23" s="10" t="s">
        <v>997</v>
      </c>
      <c r="I23" s="11" t="n">
        <v>46434</v>
      </c>
      <c r="J23" s="10" t="s">
        <v>486</v>
      </c>
      <c r="K23" s="10" t="s">
        <v>486</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846</v>
      </c>
      <c r="B24" s="0" t="s">
        <v>516</v>
      </c>
      <c r="C24" s="0" t="s">
        <v>681</v>
      </c>
      <c r="D24" s="10" t="s">
        <v>968</v>
      </c>
      <c r="E24" s="11" t="n">
        <v>46427</v>
      </c>
      <c r="F24" s="38" t="n">
        <v>0.541666666666667</v>
      </c>
      <c r="G24" s="10" t="s">
        <v>137</v>
      </c>
      <c r="H24" s="10" t="s">
        <v>998</v>
      </c>
      <c r="I24" s="11" t="n">
        <v>46427</v>
      </c>
      <c r="J24" s="10" t="s">
        <v>486</v>
      </c>
      <c r="K24" s="10" t="s">
        <v>486</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847</v>
      </c>
      <c r="B25" s="0" t="s">
        <v>516</v>
      </c>
      <c r="C25" s="0" t="s">
        <v>681</v>
      </c>
      <c r="D25" s="10" t="s">
        <v>970</v>
      </c>
      <c r="E25" s="11" t="n">
        <v>46434</v>
      </c>
      <c r="F25" s="38" t="n">
        <v>0.625</v>
      </c>
      <c r="G25" s="10" t="s">
        <v>137</v>
      </c>
      <c r="H25" s="10" t="s">
        <v>999</v>
      </c>
      <c r="I25" s="11" t="n">
        <v>46434</v>
      </c>
      <c r="J25" s="10" t="s">
        <v>486</v>
      </c>
      <c r="K25" s="10" t="s">
        <v>486</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848</v>
      </c>
      <c r="B26" s="0" t="s">
        <v>516</v>
      </c>
      <c r="C26" s="0" t="s">
        <v>683</v>
      </c>
      <c r="D26" s="10" t="s">
        <v>968</v>
      </c>
      <c r="E26" s="11" t="n">
        <v>46427</v>
      </c>
      <c r="F26" s="38" t="n">
        <v>0.541666666666667</v>
      </c>
      <c r="G26" s="10" t="s">
        <v>137</v>
      </c>
      <c r="H26" s="10" t="s">
        <v>1000</v>
      </c>
      <c r="I26" s="11" t="n">
        <v>46427</v>
      </c>
      <c r="J26" s="10" t="s">
        <v>486</v>
      </c>
      <c r="K26" s="10" t="s">
        <v>486</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849</v>
      </c>
      <c r="B27" s="0" t="s">
        <v>516</v>
      </c>
      <c r="C27" s="0" t="s">
        <v>683</v>
      </c>
      <c r="D27" s="10" t="s">
        <v>970</v>
      </c>
      <c r="E27" s="11" t="n">
        <v>46434</v>
      </c>
      <c r="F27" s="38" t="n">
        <v>0.625</v>
      </c>
      <c r="G27" s="10" t="s">
        <v>137</v>
      </c>
      <c r="H27" s="10" t="s">
        <v>1001</v>
      </c>
      <c r="I27" s="11" t="n">
        <v>46434</v>
      </c>
      <c r="J27" s="10" t="s">
        <v>486</v>
      </c>
      <c r="K27" s="10" t="s">
        <v>486</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850</v>
      </c>
      <c r="B28" s="0" t="s">
        <v>516</v>
      </c>
      <c r="C28" s="0" t="s">
        <v>686</v>
      </c>
      <c r="D28" s="10" t="s">
        <v>968</v>
      </c>
      <c r="E28" s="11" t="n">
        <v>46428</v>
      </c>
      <c r="F28" s="38" t="n">
        <v>0.395833333333333</v>
      </c>
      <c r="G28" s="10" t="s">
        <v>137</v>
      </c>
      <c r="H28" s="10" t="s">
        <v>1002</v>
      </c>
      <c r="I28" s="11" t="n">
        <v>46428</v>
      </c>
      <c r="J28" s="10" t="s">
        <v>486</v>
      </c>
      <c r="K28" s="10" t="s">
        <v>486</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851</v>
      </c>
      <c r="B29" s="0" t="s">
        <v>516</v>
      </c>
      <c r="C29" s="0" t="s">
        <v>686</v>
      </c>
      <c r="D29" s="10" t="s">
        <v>970</v>
      </c>
      <c r="E29" s="11" t="n">
        <v>46434</v>
      </c>
      <c r="F29" s="38" t="n">
        <v>0.625</v>
      </c>
      <c r="G29" s="10" t="s">
        <v>137</v>
      </c>
      <c r="H29" s="10" t="s">
        <v>1003</v>
      </c>
      <c r="I29" s="11" t="n">
        <v>46434</v>
      </c>
      <c r="J29" s="10" t="s">
        <v>486</v>
      </c>
      <c r="K29" s="10" t="s">
        <v>486</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852</v>
      </c>
      <c r="B30" s="0" t="s">
        <v>516</v>
      </c>
      <c r="C30" s="0" t="s">
        <v>688</v>
      </c>
      <c r="D30" s="10" t="s">
        <v>968</v>
      </c>
      <c r="E30" s="11" t="n">
        <v>46427</v>
      </c>
      <c r="F30" s="38" t="n">
        <v>0.541666666666667</v>
      </c>
      <c r="G30" s="10" t="s">
        <v>137</v>
      </c>
      <c r="H30" s="10" t="s">
        <v>1004</v>
      </c>
      <c r="I30" s="11" t="n">
        <v>46427</v>
      </c>
      <c r="J30" s="10" t="s">
        <v>486</v>
      </c>
      <c r="K30" s="10" t="s">
        <v>486</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853</v>
      </c>
      <c r="B31" s="0" t="s">
        <v>516</v>
      </c>
      <c r="C31" s="0" t="s">
        <v>688</v>
      </c>
      <c r="D31" s="10" t="s">
        <v>970</v>
      </c>
      <c r="E31" s="11" t="n">
        <v>46434</v>
      </c>
      <c r="F31" s="38" t="n">
        <v>0.625</v>
      </c>
      <c r="G31" s="10" t="s">
        <v>137</v>
      </c>
      <c r="H31" s="10" t="s">
        <v>1005</v>
      </c>
      <c r="I31" s="11" t="n">
        <v>46434</v>
      </c>
      <c r="J31" s="10" t="s">
        <v>486</v>
      </c>
      <c r="K31" s="10" t="s">
        <v>486</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854</v>
      </c>
      <c r="B32" s="0" t="s">
        <v>516</v>
      </c>
      <c r="C32" s="0" t="s">
        <v>690</v>
      </c>
      <c r="D32" s="10" t="s">
        <v>968</v>
      </c>
      <c r="E32" s="11" t="n">
        <v>46427</v>
      </c>
      <c r="F32" s="38" t="n">
        <v>0.541666666666667</v>
      </c>
      <c r="G32" s="10" t="s">
        <v>137</v>
      </c>
      <c r="H32" s="10" t="s">
        <v>1006</v>
      </c>
      <c r="I32" s="11" t="n">
        <v>46427</v>
      </c>
      <c r="J32" s="10" t="s">
        <v>486</v>
      </c>
      <c r="K32" s="10" t="s">
        <v>486</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855</v>
      </c>
      <c r="B33" s="0" t="s">
        <v>516</v>
      </c>
      <c r="C33" s="0" t="s">
        <v>690</v>
      </c>
      <c r="D33" s="10" t="s">
        <v>970</v>
      </c>
      <c r="E33" s="11" t="n">
        <v>46434</v>
      </c>
      <c r="F33" s="38" t="n">
        <v>0.625</v>
      </c>
      <c r="G33" s="10" t="s">
        <v>137</v>
      </c>
      <c r="H33" s="10" t="s">
        <v>1007</v>
      </c>
      <c r="I33" s="11" t="n">
        <v>46434</v>
      </c>
      <c r="J33" s="10" t="s">
        <v>486</v>
      </c>
      <c r="K33" s="10" t="s">
        <v>486</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856</v>
      </c>
      <c r="B34" s="0" t="s">
        <v>516</v>
      </c>
      <c r="C34" s="0" t="s">
        <v>692</v>
      </c>
      <c r="D34" s="10" t="s">
        <v>968</v>
      </c>
      <c r="E34" s="11" t="n">
        <v>46427</v>
      </c>
      <c r="F34" s="38" t="n">
        <v>0.541666666666667</v>
      </c>
      <c r="G34" s="10" t="s">
        <v>137</v>
      </c>
      <c r="H34" s="10" t="s">
        <v>1008</v>
      </c>
      <c r="I34" s="11" t="n">
        <v>46427</v>
      </c>
      <c r="J34" s="10" t="s">
        <v>486</v>
      </c>
      <c r="K34" s="10" t="s">
        <v>486</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857</v>
      </c>
      <c r="B35" s="0" t="s">
        <v>516</v>
      </c>
      <c r="C35" s="0" t="s">
        <v>692</v>
      </c>
      <c r="D35" s="10" t="s">
        <v>970</v>
      </c>
      <c r="E35" s="11" t="n">
        <v>46434</v>
      </c>
      <c r="F35" s="38" t="n">
        <v>0.625</v>
      </c>
      <c r="G35" s="10" t="s">
        <v>137</v>
      </c>
      <c r="H35" s="10" t="s">
        <v>1009</v>
      </c>
      <c r="I35" s="11" t="n">
        <v>46434</v>
      </c>
      <c r="J35" s="10" t="s">
        <v>486</v>
      </c>
      <c r="K35" s="10" t="s">
        <v>486</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858</v>
      </c>
      <c r="B36" s="0" t="s">
        <v>516</v>
      </c>
      <c r="C36" s="0" t="s">
        <v>694</v>
      </c>
      <c r="D36" s="10" t="s">
        <v>968</v>
      </c>
      <c r="E36" s="11" t="n">
        <v>46427</v>
      </c>
      <c r="F36" s="38" t="n">
        <v>0.541666666666667</v>
      </c>
      <c r="G36" s="10" t="s">
        <v>137</v>
      </c>
      <c r="H36" s="10" t="s">
        <v>1010</v>
      </c>
      <c r="I36" s="11" t="n">
        <v>46427</v>
      </c>
      <c r="J36" s="10" t="s">
        <v>486</v>
      </c>
      <c r="K36" s="10" t="s">
        <v>486</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859</v>
      </c>
      <c r="B37" s="0" t="s">
        <v>516</v>
      </c>
      <c r="C37" s="0" t="s">
        <v>694</v>
      </c>
      <c r="D37" s="10" t="s">
        <v>970</v>
      </c>
      <c r="E37" s="11" t="n">
        <v>46434</v>
      </c>
      <c r="F37" s="38" t="n">
        <v>0.625</v>
      </c>
      <c r="G37" s="10" t="s">
        <v>137</v>
      </c>
      <c r="H37" s="10" t="s">
        <v>1011</v>
      </c>
      <c r="I37" s="11" t="n">
        <v>46434</v>
      </c>
      <c r="J37" s="10" t="s">
        <v>486</v>
      </c>
      <c r="K37" s="10" t="s">
        <v>486</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860</v>
      </c>
      <c r="B38" s="0" t="s">
        <v>516</v>
      </c>
      <c r="C38" s="0" t="s">
        <v>696</v>
      </c>
      <c r="D38" s="10" t="s">
        <v>968</v>
      </c>
      <c r="E38" s="11" t="n">
        <v>46428</v>
      </c>
      <c r="F38" s="38" t="n">
        <v>0.381944444444444</v>
      </c>
      <c r="G38" s="10" t="s">
        <v>137</v>
      </c>
      <c r="H38" s="10" t="s">
        <v>1012</v>
      </c>
      <c r="I38" s="11" t="n">
        <v>46428</v>
      </c>
      <c r="J38" s="10" t="s">
        <v>486</v>
      </c>
      <c r="K38" s="10" t="s">
        <v>486</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861</v>
      </c>
      <c r="B39" s="0" t="s">
        <v>516</v>
      </c>
      <c r="C39" s="0" t="s">
        <v>696</v>
      </c>
      <c r="D39" s="10" t="s">
        <v>970</v>
      </c>
      <c r="E39" s="11" t="n">
        <v>46434</v>
      </c>
      <c r="F39" s="38" t="n">
        <v>0.625</v>
      </c>
      <c r="G39" s="10" t="s">
        <v>137</v>
      </c>
      <c r="H39" s="10" t="s">
        <v>1013</v>
      </c>
      <c r="I39" s="11" t="n">
        <v>46434</v>
      </c>
      <c r="J39" s="10" t="s">
        <v>486</v>
      </c>
      <c r="K39" s="10" t="s">
        <v>486</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862</v>
      </c>
      <c r="B40" s="0" t="s">
        <v>516</v>
      </c>
      <c r="C40" s="0" t="s">
        <v>698</v>
      </c>
      <c r="D40" s="10" t="s">
        <v>968</v>
      </c>
      <c r="E40" s="11" t="n">
        <v>46427</v>
      </c>
      <c r="F40" s="38" t="n">
        <v>0.541666666666667</v>
      </c>
      <c r="G40" s="10" t="s">
        <v>137</v>
      </c>
      <c r="H40" s="10" t="s">
        <v>1014</v>
      </c>
      <c r="I40" s="11" t="n">
        <v>46427</v>
      </c>
      <c r="J40" s="10" t="s">
        <v>486</v>
      </c>
      <c r="K40" s="10" t="s">
        <v>486</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863</v>
      </c>
      <c r="B41" s="0" t="s">
        <v>516</v>
      </c>
      <c r="C41" s="0" t="s">
        <v>698</v>
      </c>
      <c r="D41" s="10" t="s">
        <v>970</v>
      </c>
      <c r="E41" s="11" t="n">
        <v>46434</v>
      </c>
      <c r="F41" s="38" t="n">
        <v>0.625</v>
      </c>
      <c r="G41" s="10" t="s">
        <v>137</v>
      </c>
      <c r="H41" s="10" t="s">
        <v>1015</v>
      </c>
      <c r="I41" s="11" t="n">
        <v>46434</v>
      </c>
      <c r="J41" s="10" t="s">
        <v>486</v>
      </c>
      <c r="K41" s="10" t="s">
        <v>486</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864</v>
      </c>
      <c r="B42" s="0" t="s">
        <v>532</v>
      </c>
      <c r="C42" s="0" t="s">
        <v>678</v>
      </c>
      <c r="D42" s="10" t="s">
        <v>968</v>
      </c>
      <c r="E42" s="11" t="n">
        <v>46427</v>
      </c>
      <c r="F42" s="38" t="n">
        <v>0.541666666666667</v>
      </c>
      <c r="G42" s="10" t="s">
        <v>137</v>
      </c>
      <c r="H42" s="10" t="s">
        <v>1016</v>
      </c>
      <c r="I42" s="11" t="n">
        <v>46427</v>
      </c>
      <c r="J42" s="10" t="s">
        <v>486</v>
      </c>
      <c r="K42" s="10" t="s">
        <v>486</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865</v>
      </c>
      <c r="B43" s="0" t="s">
        <v>532</v>
      </c>
      <c r="C43" s="0" t="s">
        <v>678</v>
      </c>
      <c r="D43" s="10" t="s">
        <v>970</v>
      </c>
      <c r="E43" s="11" t="n">
        <v>46434</v>
      </c>
      <c r="F43" s="38" t="n">
        <v>0.625</v>
      </c>
      <c r="G43" s="10" t="s">
        <v>137</v>
      </c>
      <c r="H43" s="10" t="s">
        <v>1017</v>
      </c>
      <c r="I43" s="11" t="n">
        <v>46434</v>
      </c>
      <c r="J43" s="10" t="s">
        <v>486</v>
      </c>
      <c r="K43" s="10" t="s">
        <v>486</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866</v>
      </c>
      <c r="B44" s="0" t="s">
        <v>532</v>
      </c>
      <c r="C44" s="0" t="s">
        <v>681</v>
      </c>
      <c r="D44" s="10" t="s">
        <v>968</v>
      </c>
      <c r="E44" s="11" t="n">
        <v>46427</v>
      </c>
      <c r="F44" s="38" t="n">
        <v>0.541666666666667</v>
      </c>
      <c r="G44" s="10" t="s">
        <v>137</v>
      </c>
      <c r="H44" s="10" t="s">
        <v>1018</v>
      </c>
      <c r="I44" s="11" t="n">
        <v>46427</v>
      </c>
      <c r="J44" s="10" t="s">
        <v>486</v>
      </c>
      <c r="K44" s="10" t="s">
        <v>486</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867</v>
      </c>
      <c r="B45" s="0" t="s">
        <v>532</v>
      </c>
      <c r="C45" s="0" t="s">
        <v>681</v>
      </c>
      <c r="D45" s="10" t="s">
        <v>970</v>
      </c>
      <c r="E45" s="11" t="n">
        <v>46434</v>
      </c>
      <c r="F45" s="38" t="n">
        <v>0.625</v>
      </c>
      <c r="G45" s="10" t="s">
        <v>137</v>
      </c>
      <c r="H45" s="10" t="s">
        <v>1019</v>
      </c>
      <c r="I45" s="11" t="n">
        <v>46434</v>
      </c>
      <c r="J45" s="10" t="s">
        <v>486</v>
      </c>
      <c r="K45" s="10" t="s">
        <v>486</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868</v>
      </c>
      <c r="B46" s="0" t="s">
        <v>532</v>
      </c>
      <c r="C46" s="0" t="s">
        <v>683</v>
      </c>
      <c r="D46" s="10" t="s">
        <v>968</v>
      </c>
      <c r="E46" s="11" t="n">
        <v>46427</v>
      </c>
      <c r="F46" s="38" t="n">
        <v>0.541666666666667</v>
      </c>
      <c r="G46" s="10" t="s">
        <v>137</v>
      </c>
      <c r="H46" s="10" t="s">
        <v>1020</v>
      </c>
      <c r="I46" s="11" t="n">
        <v>46427</v>
      </c>
      <c r="J46" s="10" t="s">
        <v>486</v>
      </c>
      <c r="K46" s="10" t="s">
        <v>486</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869</v>
      </c>
      <c r="B47" s="0" t="s">
        <v>532</v>
      </c>
      <c r="C47" s="0" t="s">
        <v>683</v>
      </c>
      <c r="D47" s="10" t="s">
        <v>970</v>
      </c>
      <c r="E47" s="11" t="n">
        <v>46434</v>
      </c>
      <c r="F47" s="38" t="n">
        <v>0.625</v>
      </c>
      <c r="G47" s="10" t="s">
        <v>137</v>
      </c>
      <c r="H47" s="10" t="s">
        <v>1021</v>
      </c>
      <c r="I47" s="11" t="n">
        <v>46434</v>
      </c>
      <c r="J47" s="10" t="s">
        <v>486</v>
      </c>
      <c r="K47" s="10" t="s">
        <v>486</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870</v>
      </c>
      <c r="B48" s="0" t="s">
        <v>532</v>
      </c>
      <c r="C48" s="0" t="s">
        <v>686</v>
      </c>
      <c r="D48" s="10" t="s">
        <v>968</v>
      </c>
      <c r="E48" s="11" t="n">
        <v>46428</v>
      </c>
      <c r="F48" s="38" t="n">
        <v>0.395833333333333</v>
      </c>
      <c r="G48" s="10" t="s">
        <v>137</v>
      </c>
      <c r="H48" s="10" t="s">
        <v>1022</v>
      </c>
      <c r="I48" s="11" t="n">
        <v>46428</v>
      </c>
      <c r="J48" s="10" t="s">
        <v>486</v>
      </c>
      <c r="K48" s="10" t="s">
        <v>486</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871</v>
      </c>
      <c r="B49" s="0" t="s">
        <v>532</v>
      </c>
      <c r="C49" s="0" t="s">
        <v>686</v>
      </c>
      <c r="D49" s="10" t="s">
        <v>970</v>
      </c>
      <c r="E49" s="11" t="n">
        <v>46434</v>
      </c>
      <c r="F49" s="38" t="n">
        <v>0.625</v>
      </c>
      <c r="G49" s="10" t="s">
        <v>137</v>
      </c>
      <c r="H49" s="10" t="s">
        <v>1023</v>
      </c>
      <c r="I49" s="11" t="n">
        <v>46434</v>
      </c>
      <c r="J49" s="10" t="s">
        <v>486</v>
      </c>
      <c r="K49" s="10" t="s">
        <v>486</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872</v>
      </c>
      <c r="B50" s="0" t="s">
        <v>532</v>
      </c>
      <c r="C50" s="0" t="s">
        <v>688</v>
      </c>
      <c r="D50" s="10" t="s">
        <v>968</v>
      </c>
      <c r="E50" s="11" t="n">
        <v>46427</v>
      </c>
      <c r="F50" s="38" t="n">
        <v>0.541666666666667</v>
      </c>
      <c r="G50" s="10" t="s">
        <v>137</v>
      </c>
      <c r="H50" s="10" t="s">
        <v>1024</v>
      </c>
      <c r="I50" s="11" t="n">
        <v>46427</v>
      </c>
      <c r="J50" s="10" t="s">
        <v>486</v>
      </c>
      <c r="K50" s="10" t="s">
        <v>486</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873</v>
      </c>
      <c r="B51" s="0" t="s">
        <v>532</v>
      </c>
      <c r="C51" s="0" t="s">
        <v>688</v>
      </c>
      <c r="D51" s="10" t="s">
        <v>970</v>
      </c>
      <c r="E51" s="11" t="n">
        <v>46434</v>
      </c>
      <c r="F51" s="38" t="n">
        <v>0.625</v>
      </c>
      <c r="G51" s="10" t="s">
        <v>137</v>
      </c>
      <c r="H51" s="10" t="s">
        <v>1025</v>
      </c>
      <c r="I51" s="11" t="n">
        <v>46434</v>
      </c>
      <c r="J51" s="10" t="s">
        <v>486</v>
      </c>
      <c r="K51" s="10" t="s">
        <v>486</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874</v>
      </c>
      <c r="B52" s="0" t="s">
        <v>532</v>
      </c>
      <c r="C52" s="0" t="s">
        <v>690</v>
      </c>
      <c r="D52" s="10" t="s">
        <v>968</v>
      </c>
      <c r="E52" s="11" t="n">
        <v>46427</v>
      </c>
      <c r="F52" s="38" t="n">
        <v>0.541666666666667</v>
      </c>
      <c r="G52" s="10" t="s">
        <v>137</v>
      </c>
      <c r="H52" s="10" t="s">
        <v>1026</v>
      </c>
      <c r="I52" s="11" t="n">
        <v>46427</v>
      </c>
      <c r="J52" s="10" t="s">
        <v>486</v>
      </c>
      <c r="K52" s="10" t="s">
        <v>486</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875</v>
      </c>
      <c r="B53" s="0" t="s">
        <v>532</v>
      </c>
      <c r="C53" s="0" t="s">
        <v>690</v>
      </c>
      <c r="D53" s="10" t="s">
        <v>970</v>
      </c>
      <c r="E53" s="11" t="n">
        <v>46434</v>
      </c>
      <c r="F53" s="38" t="n">
        <v>0.625</v>
      </c>
      <c r="G53" s="10" t="s">
        <v>137</v>
      </c>
      <c r="H53" s="10" t="s">
        <v>1027</v>
      </c>
      <c r="I53" s="11" t="n">
        <v>46434</v>
      </c>
      <c r="J53" s="10" t="s">
        <v>486</v>
      </c>
      <c r="K53" s="10" t="s">
        <v>486</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876</v>
      </c>
      <c r="B54" s="0" t="s">
        <v>532</v>
      </c>
      <c r="C54" s="0" t="s">
        <v>694</v>
      </c>
      <c r="D54" s="10" t="s">
        <v>968</v>
      </c>
      <c r="E54" s="11" t="n">
        <v>46427</v>
      </c>
      <c r="F54" s="38" t="n">
        <v>0.541666666666667</v>
      </c>
      <c r="G54" s="10" t="s">
        <v>137</v>
      </c>
      <c r="H54" s="10" t="s">
        <v>1028</v>
      </c>
      <c r="I54" s="11" t="n">
        <v>46427</v>
      </c>
      <c r="J54" s="10" t="s">
        <v>486</v>
      </c>
      <c r="K54" s="10" t="s">
        <v>486</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877</v>
      </c>
      <c r="B55" s="0" t="s">
        <v>532</v>
      </c>
      <c r="C55" s="0" t="s">
        <v>694</v>
      </c>
      <c r="D55" s="10" t="s">
        <v>970</v>
      </c>
      <c r="E55" s="11" t="n">
        <v>46434</v>
      </c>
      <c r="F55" s="38" t="n">
        <v>0.625</v>
      </c>
      <c r="G55" s="10" t="s">
        <v>137</v>
      </c>
      <c r="H55" s="10" t="s">
        <v>1029</v>
      </c>
      <c r="I55" s="11" t="n">
        <v>46434</v>
      </c>
      <c r="J55" s="10" t="s">
        <v>486</v>
      </c>
      <c r="K55" s="10" t="s">
        <v>486</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878</v>
      </c>
      <c r="B56" s="0" t="s">
        <v>532</v>
      </c>
      <c r="C56" s="0" t="s">
        <v>696</v>
      </c>
      <c r="D56" s="10" t="s">
        <v>968</v>
      </c>
      <c r="E56" s="11" t="n">
        <v>46428</v>
      </c>
      <c r="F56" s="38" t="n">
        <v>0.381944444444444</v>
      </c>
      <c r="G56" s="10" t="s">
        <v>137</v>
      </c>
      <c r="H56" s="10" t="s">
        <v>1030</v>
      </c>
      <c r="I56" s="11" t="n">
        <v>46428</v>
      </c>
      <c r="J56" s="10" t="s">
        <v>486</v>
      </c>
      <c r="K56" s="10" t="s">
        <v>486</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879</v>
      </c>
      <c r="B57" s="0" t="s">
        <v>532</v>
      </c>
      <c r="C57" s="0" t="s">
        <v>696</v>
      </c>
      <c r="D57" s="10" t="s">
        <v>970</v>
      </c>
      <c r="E57" s="11" t="n">
        <v>46434</v>
      </c>
      <c r="F57" s="38" t="n">
        <v>0.625</v>
      </c>
      <c r="G57" s="10" t="s">
        <v>137</v>
      </c>
      <c r="H57" s="10" t="s">
        <v>1031</v>
      </c>
      <c r="I57" s="11" t="n">
        <v>46434</v>
      </c>
      <c r="J57" s="10" t="s">
        <v>486</v>
      </c>
      <c r="K57" s="10" t="s">
        <v>486</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880</v>
      </c>
      <c r="B58" s="0" t="s">
        <v>532</v>
      </c>
      <c r="C58" s="0" t="s">
        <v>698</v>
      </c>
      <c r="D58" s="10" t="s">
        <v>968</v>
      </c>
      <c r="E58" s="11" t="n">
        <v>46427</v>
      </c>
      <c r="F58" s="38" t="n">
        <v>0.541666666666667</v>
      </c>
      <c r="G58" s="10" t="s">
        <v>137</v>
      </c>
      <c r="H58" s="10" t="s">
        <v>1032</v>
      </c>
      <c r="I58" s="11" t="n">
        <v>46427</v>
      </c>
      <c r="J58" s="10" t="s">
        <v>486</v>
      </c>
      <c r="K58" s="10" t="s">
        <v>486</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881</v>
      </c>
      <c r="B59" s="0" t="s">
        <v>532</v>
      </c>
      <c r="C59" s="0" t="s">
        <v>698</v>
      </c>
      <c r="D59" s="10" t="s">
        <v>970</v>
      </c>
      <c r="E59" s="11" t="n">
        <v>46434</v>
      </c>
      <c r="F59" s="38" t="n">
        <v>0.625</v>
      </c>
      <c r="G59" s="10" t="s">
        <v>137</v>
      </c>
      <c r="H59" s="10" t="s">
        <v>1033</v>
      </c>
      <c r="I59" s="11" t="n">
        <v>46434</v>
      </c>
      <c r="J59" s="10" t="s">
        <v>486</v>
      </c>
      <c r="K59" s="10" t="s">
        <v>486</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882</v>
      </c>
      <c r="B60" s="0" t="s">
        <v>549</v>
      </c>
      <c r="C60" s="0" t="s">
        <v>678</v>
      </c>
      <c r="D60" s="10" t="s">
        <v>968</v>
      </c>
      <c r="E60" s="11" t="n">
        <v>46427</v>
      </c>
      <c r="F60" s="38" t="n">
        <v>0.541666666666667</v>
      </c>
      <c r="G60" s="10" t="s">
        <v>137</v>
      </c>
      <c r="H60" s="10" t="s">
        <v>1034</v>
      </c>
      <c r="I60" s="11" t="n">
        <v>46427</v>
      </c>
      <c r="J60" s="10" t="s">
        <v>486</v>
      </c>
      <c r="K60" s="10" t="s">
        <v>486</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883</v>
      </c>
      <c r="B61" s="0" t="s">
        <v>549</v>
      </c>
      <c r="C61" s="0" t="s">
        <v>678</v>
      </c>
      <c r="D61" s="10" t="s">
        <v>970</v>
      </c>
      <c r="E61" s="11" t="n">
        <v>46434</v>
      </c>
      <c r="F61" s="38" t="n">
        <v>0.625</v>
      </c>
      <c r="G61" s="10" t="s">
        <v>137</v>
      </c>
      <c r="H61" s="10" t="s">
        <v>1035</v>
      </c>
      <c r="I61" s="11" t="n">
        <v>46434</v>
      </c>
      <c r="J61" s="10" t="s">
        <v>486</v>
      </c>
      <c r="K61" s="10" t="s">
        <v>486</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884</v>
      </c>
      <c r="B62" s="0" t="s">
        <v>549</v>
      </c>
      <c r="C62" s="0" t="s">
        <v>681</v>
      </c>
      <c r="D62" s="10" t="s">
        <v>968</v>
      </c>
      <c r="E62" s="11" t="n">
        <v>46427</v>
      </c>
      <c r="F62" s="38" t="n">
        <v>0.541666666666667</v>
      </c>
      <c r="G62" s="10" t="s">
        <v>137</v>
      </c>
      <c r="H62" s="10" t="s">
        <v>1036</v>
      </c>
      <c r="I62" s="11" t="n">
        <v>46427</v>
      </c>
      <c r="J62" s="10" t="s">
        <v>486</v>
      </c>
      <c r="K62" s="10" t="s">
        <v>486</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885</v>
      </c>
      <c r="B63" s="0" t="s">
        <v>549</v>
      </c>
      <c r="C63" s="0" t="s">
        <v>681</v>
      </c>
      <c r="D63" s="10" t="s">
        <v>970</v>
      </c>
      <c r="E63" s="11" t="n">
        <v>46434</v>
      </c>
      <c r="F63" s="38" t="n">
        <v>0.625</v>
      </c>
      <c r="G63" s="10" t="s">
        <v>137</v>
      </c>
      <c r="H63" s="10" t="s">
        <v>1037</v>
      </c>
      <c r="I63" s="11" t="n">
        <v>46434</v>
      </c>
      <c r="J63" s="10" t="s">
        <v>486</v>
      </c>
      <c r="K63" s="10" t="s">
        <v>486</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886</v>
      </c>
      <c r="B64" s="0" t="s">
        <v>549</v>
      </c>
      <c r="C64" s="0" t="s">
        <v>683</v>
      </c>
      <c r="D64" s="10" t="s">
        <v>968</v>
      </c>
      <c r="E64" s="11" t="n">
        <v>46427</v>
      </c>
      <c r="F64" s="38" t="n">
        <v>0.541666666666667</v>
      </c>
      <c r="G64" s="10" t="s">
        <v>137</v>
      </c>
      <c r="H64" s="10" t="s">
        <v>1038</v>
      </c>
      <c r="I64" s="11" t="n">
        <v>46427</v>
      </c>
      <c r="J64" s="10" t="s">
        <v>486</v>
      </c>
      <c r="K64" s="10" t="s">
        <v>486</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887</v>
      </c>
      <c r="B65" s="0" t="s">
        <v>549</v>
      </c>
      <c r="C65" s="0" t="s">
        <v>683</v>
      </c>
      <c r="D65" s="10" t="s">
        <v>970</v>
      </c>
      <c r="E65" s="11" t="n">
        <v>46434</v>
      </c>
      <c r="F65" s="38" t="n">
        <v>0.625</v>
      </c>
      <c r="G65" s="10" t="s">
        <v>137</v>
      </c>
      <c r="H65" s="10" t="s">
        <v>1039</v>
      </c>
      <c r="I65" s="11" t="n">
        <v>46434</v>
      </c>
      <c r="J65" s="10" t="s">
        <v>486</v>
      </c>
      <c r="K65" s="10" t="s">
        <v>486</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888</v>
      </c>
      <c r="B66" s="0" t="s">
        <v>549</v>
      </c>
      <c r="C66" s="0" t="s">
        <v>686</v>
      </c>
      <c r="D66" s="10" t="s">
        <v>968</v>
      </c>
      <c r="E66" s="11" t="n">
        <v>46428</v>
      </c>
      <c r="F66" s="38" t="n">
        <v>0.395833333333333</v>
      </c>
      <c r="G66" s="10" t="s">
        <v>137</v>
      </c>
      <c r="H66" s="10" t="s">
        <v>1040</v>
      </c>
      <c r="I66" s="11" t="n">
        <v>46428</v>
      </c>
      <c r="J66" s="10" t="s">
        <v>486</v>
      </c>
      <c r="K66" s="10" t="s">
        <v>486</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889</v>
      </c>
      <c r="B67" s="0" t="s">
        <v>549</v>
      </c>
      <c r="C67" s="0" t="s">
        <v>686</v>
      </c>
      <c r="D67" s="10" t="s">
        <v>970</v>
      </c>
      <c r="E67" s="11" t="n">
        <v>46434</v>
      </c>
      <c r="F67" s="38" t="n">
        <v>0.625</v>
      </c>
      <c r="G67" s="10" t="s">
        <v>137</v>
      </c>
      <c r="H67" s="10" t="s">
        <v>1041</v>
      </c>
      <c r="I67" s="11" t="n">
        <v>46434</v>
      </c>
      <c r="J67" s="10" t="s">
        <v>486</v>
      </c>
      <c r="K67" s="10" t="s">
        <v>486</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890</v>
      </c>
      <c r="B68" s="0" t="s">
        <v>549</v>
      </c>
      <c r="C68" s="0" t="s">
        <v>688</v>
      </c>
      <c r="D68" s="10" t="s">
        <v>968</v>
      </c>
      <c r="E68" s="11" t="n">
        <v>46427</v>
      </c>
      <c r="F68" s="38" t="n">
        <v>0.541666666666667</v>
      </c>
      <c r="G68" s="10" t="s">
        <v>137</v>
      </c>
      <c r="H68" s="10" t="s">
        <v>1042</v>
      </c>
      <c r="I68" s="11" t="n">
        <v>46427</v>
      </c>
      <c r="J68" s="10" t="s">
        <v>486</v>
      </c>
      <c r="K68" s="10" t="s">
        <v>486</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891</v>
      </c>
      <c r="B69" s="0" t="s">
        <v>549</v>
      </c>
      <c r="C69" s="0" t="s">
        <v>688</v>
      </c>
      <c r="D69" s="10" t="s">
        <v>970</v>
      </c>
      <c r="E69" s="11" t="n">
        <v>46434</v>
      </c>
      <c r="F69" s="38" t="n">
        <v>0.625</v>
      </c>
      <c r="G69" s="10" t="s">
        <v>137</v>
      </c>
      <c r="H69" s="10" t="s">
        <v>1043</v>
      </c>
      <c r="I69" s="11" t="n">
        <v>46434</v>
      </c>
      <c r="J69" s="10" t="s">
        <v>486</v>
      </c>
      <c r="K69" s="10" t="s">
        <v>486</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892</v>
      </c>
      <c r="B70" s="0" t="s">
        <v>549</v>
      </c>
      <c r="C70" s="0" t="s">
        <v>690</v>
      </c>
      <c r="D70" s="10" t="s">
        <v>968</v>
      </c>
      <c r="E70" s="11" t="n">
        <v>46427</v>
      </c>
      <c r="F70" s="38" t="n">
        <v>0.541666666666667</v>
      </c>
      <c r="G70" s="10" t="s">
        <v>137</v>
      </c>
      <c r="H70" s="10" t="s">
        <v>1044</v>
      </c>
      <c r="I70" s="11" t="n">
        <v>46427</v>
      </c>
      <c r="J70" s="10" t="s">
        <v>486</v>
      </c>
      <c r="K70" s="10" t="s">
        <v>486</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893</v>
      </c>
      <c r="B71" s="0" t="s">
        <v>549</v>
      </c>
      <c r="C71" s="0" t="s">
        <v>690</v>
      </c>
      <c r="D71" s="10" t="s">
        <v>970</v>
      </c>
      <c r="E71" s="11" t="n">
        <v>46434</v>
      </c>
      <c r="F71" s="38" t="n">
        <v>0.625</v>
      </c>
      <c r="G71" s="10" t="s">
        <v>137</v>
      </c>
      <c r="H71" s="10" t="s">
        <v>1045</v>
      </c>
      <c r="I71" s="11" t="n">
        <v>46434</v>
      </c>
      <c r="J71" s="10" t="s">
        <v>486</v>
      </c>
      <c r="K71" s="10" t="s">
        <v>486</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894</v>
      </c>
      <c r="B72" s="0" t="s">
        <v>549</v>
      </c>
      <c r="C72" s="0" t="s">
        <v>692</v>
      </c>
      <c r="D72" s="10" t="s">
        <v>968</v>
      </c>
      <c r="E72" s="11" t="n">
        <v>46427</v>
      </c>
      <c r="F72" s="38" t="n">
        <v>0.541666666666667</v>
      </c>
      <c r="G72" s="10" t="s">
        <v>137</v>
      </c>
      <c r="H72" s="10" t="s">
        <v>1046</v>
      </c>
      <c r="I72" s="11" t="n">
        <v>46427</v>
      </c>
      <c r="J72" s="10" t="s">
        <v>486</v>
      </c>
      <c r="K72" s="10" t="s">
        <v>486</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895</v>
      </c>
      <c r="B73" s="0" t="s">
        <v>549</v>
      </c>
      <c r="C73" s="0" t="s">
        <v>692</v>
      </c>
      <c r="D73" s="10" t="s">
        <v>970</v>
      </c>
      <c r="E73" s="11" t="n">
        <v>46434</v>
      </c>
      <c r="F73" s="38" t="n">
        <v>0.625</v>
      </c>
      <c r="G73" s="10" t="s">
        <v>137</v>
      </c>
      <c r="H73" s="10" t="s">
        <v>1047</v>
      </c>
      <c r="I73" s="11" t="n">
        <v>46434</v>
      </c>
      <c r="J73" s="10" t="s">
        <v>486</v>
      </c>
      <c r="K73" s="10" t="s">
        <v>486</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896</v>
      </c>
      <c r="B74" s="0" t="s">
        <v>549</v>
      </c>
      <c r="C74" s="0" t="s">
        <v>694</v>
      </c>
      <c r="D74" s="10" t="s">
        <v>968</v>
      </c>
      <c r="E74" s="11" t="n">
        <v>46427</v>
      </c>
      <c r="F74" s="38" t="n">
        <v>0.541666666666667</v>
      </c>
      <c r="G74" s="10" t="s">
        <v>137</v>
      </c>
      <c r="H74" s="10" t="s">
        <v>1048</v>
      </c>
      <c r="I74" s="11" t="n">
        <v>46427</v>
      </c>
      <c r="J74" s="10" t="s">
        <v>486</v>
      </c>
      <c r="K74" s="10" t="s">
        <v>486</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897</v>
      </c>
      <c r="B75" s="0" t="s">
        <v>549</v>
      </c>
      <c r="C75" s="0" t="s">
        <v>694</v>
      </c>
      <c r="D75" s="10" t="s">
        <v>970</v>
      </c>
      <c r="E75" s="11" t="n">
        <v>46434</v>
      </c>
      <c r="F75" s="38" t="n">
        <v>0.625</v>
      </c>
      <c r="G75" s="10" t="s">
        <v>137</v>
      </c>
      <c r="H75" s="10" t="s">
        <v>1049</v>
      </c>
      <c r="I75" s="11" t="n">
        <v>46434</v>
      </c>
      <c r="J75" s="10" t="s">
        <v>486</v>
      </c>
      <c r="K75" s="10" t="s">
        <v>486</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898</v>
      </c>
      <c r="B76" s="0" t="s">
        <v>549</v>
      </c>
      <c r="C76" s="0" t="s">
        <v>696</v>
      </c>
      <c r="D76" s="10" t="s">
        <v>968</v>
      </c>
      <c r="E76" s="11" t="n">
        <v>46428</v>
      </c>
      <c r="F76" s="38" t="n">
        <v>0.381944444444444</v>
      </c>
      <c r="G76" s="10" t="s">
        <v>137</v>
      </c>
      <c r="H76" s="10" t="s">
        <v>1050</v>
      </c>
      <c r="I76" s="11" t="n">
        <v>46428</v>
      </c>
      <c r="J76" s="10" t="s">
        <v>486</v>
      </c>
      <c r="K76" s="10" t="s">
        <v>486</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899</v>
      </c>
      <c r="B77" s="0" t="s">
        <v>549</v>
      </c>
      <c r="C77" s="0" t="s">
        <v>696</v>
      </c>
      <c r="D77" s="10" t="s">
        <v>970</v>
      </c>
      <c r="E77" s="11" t="n">
        <v>46434</v>
      </c>
      <c r="F77" s="38" t="n">
        <v>0.625</v>
      </c>
      <c r="G77" s="10" t="s">
        <v>137</v>
      </c>
      <c r="H77" s="10" t="s">
        <v>1051</v>
      </c>
      <c r="I77" s="11" t="n">
        <v>46434</v>
      </c>
      <c r="J77" s="10" t="s">
        <v>486</v>
      </c>
      <c r="K77" s="10" t="s">
        <v>486</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900</v>
      </c>
      <c r="B78" s="0" t="s">
        <v>549</v>
      </c>
      <c r="C78" s="0" t="s">
        <v>698</v>
      </c>
      <c r="D78" s="10" t="s">
        <v>968</v>
      </c>
      <c r="E78" s="11" t="n">
        <v>46427</v>
      </c>
      <c r="F78" s="38" t="n">
        <v>0.541666666666667</v>
      </c>
      <c r="G78" s="10" t="s">
        <v>137</v>
      </c>
      <c r="H78" s="10" t="s">
        <v>1052</v>
      </c>
      <c r="I78" s="11" t="n">
        <v>46427</v>
      </c>
      <c r="J78" s="10" t="s">
        <v>486</v>
      </c>
      <c r="K78" s="10" t="s">
        <v>486</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901</v>
      </c>
      <c r="B79" s="0" t="s">
        <v>549</v>
      </c>
      <c r="C79" s="0" t="s">
        <v>698</v>
      </c>
      <c r="D79" s="10" t="s">
        <v>970</v>
      </c>
      <c r="E79" s="11" t="n">
        <v>46434</v>
      </c>
      <c r="F79" s="38" t="n">
        <v>0.625</v>
      </c>
      <c r="G79" s="10" t="s">
        <v>137</v>
      </c>
      <c r="H79" s="10" t="s">
        <v>1053</v>
      </c>
      <c r="I79" s="11" t="n">
        <v>46434</v>
      </c>
      <c r="J79" s="10" t="s">
        <v>486</v>
      </c>
      <c r="K79" s="10" t="s">
        <v>486</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902</v>
      </c>
      <c r="B80" s="0" t="s">
        <v>563</v>
      </c>
      <c r="C80" s="0" t="s">
        <v>678</v>
      </c>
      <c r="D80" s="10" t="s">
        <v>968</v>
      </c>
      <c r="E80" s="11" t="n">
        <v>46441</v>
      </c>
      <c r="F80" s="38" t="n">
        <v>0.541666666666667</v>
      </c>
      <c r="G80" s="10" t="s">
        <v>137</v>
      </c>
      <c r="H80" s="10" t="s">
        <v>1054</v>
      </c>
      <c r="I80" s="11" t="n">
        <v>46441</v>
      </c>
      <c r="J80" s="10" t="s">
        <v>486</v>
      </c>
      <c r="K80" s="10" t="s">
        <v>486</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903</v>
      </c>
      <c r="B81" s="0" t="s">
        <v>563</v>
      </c>
      <c r="C81" s="0" t="s">
        <v>678</v>
      </c>
      <c r="D81" s="10" t="s">
        <v>970</v>
      </c>
      <c r="E81" s="11" t="n">
        <v>46447</v>
      </c>
      <c r="F81" s="38" t="n">
        <v>0.625</v>
      </c>
      <c r="G81" s="10" t="s">
        <v>137</v>
      </c>
      <c r="H81" s="10" t="s">
        <v>1055</v>
      </c>
      <c r="I81" s="11" t="n">
        <v>46447</v>
      </c>
      <c r="J81" s="10" t="s">
        <v>486</v>
      </c>
      <c r="K81" s="10" t="s">
        <v>486</v>
      </c>
      <c r="M81" s="31" t="n">
        <f aca="false">IF($B81="","",IFERROR(IF(INDEX(campaigns!$BG$2:$BG$51,MATCH($B81,campaigns!$A$2:$A$51,0))="","",INDEX(campaigns!$BG$2:$BG$51,MATCH($B81,campaigns!$A$2:$A$51,0))),""))</f>
        <v>46441</v>
      </c>
      <c r="N81" s="30" t="n">
        <f aca="false">IF(OR($B81="",$E81="",$M81=""),"",IF($E81&lt;$M81,0,NETWORKDAYS($M81,$E81,calendar!$A$2:$A$80)))</f>
        <v>5</v>
      </c>
      <c r="O81" s="30" t="str">
        <f aca="false">IF($B81="","",IF(AND($K81="Y",OR($D81="later",$J81="Y")),"Y","N"))</f>
        <v>Y</v>
      </c>
      <c r="P81" s="30" t="str">
        <f aca="false">IF(OR($B81="",$E81=""),"",$B81&amp;"_"&amp;$C81&amp;"_"&amp;$D81&amp;"_"&amp;TEXT($E81,"yyyy-mm-dd")&amp;".jpg")</f>
        <v>SAMPLE-CMP-006_SAMPLE-O-001_later_2027-03-01.jpg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SAMPLE-CMP-006|SAMPLE-O-001|later|Y</v>
      </c>
      <c r="S81" s="30" t="str">
        <f aca="false">IF($B81="","",$R81&amp;"|"&amp;N($E81))</f>
        <v>SAMPLE-CMP-006|SAMPLE-O-001|later|Y|46447</v>
      </c>
    </row>
    <row r="82" customFormat="false" ht="15" hidden="false" customHeight="false" outlineLevel="0" collapsed="false">
      <c r="A82" s="0" t="s">
        <v>904</v>
      </c>
      <c r="B82" s="0" t="s">
        <v>563</v>
      </c>
      <c r="C82" s="0" t="s">
        <v>681</v>
      </c>
      <c r="D82" s="10" t="s">
        <v>968</v>
      </c>
      <c r="E82" s="11" t="n">
        <v>46441</v>
      </c>
      <c r="F82" s="38" t="n">
        <v>0.541666666666667</v>
      </c>
      <c r="G82" s="10" t="s">
        <v>137</v>
      </c>
      <c r="H82" s="10" t="s">
        <v>1056</v>
      </c>
      <c r="I82" s="11" t="n">
        <v>46441</v>
      </c>
      <c r="J82" s="10" t="s">
        <v>486</v>
      </c>
      <c r="K82" s="10" t="s">
        <v>486</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SAMPLE-CMP-006_SAMPLE-O-002_placement_2027-02-23.jpg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SAMPLE-CMP-006|SAMPLE-O-002|placement|Y</v>
      </c>
      <c r="S82" s="30" t="str">
        <f aca="false">IF($B82="","",$R82&amp;"|"&amp;N($E82))</f>
        <v>SAMPLE-CMP-006|SAMPLE-O-002|placement|Y|46441</v>
      </c>
    </row>
    <row r="83" customFormat="false" ht="15" hidden="false" customHeight="false" outlineLevel="0" collapsed="false">
      <c r="A83" s="0" t="s">
        <v>905</v>
      </c>
      <c r="B83" s="0" t="s">
        <v>563</v>
      </c>
      <c r="C83" s="0" t="s">
        <v>681</v>
      </c>
      <c r="D83" s="10" t="s">
        <v>970</v>
      </c>
      <c r="E83" s="11" t="n">
        <v>46447</v>
      </c>
      <c r="F83" s="38" t="n">
        <v>0.625</v>
      </c>
      <c r="G83" s="10" t="s">
        <v>137</v>
      </c>
      <c r="H83" s="10" t="s">
        <v>1057</v>
      </c>
      <c r="I83" s="11" t="n">
        <v>46447</v>
      </c>
      <c r="J83" s="10" t="s">
        <v>486</v>
      </c>
      <c r="K83" s="10" t="s">
        <v>486</v>
      </c>
      <c r="M83" s="31" t="n">
        <f aca="false">IF($B83="","",IFERROR(IF(INDEX(campaigns!$BG$2:$BG$51,MATCH($B83,campaigns!$A$2:$A$51,0))="","",INDEX(campaigns!$BG$2:$BG$51,MATCH($B83,campaigns!$A$2:$A$51,0))),""))</f>
        <v>46441</v>
      </c>
      <c r="N83" s="30" t="n">
        <f aca="false">IF(OR($B83="",$E83="",$M83=""),"",IF($E83&lt;$M83,0,NETWORKDAYS($M83,$E83,calendar!$A$2:$A$80)))</f>
        <v>5</v>
      </c>
      <c r="O83" s="30" t="str">
        <f aca="false">IF($B83="","",IF(AND($K83="Y",OR($D83="later",$J83="Y")),"Y","N"))</f>
        <v>Y</v>
      </c>
      <c r="P83" s="30" t="str">
        <f aca="false">IF(OR($B83="",$E83=""),"",$B83&amp;"_"&amp;$C83&amp;"_"&amp;$D83&amp;"_"&amp;TEXT($E83,"yyyy-mm-dd")&amp;".jpg")</f>
        <v>SAMPLE-CMP-006_SAMPLE-O-002_later_2027-03-01.jpg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SAMPLE-CMP-006|SAMPLE-O-002|later|Y</v>
      </c>
      <c r="S83" s="30" t="str">
        <f aca="false">IF($B83="","",$R83&amp;"|"&amp;N($E83))</f>
        <v>SAMPLE-CMP-006|SAMPLE-O-002|later|Y|46447</v>
      </c>
    </row>
    <row r="84" customFormat="false" ht="15" hidden="false" customHeight="false" outlineLevel="0" collapsed="false">
      <c r="A84" s="0" t="s">
        <v>906</v>
      </c>
      <c r="B84" s="0" t="s">
        <v>563</v>
      </c>
      <c r="C84" s="0" t="s">
        <v>683</v>
      </c>
      <c r="D84" s="10" t="s">
        <v>968</v>
      </c>
      <c r="E84" s="11" t="n">
        <v>46441</v>
      </c>
      <c r="F84" s="38" t="n">
        <v>0.541666666666667</v>
      </c>
      <c r="G84" s="10" t="s">
        <v>137</v>
      </c>
      <c r="H84" s="10" t="s">
        <v>1058</v>
      </c>
      <c r="I84" s="11" t="n">
        <v>46441</v>
      </c>
      <c r="J84" s="10" t="s">
        <v>486</v>
      </c>
      <c r="K84" s="10" t="s">
        <v>486</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SAMPLE-CMP-006_SAMPLE-O-003_placement_2027-02-23.jpg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SAMPLE-CMP-006|SAMPLE-O-003|placement|Y</v>
      </c>
      <c r="S84" s="30" t="str">
        <f aca="false">IF($B84="","",$R84&amp;"|"&amp;N($E84))</f>
        <v>SAMPLE-CMP-006|SAMPLE-O-003|placement|Y|46441</v>
      </c>
    </row>
    <row r="85" customFormat="false" ht="15" hidden="false" customHeight="false" outlineLevel="0" collapsed="false">
      <c r="A85" s="0" t="s">
        <v>907</v>
      </c>
      <c r="B85" s="0" t="s">
        <v>563</v>
      </c>
      <c r="C85" s="0" t="s">
        <v>683</v>
      </c>
      <c r="D85" s="10" t="s">
        <v>970</v>
      </c>
      <c r="E85" s="11" t="n">
        <v>46447</v>
      </c>
      <c r="F85" s="38" t="n">
        <v>0.625</v>
      </c>
      <c r="G85" s="10" t="s">
        <v>137</v>
      </c>
      <c r="H85" s="10" t="s">
        <v>1059</v>
      </c>
      <c r="I85" s="11" t="n">
        <v>46447</v>
      </c>
      <c r="J85" s="10" t="s">
        <v>486</v>
      </c>
      <c r="K85" s="10" t="s">
        <v>486</v>
      </c>
      <c r="M85" s="31" t="n">
        <f aca="false">IF($B85="","",IFERROR(IF(INDEX(campaigns!$BG$2:$BG$51,MATCH($B85,campaigns!$A$2:$A$51,0))="","",INDEX(campaigns!$BG$2:$BG$51,MATCH($B85,campaigns!$A$2:$A$51,0))),""))</f>
        <v>46441</v>
      </c>
      <c r="N85" s="30" t="n">
        <f aca="false">IF(OR($B85="",$E85="",$M85=""),"",IF($E85&lt;$M85,0,NETWORKDAYS($M85,$E85,calendar!$A$2:$A$80)))</f>
        <v>5</v>
      </c>
      <c r="O85" s="30" t="str">
        <f aca="false">IF($B85="","",IF(AND($K85="Y",OR($D85="later",$J85="Y")),"Y","N"))</f>
        <v>Y</v>
      </c>
      <c r="P85" s="30" t="str">
        <f aca="false">IF(OR($B85="",$E85=""),"",$B85&amp;"_"&amp;$C85&amp;"_"&amp;$D85&amp;"_"&amp;TEXT($E85,"yyyy-mm-dd")&amp;".jpg")</f>
        <v>SAMPLE-CMP-006_SAMPLE-O-003_later_2027-03-01.jpg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SAMPLE-CMP-006|SAMPLE-O-003|later|Y</v>
      </c>
      <c r="S85" s="30" t="str">
        <f aca="false">IF($B85="","",$R85&amp;"|"&amp;N($E85))</f>
        <v>SAMPLE-CMP-006|SAMPLE-O-003|later|Y|46447</v>
      </c>
    </row>
    <row r="86" customFormat="false" ht="15" hidden="false" customHeight="false" outlineLevel="0" collapsed="false">
      <c r="A86" s="0" t="s">
        <v>908</v>
      </c>
      <c r="B86" s="0" t="s">
        <v>563</v>
      </c>
      <c r="C86" s="0" t="s">
        <v>686</v>
      </c>
      <c r="D86" s="10" t="s">
        <v>968</v>
      </c>
      <c r="E86" s="11" t="n">
        <v>46441</v>
      </c>
      <c r="F86" s="38" t="n">
        <v>0.541666666666667</v>
      </c>
      <c r="G86" s="10" t="s">
        <v>137</v>
      </c>
      <c r="H86" s="10" t="s">
        <v>1060</v>
      </c>
      <c r="I86" s="11" t="n">
        <v>46441</v>
      </c>
      <c r="J86" s="10" t="s">
        <v>486</v>
      </c>
      <c r="K86" s="10" t="s">
        <v>486</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SAMPLE-CMP-006_SAMPLE-O-004_placement_2027-02-23.jpg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SAMPLE-CMP-006|SAMPLE-O-004|placement|Y</v>
      </c>
      <c r="S86" s="30" t="str">
        <f aca="false">IF($B86="","",$R86&amp;"|"&amp;N($E86))</f>
        <v>SAMPLE-CMP-006|SAMPLE-O-004|placement|Y|46441</v>
      </c>
    </row>
    <row r="87" customFormat="false" ht="15" hidden="false" customHeight="false" outlineLevel="0" collapsed="false">
      <c r="A87" s="0" t="s">
        <v>909</v>
      </c>
      <c r="B87" s="0" t="s">
        <v>563</v>
      </c>
      <c r="C87" s="0" t="s">
        <v>686</v>
      </c>
      <c r="D87" s="10" t="s">
        <v>970</v>
      </c>
      <c r="E87" s="11" t="n">
        <v>46447</v>
      </c>
      <c r="F87" s="38" t="n">
        <v>0.625</v>
      </c>
      <c r="G87" s="10" t="s">
        <v>137</v>
      </c>
      <c r="H87" s="10" t="s">
        <v>1061</v>
      </c>
      <c r="I87" s="11" t="n">
        <v>46447</v>
      </c>
      <c r="J87" s="10" t="s">
        <v>486</v>
      </c>
      <c r="K87" s="10" t="s">
        <v>486</v>
      </c>
      <c r="M87" s="31" t="n">
        <f aca="false">IF($B87="","",IFERROR(IF(INDEX(campaigns!$BG$2:$BG$51,MATCH($B87,campaigns!$A$2:$A$51,0))="","",INDEX(campaigns!$BG$2:$BG$51,MATCH($B87,campaigns!$A$2:$A$51,0))),""))</f>
        <v>46441</v>
      </c>
      <c r="N87" s="30" t="n">
        <f aca="false">IF(OR($B87="",$E87="",$M87=""),"",IF($E87&lt;$M87,0,NETWORKDAYS($M87,$E87,calendar!$A$2:$A$80)))</f>
        <v>5</v>
      </c>
      <c r="O87" s="30" t="str">
        <f aca="false">IF($B87="","",IF(AND($K87="Y",OR($D87="later",$J87="Y")),"Y","N"))</f>
        <v>Y</v>
      </c>
      <c r="P87" s="30" t="str">
        <f aca="false">IF(OR($B87="",$E87=""),"",$B87&amp;"_"&amp;$C87&amp;"_"&amp;$D87&amp;"_"&amp;TEXT($E87,"yyyy-mm-dd")&amp;".jpg")</f>
        <v>SAMPLE-CMP-006_SAMPLE-O-004_later_2027-03-01.jpg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SAMPLE-CMP-006|SAMPLE-O-004|later|Y</v>
      </c>
      <c r="S87" s="30" t="str">
        <f aca="false">IF($B87="","",$R87&amp;"|"&amp;N($E87))</f>
        <v>SAMPLE-CMP-006|SAMPLE-O-004|later|Y|46447</v>
      </c>
    </row>
    <row r="88" customFormat="false" ht="15" hidden="false" customHeight="false" outlineLevel="0" collapsed="false">
      <c r="A88" s="0" t="s">
        <v>910</v>
      </c>
      <c r="B88" s="0" t="s">
        <v>563</v>
      </c>
      <c r="C88" s="0" t="s">
        <v>688</v>
      </c>
      <c r="D88" s="10" t="s">
        <v>968</v>
      </c>
      <c r="E88" s="11" t="n">
        <v>46441</v>
      </c>
      <c r="F88" s="38" t="n">
        <v>0.541666666666667</v>
      </c>
      <c r="G88" s="10" t="s">
        <v>137</v>
      </c>
      <c r="H88" s="10" t="s">
        <v>1062</v>
      </c>
      <c r="I88" s="11" t="n">
        <v>46441</v>
      </c>
      <c r="J88" s="10" t="s">
        <v>486</v>
      </c>
      <c r="K88" s="10" t="s">
        <v>486</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SAMPLE-CMP-006_SAMPLE-O-005_placement_2027-02-23.jpg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SAMPLE-CMP-006|SAMPLE-O-005|placement|Y</v>
      </c>
      <c r="S88" s="30" t="str">
        <f aca="false">IF($B88="","",$R88&amp;"|"&amp;N($E88))</f>
        <v>SAMPLE-CMP-006|SAMPLE-O-005|placement|Y|46441</v>
      </c>
    </row>
    <row r="89" customFormat="false" ht="15" hidden="false" customHeight="false" outlineLevel="0" collapsed="false">
      <c r="A89" s="0" t="s">
        <v>911</v>
      </c>
      <c r="B89" s="0" t="s">
        <v>563</v>
      </c>
      <c r="C89" s="0" t="s">
        <v>688</v>
      </c>
      <c r="D89" s="10" t="s">
        <v>970</v>
      </c>
      <c r="E89" s="11" t="n">
        <v>46447</v>
      </c>
      <c r="F89" s="38" t="n">
        <v>0.625</v>
      </c>
      <c r="G89" s="10" t="s">
        <v>137</v>
      </c>
      <c r="H89" s="10" t="s">
        <v>1063</v>
      </c>
      <c r="I89" s="11" t="n">
        <v>46447</v>
      </c>
      <c r="J89" s="10" t="s">
        <v>486</v>
      </c>
      <c r="K89" s="10" t="s">
        <v>486</v>
      </c>
      <c r="M89" s="31" t="n">
        <f aca="false">IF($B89="","",IFERROR(IF(INDEX(campaigns!$BG$2:$BG$51,MATCH($B89,campaigns!$A$2:$A$51,0))="","",INDEX(campaigns!$BG$2:$BG$51,MATCH($B89,campaigns!$A$2:$A$51,0))),""))</f>
        <v>46441</v>
      </c>
      <c r="N89" s="30" t="n">
        <f aca="false">IF(OR($B89="",$E89="",$M89=""),"",IF($E89&lt;$M89,0,NETWORKDAYS($M89,$E89,calendar!$A$2:$A$80)))</f>
        <v>5</v>
      </c>
      <c r="O89" s="30" t="str">
        <f aca="false">IF($B89="","",IF(AND($K89="Y",OR($D89="later",$J89="Y")),"Y","N"))</f>
        <v>Y</v>
      </c>
      <c r="P89" s="30" t="str">
        <f aca="false">IF(OR($B89="",$E89=""),"",$B89&amp;"_"&amp;$C89&amp;"_"&amp;$D89&amp;"_"&amp;TEXT($E89,"yyyy-mm-dd")&amp;".jpg")</f>
        <v>SAMPLE-CMP-006_SAMPLE-O-005_later_2027-03-01.jpg</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SAMPLE-CMP-006|SAMPLE-O-005|later|Y</v>
      </c>
      <c r="S89" s="30" t="str">
        <f aca="false">IF($B89="","",$R89&amp;"|"&amp;N($E89))</f>
        <v>SAMPLE-CMP-006|SAMPLE-O-005|later|Y|46447</v>
      </c>
    </row>
    <row r="90" customFormat="false" ht="15" hidden="false" customHeight="false" outlineLevel="0" collapsed="false">
      <c r="A90" s="0" t="s">
        <v>912</v>
      </c>
      <c r="B90" s="0" t="s">
        <v>563</v>
      </c>
      <c r="C90" s="0" t="s">
        <v>692</v>
      </c>
      <c r="D90" s="10" t="s">
        <v>968</v>
      </c>
      <c r="E90" s="11" t="n">
        <v>46441</v>
      </c>
      <c r="F90" s="38" t="n">
        <v>0.541666666666667</v>
      </c>
      <c r="G90" s="10" t="s">
        <v>137</v>
      </c>
      <c r="H90" s="10" t="s">
        <v>1064</v>
      </c>
      <c r="I90" s="11" t="n">
        <v>46441</v>
      </c>
      <c r="J90" s="10" t="s">
        <v>486</v>
      </c>
      <c r="K90" s="10" t="s">
        <v>486</v>
      </c>
      <c r="M90" s="31" t="n">
        <f aca="false">IF($B90="","",IFERROR(IF(INDEX(campaigns!$BG$2:$BG$51,MATCH($B90,campaigns!$A$2:$A$51,0))="","",INDEX(campaigns!$BG$2:$BG$51,MATCH($B90,campaigns!$A$2:$A$51,0))),""))</f>
        <v>46441</v>
      </c>
      <c r="N90" s="30" t="n">
        <f aca="false">IF(OR($B90="",$E90="",$M90=""),"",IF($E90&lt;$M90,0,NETWORKDAYS($M90,$E90,calendar!$A$2:$A$80)))</f>
        <v>1</v>
      </c>
      <c r="O90" s="30" t="str">
        <f aca="false">IF($B90="","",IF(AND($K90="Y",OR($D90="later",$J90="Y")),"Y","N"))</f>
        <v>Y</v>
      </c>
      <c r="P90" s="30" t="str">
        <f aca="false">IF(OR($B90="",$E90=""),"",$B90&amp;"_"&amp;$C90&amp;"_"&amp;$D90&amp;"_"&amp;TEXT($E90,"yyyy-mm-dd")&amp;".jpg")</f>
        <v>SAMPLE-CMP-006_SAMPLE-O-007_placement_2027-02-23.jpg</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SAMPLE-CMP-006|SAMPLE-O-007|placement|Y</v>
      </c>
      <c r="S90" s="30" t="str">
        <f aca="false">IF($B90="","",$R90&amp;"|"&amp;N($E90))</f>
        <v>SAMPLE-CMP-006|SAMPLE-O-007|placement|Y|46441</v>
      </c>
    </row>
    <row r="91" customFormat="false" ht="15" hidden="false" customHeight="false" outlineLevel="0" collapsed="false">
      <c r="A91" s="0" t="s">
        <v>913</v>
      </c>
      <c r="B91" s="0" t="s">
        <v>563</v>
      </c>
      <c r="C91" s="0" t="s">
        <v>692</v>
      </c>
      <c r="D91" s="10" t="s">
        <v>970</v>
      </c>
      <c r="E91" s="11" t="n">
        <v>46447</v>
      </c>
      <c r="F91" s="38" t="n">
        <v>0.625</v>
      </c>
      <c r="G91" s="10" t="s">
        <v>137</v>
      </c>
      <c r="H91" s="10" t="s">
        <v>1065</v>
      </c>
      <c r="I91" s="11" t="n">
        <v>46447</v>
      </c>
      <c r="J91" s="10" t="s">
        <v>486</v>
      </c>
      <c r="K91" s="10" t="s">
        <v>486</v>
      </c>
      <c r="M91" s="31" t="n">
        <f aca="false">IF($B91="","",IFERROR(IF(INDEX(campaigns!$BG$2:$BG$51,MATCH($B91,campaigns!$A$2:$A$51,0))="","",INDEX(campaigns!$BG$2:$BG$51,MATCH($B91,campaigns!$A$2:$A$51,0))),""))</f>
        <v>46441</v>
      </c>
      <c r="N91" s="30" t="n">
        <f aca="false">IF(OR($B91="",$E91="",$M91=""),"",IF($E91&lt;$M91,0,NETWORKDAYS($M91,$E91,calendar!$A$2:$A$80)))</f>
        <v>5</v>
      </c>
      <c r="O91" s="30" t="str">
        <f aca="false">IF($B91="","",IF(AND($K91="Y",OR($D91="later",$J91="Y")),"Y","N"))</f>
        <v>Y</v>
      </c>
      <c r="P91" s="30" t="str">
        <f aca="false">IF(OR($B91="",$E91=""),"",$B91&amp;"_"&amp;$C91&amp;"_"&amp;$D91&amp;"_"&amp;TEXT($E91,"yyyy-mm-dd")&amp;".jpg")</f>
        <v>SAMPLE-CMP-006_SAMPLE-O-007_later_2027-03-01.jpg</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SAMPLE-CMP-006|SAMPLE-O-007|later|Y</v>
      </c>
      <c r="S91" s="30" t="str">
        <f aca="false">IF($B91="","",$R91&amp;"|"&amp;N($E91))</f>
        <v>SAMPLE-CMP-006|SAMPLE-O-007|later|Y|46447</v>
      </c>
    </row>
    <row r="92" customFormat="false" ht="15" hidden="false" customHeight="false" outlineLevel="0" collapsed="false">
      <c r="A92" s="0" t="s">
        <v>914</v>
      </c>
      <c r="B92" s="0" t="s">
        <v>563</v>
      </c>
      <c r="C92" s="0" t="s">
        <v>694</v>
      </c>
      <c r="D92" s="10" t="s">
        <v>968</v>
      </c>
      <c r="E92" s="11" t="n">
        <v>46441</v>
      </c>
      <c r="F92" s="38" t="n">
        <v>0.541666666666667</v>
      </c>
      <c r="G92" s="10" t="s">
        <v>137</v>
      </c>
      <c r="H92" s="10" t="s">
        <v>1066</v>
      </c>
      <c r="I92" s="11" t="n">
        <v>46441</v>
      </c>
      <c r="J92" s="10" t="s">
        <v>486</v>
      </c>
      <c r="K92" s="10" t="s">
        <v>486</v>
      </c>
      <c r="M92" s="31" t="n">
        <f aca="false">IF($B92="","",IFERROR(IF(INDEX(campaigns!$BG$2:$BG$51,MATCH($B92,campaigns!$A$2:$A$51,0))="","",INDEX(campaigns!$BG$2:$BG$51,MATCH($B92,campaigns!$A$2:$A$51,0))),""))</f>
        <v>46441</v>
      </c>
      <c r="N92" s="30" t="n">
        <f aca="false">IF(OR($B92="",$E92="",$M92=""),"",IF($E92&lt;$M92,0,NETWORKDAYS($M92,$E92,calendar!$A$2:$A$80)))</f>
        <v>1</v>
      </c>
      <c r="O92" s="30" t="str">
        <f aca="false">IF($B92="","",IF(AND($K92="Y",OR($D92="later",$J92="Y")),"Y","N"))</f>
        <v>Y</v>
      </c>
      <c r="P92" s="30" t="str">
        <f aca="false">IF(OR($B92="",$E92=""),"",$B92&amp;"_"&amp;$C92&amp;"_"&amp;$D92&amp;"_"&amp;TEXT($E92,"yyyy-mm-dd")&amp;".jpg")</f>
        <v>SAMPLE-CMP-006_SAMPLE-O-008_placement_2027-02-23.jpg</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SAMPLE-CMP-006|SAMPLE-O-008|placement|Y</v>
      </c>
      <c r="S92" s="30" t="str">
        <f aca="false">IF($B92="","",$R92&amp;"|"&amp;N($E92))</f>
        <v>SAMPLE-CMP-006|SAMPLE-O-008|placement|Y|46441</v>
      </c>
    </row>
    <row r="93" customFormat="false" ht="15" hidden="false" customHeight="false" outlineLevel="0" collapsed="false">
      <c r="A93" s="0" t="s">
        <v>915</v>
      </c>
      <c r="B93" s="0" t="s">
        <v>563</v>
      </c>
      <c r="C93" s="0" t="s">
        <v>694</v>
      </c>
      <c r="D93" s="10" t="s">
        <v>970</v>
      </c>
      <c r="E93" s="11" t="n">
        <v>46447</v>
      </c>
      <c r="F93" s="38" t="n">
        <v>0.625</v>
      </c>
      <c r="G93" s="10" t="s">
        <v>137</v>
      </c>
      <c r="H93" s="10" t="s">
        <v>1067</v>
      </c>
      <c r="I93" s="11" t="n">
        <v>46447</v>
      </c>
      <c r="J93" s="10" t="s">
        <v>486</v>
      </c>
      <c r="K93" s="10" t="s">
        <v>486</v>
      </c>
      <c r="M93" s="31" t="n">
        <f aca="false">IF($B93="","",IFERROR(IF(INDEX(campaigns!$BG$2:$BG$51,MATCH($B93,campaigns!$A$2:$A$51,0))="","",INDEX(campaigns!$BG$2:$BG$51,MATCH($B93,campaigns!$A$2:$A$51,0))),""))</f>
        <v>46441</v>
      </c>
      <c r="N93" s="30" t="n">
        <f aca="false">IF(OR($B93="",$E93="",$M93=""),"",IF($E93&lt;$M93,0,NETWORKDAYS($M93,$E93,calendar!$A$2:$A$80)))</f>
        <v>5</v>
      </c>
      <c r="O93" s="30" t="str">
        <f aca="false">IF($B93="","",IF(AND($K93="Y",OR($D93="later",$J93="Y")),"Y","N"))</f>
        <v>Y</v>
      </c>
      <c r="P93" s="30" t="str">
        <f aca="false">IF(OR($B93="",$E93=""),"",$B93&amp;"_"&amp;$C93&amp;"_"&amp;$D93&amp;"_"&amp;TEXT($E93,"yyyy-mm-dd")&amp;".jpg")</f>
        <v>SAMPLE-CMP-006_SAMPLE-O-008_later_2027-03-01.jpg</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SAMPLE-CMP-006|SAMPLE-O-008|later|Y</v>
      </c>
      <c r="S93" s="30" t="str">
        <f aca="false">IF($B93="","",$R93&amp;"|"&amp;N($E93))</f>
        <v>SAMPLE-CMP-006|SAMPLE-O-008|later|Y|46447</v>
      </c>
    </row>
    <row r="94" customFormat="false" ht="15" hidden="false" customHeight="false" outlineLevel="0" collapsed="false">
      <c r="A94" s="0" t="s">
        <v>916</v>
      </c>
      <c r="B94" s="0" t="s">
        <v>563</v>
      </c>
      <c r="C94" s="0" t="s">
        <v>696</v>
      </c>
      <c r="D94" s="10" t="s">
        <v>968</v>
      </c>
      <c r="E94" s="11" t="n">
        <v>46441</v>
      </c>
      <c r="F94" s="38" t="n">
        <v>0.541666666666667</v>
      </c>
      <c r="G94" s="10" t="s">
        <v>137</v>
      </c>
      <c r="H94" s="10" t="s">
        <v>1068</v>
      </c>
      <c r="I94" s="11" t="n">
        <v>46441</v>
      </c>
      <c r="J94" s="10" t="s">
        <v>486</v>
      </c>
      <c r="K94" s="10" t="s">
        <v>486</v>
      </c>
      <c r="M94" s="31" t="n">
        <f aca="false">IF($B94="","",IFERROR(IF(INDEX(campaigns!$BG$2:$BG$51,MATCH($B94,campaigns!$A$2:$A$51,0))="","",INDEX(campaigns!$BG$2:$BG$51,MATCH($B94,campaigns!$A$2:$A$51,0))),""))</f>
        <v>46441</v>
      </c>
      <c r="N94" s="30" t="n">
        <f aca="false">IF(OR($B94="",$E94="",$M94=""),"",IF($E94&lt;$M94,0,NETWORKDAYS($M94,$E94,calendar!$A$2:$A$80)))</f>
        <v>1</v>
      </c>
      <c r="O94" s="30" t="str">
        <f aca="false">IF($B94="","",IF(AND($K94="Y",OR($D94="later",$J94="Y")),"Y","N"))</f>
        <v>Y</v>
      </c>
      <c r="P94" s="30" t="str">
        <f aca="false">IF(OR($B94="",$E94=""),"",$B94&amp;"_"&amp;$C94&amp;"_"&amp;$D94&amp;"_"&amp;TEXT($E94,"yyyy-mm-dd")&amp;".jpg")</f>
        <v>SAMPLE-CMP-006_SAMPLE-O-009_placement_2027-02-23.jpg</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SAMPLE-CMP-006|SAMPLE-O-009|placement|Y</v>
      </c>
      <c r="S94" s="30" t="str">
        <f aca="false">IF($B94="","",$R94&amp;"|"&amp;N($E94))</f>
        <v>SAMPLE-CMP-006|SAMPLE-O-009|placement|Y|46441</v>
      </c>
    </row>
    <row r="95" customFormat="false" ht="15" hidden="false" customHeight="false" outlineLevel="0" collapsed="false">
      <c r="A95" s="0" t="s">
        <v>917</v>
      </c>
      <c r="B95" s="0" t="s">
        <v>563</v>
      </c>
      <c r="C95" s="0" t="s">
        <v>696</v>
      </c>
      <c r="D95" s="10" t="s">
        <v>970</v>
      </c>
      <c r="E95" s="11" t="n">
        <v>46447</v>
      </c>
      <c r="F95" s="38" t="n">
        <v>0.625</v>
      </c>
      <c r="G95" s="10" t="s">
        <v>137</v>
      </c>
      <c r="H95" s="10" t="s">
        <v>1069</v>
      </c>
      <c r="I95" s="11" t="n">
        <v>46447</v>
      </c>
      <c r="J95" s="10" t="s">
        <v>486</v>
      </c>
      <c r="K95" s="10" t="s">
        <v>486</v>
      </c>
      <c r="M95" s="31" t="n">
        <f aca="false">IF($B95="","",IFERROR(IF(INDEX(campaigns!$BG$2:$BG$51,MATCH($B95,campaigns!$A$2:$A$51,0))="","",INDEX(campaigns!$BG$2:$BG$51,MATCH($B95,campaigns!$A$2:$A$51,0))),""))</f>
        <v>46441</v>
      </c>
      <c r="N95" s="30" t="n">
        <f aca="false">IF(OR($B95="",$E95="",$M95=""),"",IF($E95&lt;$M95,0,NETWORKDAYS($M95,$E95,calendar!$A$2:$A$80)))</f>
        <v>5</v>
      </c>
      <c r="O95" s="30" t="str">
        <f aca="false">IF($B95="","",IF(AND($K95="Y",OR($D95="later",$J95="Y")),"Y","N"))</f>
        <v>Y</v>
      </c>
      <c r="P95" s="30" t="str">
        <f aca="false">IF(OR($B95="",$E95=""),"",$B95&amp;"_"&amp;$C95&amp;"_"&amp;$D95&amp;"_"&amp;TEXT($E95,"yyyy-mm-dd")&amp;".jpg")</f>
        <v>SAMPLE-CMP-006_SAMPLE-O-009_later_2027-03-01.jpg</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SAMPLE-CMP-006|SAMPLE-O-009|later|Y</v>
      </c>
      <c r="S95" s="30" t="str">
        <f aca="false">IF($B95="","",$R95&amp;"|"&amp;N($E95))</f>
        <v>SAMPLE-CMP-006|SAMPLE-O-009|later|Y|46447</v>
      </c>
    </row>
    <row r="96" customFormat="false" ht="15" hidden="false" customHeight="false" outlineLevel="0" collapsed="false">
      <c r="A96" s="0" t="s">
        <v>918</v>
      </c>
      <c r="B96" s="0" t="s">
        <v>563</v>
      </c>
      <c r="C96" s="0" t="s">
        <v>698</v>
      </c>
      <c r="D96" s="10" t="s">
        <v>968</v>
      </c>
      <c r="E96" s="11" t="n">
        <v>46441</v>
      </c>
      <c r="F96" s="38" t="n">
        <v>0.541666666666667</v>
      </c>
      <c r="G96" s="10" t="s">
        <v>137</v>
      </c>
      <c r="H96" s="10" t="s">
        <v>1070</v>
      </c>
      <c r="I96" s="11" t="n">
        <v>46441</v>
      </c>
      <c r="J96" s="10" t="s">
        <v>486</v>
      </c>
      <c r="K96" s="10" t="s">
        <v>486</v>
      </c>
      <c r="M96" s="31" t="n">
        <f aca="false">IF($B96="","",IFERROR(IF(INDEX(campaigns!$BG$2:$BG$51,MATCH($B96,campaigns!$A$2:$A$51,0))="","",INDEX(campaigns!$BG$2:$BG$51,MATCH($B96,campaigns!$A$2:$A$51,0))),""))</f>
        <v>46441</v>
      </c>
      <c r="N96" s="30" t="n">
        <f aca="false">IF(OR($B96="",$E96="",$M96=""),"",IF($E96&lt;$M96,0,NETWORKDAYS($M96,$E96,calendar!$A$2:$A$80)))</f>
        <v>1</v>
      </c>
      <c r="O96" s="30" t="str">
        <f aca="false">IF($B96="","",IF(AND($K96="Y",OR($D96="later",$J96="Y")),"Y","N"))</f>
        <v>Y</v>
      </c>
      <c r="P96" s="30" t="str">
        <f aca="false">IF(OR($B96="",$E96=""),"",$B96&amp;"_"&amp;$C96&amp;"_"&amp;$D96&amp;"_"&amp;TEXT($E96,"yyyy-mm-dd")&amp;".jpg")</f>
        <v>SAMPLE-CMP-006_SAMPLE-O-010_placement_2027-02-23.jpg</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SAMPLE-CMP-006|SAMPLE-O-010|placement|Y</v>
      </c>
      <c r="S96" s="30" t="str">
        <f aca="false">IF($B96="","",$R96&amp;"|"&amp;N($E96))</f>
        <v>SAMPLE-CMP-006|SAMPLE-O-010|placement|Y|46441</v>
      </c>
    </row>
    <row r="97" customFormat="false" ht="15" hidden="false" customHeight="false" outlineLevel="0" collapsed="false">
      <c r="A97" s="0" t="s">
        <v>919</v>
      </c>
      <c r="B97" s="0" t="s">
        <v>563</v>
      </c>
      <c r="C97" s="0" t="s">
        <v>698</v>
      </c>
      <c r="D97" s="10" t="s">
        <v>970</v>
      </c>
      <c r="E97" s="11" t="n">
        <v>46447</v>
      </c>
      <c r="F97" s="38" t="n">
        <v>0.625</v>
      </c>
      <c r="G97" s="10" t="s">
        <v>137</v>
      </c>
      <c r="H97" s="10" t="s">
        <v>1071</v>
      </c>
      <c r="I97" s="11" t="n">
        <v>46447</v>
      </c>
      <c r="J97" s="10" t="s">
        <v>486</v>
      </c>
      <c r="K97" s="10" t="s">
        <v>486</v>
      </c>
      <c r="M97" s="31" t="n">
        <f aca="false">IF($B97="","",IFERROR(IF(INDEX(campaigns!$BG$2:$BG$51,MATCH($B97,campaigns!$A$2:$A$51,0))="","",INDEX(campaigns!$BG$2:$BG$51,MATCH($B97,campaigns!$A$2:$A$51,0))),""))</f>
        <v>46441</v>
      </c>
      <c r="N97" s="30" t="n">
        <f aca="false">IF(OR($B97="",$E97="",$M97=""),"",IF($E97&lt;$M97,0,NETWORKDAYS($M97,$E97,calendar!$A$2:$A$80)))</f>
        <v>5</v>
      </c>
      <c r="O97" s="30" t="str">
        <f aca="false">IF($B97="","",IF(AND($K97="Y",OR($D97="later",$J97="Y")),"Y","N"))</f>
        <v>Y</v>
      </c>
      <c r="P97" s="30" t="str">
        <f aca="false">IF(OR($B97="",$E97=""),"",$B97&amp;"_"&amp;$C97&amp;"_"&amp;$D97&amp;"_"&amp;TEXT($E97,"yyyy-mm-dd")&amp;".jpg")</f>
        <v>SAMPLE-CMP-006_SAMPLE-O-010_later_2027-03-01.jpg</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SAMPLE-CMP-006|SAMPLE-O-010|later|Y</v>
      </c>
      <c r="S97" s="30" t="str">
        <f aca="false">IF($B97="","",$R97&amp;"|"&amp;N($E97))</f>
        <v>SAMPLE-CMP-006|SAMPLE-O-010|later|Y|46447</v>
      </c>
    </row>
    <row r="98" customFormat="false" ht="15" hidden="false" customHeight="false" outlineLevel="0" collapsed="false">
      <c r="A98" s="0" t="s">
        <v>920</v>
      </c>
      <c r="B98" s="0" t="s">
        <v>576</v>
      </c>
      <c r="C98" s="0" t="s">
        <v>678</v>
      </c>
      <c r="D98" s="10" t="s">
        <v>968</v>
      </c>
      <c r="E98" s="11" t="n">
        <v>46469</v>
      </c>
      <c r="F98" s="38" t="n">
        <v>0.541666666666667</v>
      </c>
      <c r="G98" s="10" t="s">
        <v>137</v>
      </c>
      <c r="H98" s="10" t="s">
        <v>1072</v>
      </c>
      <c r="I98" s="11" t="n">
        <v>46469</v>
      </c>
      <c r="J98" s="10" t="s">
        <v>486</v>
      </c>
      <c r="K98" s="10" t="s">
        <v>486</v>
      </c>
      <c r="M98" s="31" t="n">
        <f aca="false">IF($B98="","",IFERROR(IF(INDEX(campaigns!$BG$2:$BG$51,MATCH($B98,campaigns!$A$2:$A$51,0))="","",INDEX(campaigns!$BG$2:$BG$51,MATCH($B98,campaigns!$A$2:$A$51,0))),""))</f>
        <v>46469</v>
      </c>
      <c r="N98" s="30" t="n">
        <f aca="false">IF(OR($B98="",$E98="",$M98=""),"",IF($E98&lt;$M98,0,NETWORKDAYS($M98,$E98,calendar!$A$2:$A$80)))</f>
        <v>1</v>
      </c>
      <c r="O98" s="30" t="str">
        <f aca="false">IF($B98="","",IF(AND($K98="Y",OR($D98="later",$J98="Y")),"Y","N"))</f>
        <v>Y</v>
      </c>
      <c r="P98" s="30" t="str">
        <f aca="false">IF(OR($B98="",$E98=""),"",$B98&amp;"_"&amp;$C98&amp;"_"&amp;$D98&amp;"_"&amp;TEXT($E98,"yyyy-mm-dd")&amp;".jpg")</f>
        <v>SAMPLE-CMP-007_SAMPLE-O-001_placement_2027-03-23.jpg</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SAMPLE-CMP-007|SAMPLE-O-001|placement|Y</v>
      </c>
      <c r="S98" s="30" t="str">
        <f aca="false">IF($B98="","",$R98&amp;"|"&amp;N($E98))</f>
        <v>SAMPLE-CMP-007|SAMPLE-O-001|placement|Y|46469</v>
      </c>
    </row>
    <row r="99" customFormat="false" ht="15" hidden="false" customHeight="false" outlineLevel="0" collapsed="false">
      <c r="A99" s="0" t="s">
        <v>921</v>
      </c>
      <c r="B99" s="0" t="s">
        <v>576</v>
      </c>
      <c r="C99" s="0" t="s">
        <v>678</v>
      </c>
      <c r="D99" s="10" t="s">
        <v>970</v>
      </c>
      <c r="E99" s="11" t="n">
        <v>46475</v>
      </c>
      <c r="F99" s="38" t="n">
        <v>0.625</v>
      </c>
      <c r="G99" s="10" t="s">
        <v>137</v>
      </c>
      <c r="H99" s="10" t="s">
        <v>1073</v>
      </c>
      <c r="I99" s="11" t="n">
        <v>46475</v>
      </c>
      <c r="J99" s="10" t="s">
        <v>486</v>
      </c>
      <c r="K99" s="10" t="s">
        <v>486</v>
      </c>
      <c r="M99" s="31" t="n">
        <f aca="false">IF($B99="","",IFERROR(IF(INDEX(campaigns!$BG$2:$BG$51,MATCH($B99,campaigns!$A$2:$A$51,0))="","",INDEX(campaigns!$BG$2:$BG$51,MATCH($B99,campaigns!$A$2:$A$51,0))),""))</f>
        <v>46469</v>
      </c>
      <c r="N99" s="30" t="n">
        <f aca="false">IF(OR($B99="",$E99="",$M99=""),"",IF($E99&lt;$M99,0,NETWORKDAYS($M99,$E99,calendar!$A$2:$A$80)))</f>
        <v>5</v>
      </c>
      <c r="O99" s="30" t="str">
        <f aca="false">IF($B99="","",IF(AND($K99="Y",OR($D99="later",$J99="Y")),"Y","N"))</f>
        <v>Y</v>
      </c>
      <c r="P99" s="30" t="str">
        <f aca="false">IF(OR($B99="",$E99=""),"",$B99&amp;"_"&amp;$C99&amp;"_"&amp;$D99&amp;"_"&amp;TEXT($E99,"yyyy-mm-dd")&amp;".jpg")</f>
        <v>SAMPLE-CMP-007_SAMPLE-O-001_later_2027-03-29.jpg</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SAMPLE-CMP-007|SAMPLE-O-001|later|Y</v>
      </c>
      <c r="S99" s="30" t="str">
        <f aca="false">IF($B99="","",$R99&amp;"|"&amp;N($E99))</f>
        <v>SAMPLE-CMP-007|SAMPLE-O-001|later|Y|46475</v>
      </c>
    </row>
    <row r="100" customFormat="false" ht="15" hidden="false" customHeight="false" outlineLevel="0" collapsed="false">
      <c r="A100" s="0" t="s">
        <v>922</v>
      </c>
      <c r="B100" s="0" t="s">
        <v>576</v>
      </c>
      <c r="C100" s="0" t="s">
        <v>681</v>
      </c>
      <c r="D100" s="10" t="s">
        <v>968</v>
      </c>
      <c r="E100" s="11" t="n">
        <v>46469</v>
      </c>
      <c r="F100" s="38" t="n">
        <v>0.541666666666667</v>
      </c>
      <c r="G100" s="10" t="s">
        <v>137</v>
      </c>
      <c r="H100" s="10" t="s">
        <v>1074</v>
      </c>
      <c r="I100" s="11" t="n">
        <v>46469</v>
      </c>
      <c r="J100" s="10" t="s">
        <v>486</v>
      </c>
      <c r="K100" s="10" t="s">
        <v>486</v>
      </c>
      <c r="M100" s="31" t="n">
        <f aca="false">IF($B100="","",IFERROR(IF(INDEX(campaigns!$BG$2:$BG$51,MATCH($B100,campaigns!$A$2:$A$51,0))="","",INDEX(campaigns!$BG$2:$BG$51,MATCH($B100,campaigns!$A$2:$A$51,0))),""))</f>
        <v>46469</v>
      </c>
      <c r="N100" s="30" t="n">
        <f aca="false">IF(OR($B100="",$E100="",$M100=""),"",IF($E100&lt;$M100,0,NETWORKDAYS($M100,$E100,calendar!$A$2:$A$80)))</f>
        <v>1</v>
      </c>
      <c r="O100" s="30" t="str">
        <f aca="false">IF($B100="","",IF(AND($K100="Y",OR($D100="later",$J100="Y")),"Y","N"))</f>
        <v>Y</v>
      </c>
      <c r="P100" s="30" t="str">
        <f aca="false">IF(OR($B100="",$E100=""),"",$B100&amp;"_"&amp;$C100&amp;"_"&amp;$D100&amp;"_"&amp;TEXT($E100,"yyyy-mm-dd")&amp;".jpg")</f>
        <v>SAMPLE-CMP-007_SAMPLE-O-002_placement_2027-03-23.jpg</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SAMPLE-CMP-007|SAMPLE-O-002|placement|Y</v>
      </c>
      <c r="S100" s="30" t="str">
        <f aca="false">IF($B100="","",$R100&amp;"|"&amp;N($E100))</f>
        <v>SAMPLE-CMP-007|SAMPLE-O-002|placement|Y|46469</v>
      </c>
    </row>
    <row r="101" customFormat="false" ht="15" hidden="false" customHeight="false" outlineLevel="0" collapsed="false">
      <c r="A101" s="0" t="s">
        <v>923</v>
      </c>
      <c r="B101" s="0" t="s">
        <v>576</v>
      </c>
      <c r="C101" s="0" t="s">
        <v>681</v>
      </c>
      <c r="D101" s="10" t="s">
        <v>970</v>
      </c>
      <c r="E101" s="11" t="n">
        <v>46475</v>
      </c>
      <c r="F101" s="38" t="n">
        <v>0.625</v>
      </c>
      <c r="G101" s="10" t="s">
        <v>137</v>
      </c>
      <c r="H101" s="10" t="s">
        <v>1075</v>
      </c>
      <c r="I101" s="11" t="n">
        <v>46475</v>
      </c>
      <c r="J101" s="10" t="s">
        <v>486</v>
      </c>
      <c r="K101" s="10" t="s">
        <v>486</v>
      </c>
      <c r="M101" s="31" t="n">
        <f aca="false">IF($B101="","",IFERROR(IF(INDEX(campaigns!$BG$2:$BG$51,MATCH($B101,campaigns!$A$2:$A$51,0))="","",INDEX(campaigns!$BG$2:$BG$51,MATCH($B101,campaigns!$A$2:$A$51,0))),""))</f>
        <v>46469</v>
      </c>
      <c r="N101" s="30" t="n">
        <f aca="false">IF(OR($B101="",$E101="",$M101=""),"",IF($E101&lt;$M101,0,NETWORKDAYS($M101,$E101,calendar!$A$2:$A$80)))</f>
        <v>5</v>
      </c>
      <c r="O101" s="30" t="str">
        <f aca="false">IF($B101="","",IF(AND($K101="Y",OR($D101="later",$J101="Y")),"Y","N"))</f>
        <v>Y</v>
      </c>
      <c r="P101" s="30" t="str">
        <f aca="false">IF(OR($B101="",$E101=""),"",$B101&amp;"_"&amp;$C101&amp;"_"&amp;$D101&amp;"_"&amp;TEXT($E101,"yyyy-mm-dd")&amp;".jpg")</f>
        <v>SAMPLE-CMP-007_SAMPLE-O-002_later_2027-03-29.jpg</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SAMPLE-CMP-007|SAMPLE-O-002|later|Y</v>
      </c>
      <c r="S101" s="30" t="str">
        <f aca="false">IF($B101="","",$R101&amp;"|"&amp;N($E101))</f>
        <v>SAMPLE-CMP-007|SAMPLE-O-002|later|Y|46475</v>
      </c>
    </row>
    <row r="102" customFormat="false" ht="15" hidden="false" customHeight="false" outlineLevel="0" collapsed="false">
      <c r="A102" s="0" t="s">
        <v>924</v>
      </c>
      <c r="B102" s="0" t="s">
        <v>576</v>
      </c>
      <c r="C102" s="0" t="s">
        <v>683</v>
      </c>
      <c r="D102" s="10" t="s">
        <v>968</v>
      </c>
      <c r="E102" s="11" t="n">
        <v>46469</v>
      </c>
      <c r="F102" s="38" t="n">
        <v>0.541666666666667</v>
      </c>
      <c r="G102" s="10" t="s">
        <v>137</v>
      </c>
      <c r="H102" s="10" t="s">
        <v>1076</v>
      </c>
      <c r="I102" s="11" t="n">
        <v>46469</v>
      </c>
      <c r="J102" s="10" t="s">
        <v>486</v>
      </c>
      <c r="K102" s="10" t="s">
        <v>486</v>
      </c>
      <c r="M102" s="31" t="n">
        <f aca="false">IF($B102="","",IFERROR(IF(INDEX(campaigns!$BG$2:$BG$51,MATCH($B102,campaigns!$A$2:$A$51,0))="","",INDEX(campaigns!$BG$2:$BG$51,MATCH($B102,campaigns!$A$2:$A$51,0))),""))</f>
        <v>46469</v>
      </c>
      <c r="N102" s="30" t="n">
        <f aca="false">IF(OR($B102="",$E102="",$M102=""),"",IF($E102&lt;$M102,0,NETWORKDAYS($M102,$E102,calendar!$A$2:$A$80)))</f>
        <v>1</v>
      </c>
      <c r="O102" s="30" t="str">
        <f aca="false">IF($B102="","",IF(AND($K102="Y",OR($D102="later",$J102="Y")),"Y","N"))</f>
        <v>Y</v>
      </c>
      <c r="P102" s="30" t="str">
        <f aca="false">IF(OR($B102="",$E102=""),"",$B102&amp;"_"&amp;$C102&amp;"_"&amp;$D102&amp;"_"&amp;TEXT($E102,"yyyy-mm-dd")&amp;".jpg")</f>
        <v>SAMPLE-CMP-007_SAMPLE-O-003_placement_2027-03-23.jpg</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SAMPLE-CMP-007|SAMPLE-O-003|placement|Y</v>
      </c>
      <c r="S102" s="30" t="str">
        <f aca="false">IF($B102="","",$R102&amp;"|"&amp;N($E102))</f>
        <v>SAMPLE-CMP-007|SAMPLE-O-003|placement|Y|46469</v>
      </c>
    </row>
    <row r="103" customFormat="false" ht="15" hidden="false" customHeight="false" outlineLevel="0" collapsed="false">
      <c r="A103" s="0" t="s">
        <v>925</v>
      </c>
      <c r="B103" s="0" t="s">
        <v>576</v>
      </c>
      <c r="C103" s="0" t="s">
        <v>683</v>
      </c>
      <c r="D103" s="10" t="s">
        <v>970</v>
      </c>
      <c r="E103" s="11" t="n">
        <v>46475</v>
      </c>
      <c r="F103" s="38" t="n">
        <v>0.625</v>
      </c>
      <c r="G103" s="10" t="s">
        <v>137</v>
      </c>
      <c r="H103" s="10" t="s">
        <v>1077</v>
      </c>
      <c r="I103" s="11" t="n">
        <v>46475</v>
      </c>
      <c r="J103" s="10" t="s">
        <v>486</v>
      </c>
      <c r="K103" s="10" t="s">
        <v>486</v>
      </c>
      <c r="M103" s="31" t="n">
        <f aca="false">IF($B103="","",IFERROR(IF(INDEX(campaigns!$BG$2:$BG$51,MATCH($B103,campaigns!$A$2:$A$51,0))="","",INDEX(campaigns!$BG$2:$BG$51,MATCH($B103,campaigns!$A$2:$A$51,0))),""))</f>
        <v>46469</v>
      </c>
      <c r="N103" s="30" t="n">
        <f aca="false">IF(OR($B103="",$E103="",$M103=""),"",IF($E103&lt;$M103,0,NETWORKDAYS($M103,$E103,calendar!$A$2:$A$80)))</f>
        <v>5</v>
      </c>
      <c r="O103" s="30" t="str">
        <f aca="false">IF($B103="","",IF(AND($K103="Y",OR($D103="later",$J103="Y")),"Y","N"))</f>
        <v>Y</v>
      </c>
      <c r="P103" s="30" t="str">
        <f aca="false">IF(OR($B103="",$E103=""),"",$B103&amp;"_"&amp;$C103&amp;"_"&amp;$D103&amp;"_"&amp;TEXT($E103,"yyyy-mm-dd")&amp;".jpg")</f>
        <v>SAMPLE-CMP-007_SAMPLE-O-003_later_2027-03-29.jpg</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SAMPLE-CMP-007|SAMPLE-O-003|later|Y</v>
      </c>
      <c r="S103" s="30" t="str">
        <f aca="false">IF($B103="","",$R103&amp;"|"&amp;N($E103))</f>
        <v>SAMPLE-CMP-007|SAMPLE-O-003|later|Y|46475</v>
      </c>
    </row>
    <row r="104" customFormat="false" ht="15" hidden="false" customHeight="false" outlineLevel="0" collapsed="false">
      <c r="A104" s="0" t="s">
        <v>926</v>
      </c>
      <c r="B104" s="0" t="s">
        <v>576</v>
      </c>
      <c r="C104" s="0" t="s">
        <v>686</v>
      </c>
      <c r="D104" s="10" t="s">
        <v>968</v>
      </c>
      <c r="E104" s="11" t="n">
        <v>46469</v>
      </c>
      <c r="F104" s="38" t="n">
        <v>0.541666666666667</v>
      </c>
      <c r="G104" s="10" t="s">
        <v>137</v>
      </c>
      <c r="H104" s="10" t="s">
        <v>1078</v>
      </c>
      <c r="I104" s="11" t="n">
        <v>46469</v>
      </c>
      <c r="J104" s="10" t="s">
        <v>486</v>
      </c>
      <c r="K104" s="10" t="s">
        <v>486</v>
      </c>
      <c r="M104" s="31" t="n">
        <f aca="false">IF($B104="","",IFERROR(IF(INDEX(campaigns!$BG$2:$BG$51,MATCH($B104,campaigns!$A$2:$A$51,0))="","",INDEX(campaigns!$BG$2:$BG$51,MATCH($B104,campaigns!$A$2:$A$51,0))),""))</f>
        <v>46469</v>
      </c>
      <c r="N104" s="30" t="n">
        <f aca="false">IF(OR($B104="",$E104="",$M104=""),"",IF($E104&lt;$M104,0,NETWORKDAYS($M104,$E104,calendar!$A$2:$A$80)))</f>
        <v>1</v>
      </c>
      <c r="O104" s="30" t="str">
        <f aca="false">IF($B104="","",IF(AND($K104="Y",OR($D104="later",$J104="Y")),"Y","N"))</f>
        <v>Y</v>
      </c>
      <c r="P104" s="30" t="str">
        <f aca="false">IF(OR($B104="",$E104=""),"",$B104&amp;"_"&amp;$C104&amp;"_"&amp;$D104&amp;"_"&amp;TEXT($E104,"yyyy-mm-dd")&amp;".jpg")</f>
        <v>SAMPLE-CMP-007_SAMPLE-O-004_placement_2027-03-23.jpg</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SAMPLE-CMP-007|SAMPLE-O-004|placement|Y</v>
      </c>
      <c r="S104" s="30" t="str">
        <f aca="false">IF($B104="","",$R104&amp;"|"&amp;N($E104))</f>
        <v>SAMPLE-CMP-007|SAMPLE-O-004|placement|Y|46469</v>
      </c>
    </row>
    <row r="105" customFormat="false" ht="15" hidden="false" customHeight="false" outlineLevel="0" collapsed="false">
      <c r="A105" s="0" t="s">
        <v>927</v>
      </c>
      <c r="B105" s="0" t="s">
        <v>576</v>
      </c>
      <c r="C105" s="0" t="s">
        <v>686</v>
      </c>
      <c r="D105" s="10" t="s">
        <v>970</v>
      </c>
      <c r="E105" s="11" t="n">
        <v>46475</v>
      </c>
      <c r="F105" s="38" t="n">
        <v>0.625</v>
      </c>
      <c r="G105" s="10" t="s">
        <v>137</v>
      </c>
      <c r="H105" s="10" t="s">
        <v>1079</v>
      </c>
      <c r="I105" s="11" t="n">
        <v>46475</v>
      </c>
      <c r="J105" s="10" t="s">
        <v>486</v>
      </c>
      <c r="K105" s="10" t="s">
        <v>486</v>
      </c>
      <c r="M105" s="31" t="n">
        <f aca="false">IF($B105="","",IFERROR(IF(INDEX(campaigns!$BG$2:$BG$51,MATCH($B105,campaigns!$A$2:$A$51,0))="","",INDEX(campaigns!$BG$2:$BG$51,MATCH($B105,campaigns!$A$2:$A$51,0))),""))</f>
        <v>46469</v>
      </c>
      <c r="N105" s="30" t="n">
        <f aca="false">IF(OR($B105="",$E105="",$M105=""),"",IF($E105&lt;$M105,0,NETWORKDAYS($M105,$E105,calendar!$A$2:$A$80)))</f>
        <v>5</v>
      </c>
      <c r="O105" s="30" t="str">
        <f aca="false">IF($B105="","",IF(AND($K105="Y",OR($D105="later",$J105="Y")),"Y","N"))</f>
        <v>Y</v>
      </c>
      <c r="P105" s="30" t="str">
        <f aca="false">IF(OR($B105="",$E105=""),"",$B105&amp;"_"&amp;$C105&amp;"_"&amp;$D105&amp;"_"&amp;TEXT($E105,"yyyy-mm-dd")&amp;".jpg")</f>
        <v>SAMPLE-CMP-007_SAMPLE-O-004_later_2027-03-29.jpg</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SAMPLE-CMP-007|SAMPLE-O-004|later|Y</v>
      </c>
      <c r="S105" s="30" t="str">
        <f aca="false">IF($B105="","",$R105&amp;"|"&amp;N($E105))</f>
        <v>SAMPLE-CMP-007|SAMPLE-O-004|later|Y|46475</v>
      </c>
    </row>
    <row r="106" customFormat="false" ht="15" hidden="false" customHeight="false" outlineLevel="0" collapsed="false">
      <c r="A106" s="0" t="s">
        <v>928</v>
      </c>
      <c r="B106" s="0" t="s">
        <v>576</v>
      </c>
      <c r="C106" s="0" t="s">
        <v>688</v>
      </c>
      <c r="D106" s="10" t="s">
        <v>968</v>
      </c>
      <c r="E106" s="11" t="n">
        <v>46469</v>
      </c>
      <c r="F106" s="38" t="n">
        <v>0.541666666666667</v>
      </c>
      <c r="G106" s="10" t="s">
        <v>137</v>
      </c>
      <c r="H106" s="10" t="s">
        <v>1080</v>
      </c>
      <c r="I106" s="11" t="n">
        <v>46469</v>
      </c>
      <c r="J106" s="10" t="s">
        <v>486</v>
      </c>
      <c r="K106" s="10" t="s">
        <v>486</v>
      </c>
      <c r="M106" s="31" t="n">
        <f aca="false">IF($B106="","",IFERROR(IF(INDEX(campaigns!$BG$2:$BG$51,MATCH($B106,campaigns!$A$2:$A$51,0))="","",INDEX(campaigns!$BG$2:$BG$51,MATCH($B106,campaigns!$A$2:$A$51,0))),""))</f>
        <v>46469</v>
      </c>
      <c r="N106" s="30" t="n">
        <f aca="false">IF(OR($B106="",$E106="",$M106=""),"",IF($E106&lt;$M106,0,NETWORKDAYS($M106,$E106,calendar!$A$2:$A$80)))</f>
        <v>1</v>
      </c>
      <c r="O106" s="30" t="str">
        <f aca="false">IF($B106="","",IF(AND($K106="Y",OR($D106="later",$J106="Y")),"Y","N"))</f>
        <v>Y</v>
      </c>
      <c r="P106" s="30" t="str">
        <f aca="false">IF(OR($B106="",$E106=""),"",$B106&amp;"_"&amp;$C106&amp;"_"&amp;$D106&amp;"_"&amp;TEXT($E106,"yyyy-mm-dd")&amp;".jpg")</f>
        <v>SAMPLE-CMP-007_SAMPLE-O-005_placement_2027-03-23.jpg</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SAMPLE-CMP-007|SAMPLE-O-005|placement|Y</v>
      </c>
      <c r="S106" s="30" t="str">
        <f aca="false">IF($B106="","",$R106&amp;"|"&amp;N($E106))</f>
        <v>SAMPLE-CMP-007|SAMPLE-O-005|placement|Y|46469</v>
      </c>
    </row>
    <row r="107" customFormat="false" ht="15" hidden="false" customHeight="false" outlineLevel="0" collapsed="false">
      <c r="A107" s="0" t="s">
        <v>929</v>
      </c>
      <c r="B107" s="0" t="s">
        <v>576</v>
      </c>
      <c r="C107" s="0" t="s">
        <v>688</v>
      </c>
      <c r="D107" s="10" t="s">
        <v>970</v>
      </c>
      <c r="E107" s="11" t="n">
        <v>46475</v>
      </c>
      <c r="F107" s="38" t="n">
        <v>0.625</v>
      </c>
      <c r="G107" s="10" t="s">
        <v>137</v>
      </c>
      <c r="H107" s="10" t="s">
        <v>1081</v>
      </c>
      <c r="I107" s="11" t="n">
        <v>46475</v>
      </c>
      <c r="J107" s="10" t="s">
        <v>486</v>
      </c>
      <c r="K107" s="10" t="s">
        <v>486</v>
      </c>
      <c r="M107" s="31" t="n">
        <f aca="false">IF($B107="","",IFERROR(IF(INDEX(campaigns!$BG$2:$BG$51,MATCH($B107,campaigns!$A$2:$A$51,0))="","",INDEX(campaigns!$BG$2:$BG$51,MATCH($B107,campaigns!$A$2:$A$51,0))),""))</f>
        <v>46469</v>
      </c>
      <c r="N107" s="30" t="n">
        <f aca="false">IF(OR($B107="",$E107="",$M107=""),"",IF($E107&lt;$M107,0,NETWORKDAYS($M107,$E107,calendar!$A$2:$A$80)))</f>
        <v>5</v>
      </c>
      <c r="O107" s="30" t="str">
        <f aca="false">IF($B107="","",IF(AND($K107="Y",OR($D107="later",$J107="Y")),"Y","N"))</f>
        <v>Y</v>
      </c>
      <c r="P107" s="30" t="str">
        <f aca="false">IF(OR($B107="",$E107=""),"",$B107&amp;"_"&amp;$C107&amp;"_"&amp;$D107&amp;"_"&amp;TEXT($E107,"yyyy-mm-dd")&amp;".jpg")</f>
        <v>SAMPLE-CMP-007_SAMPLE-O-005_later_2027-03-29.jpg</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SAMPLE-CMP-007|SAMPLE-O-005|later|Y</v>
      </c>
      <c r="S107" s="30" t="str">
        <f aca="false">IF($B107="","",$R107&amp;"|"&amp;N($E107))</f>
        <v>SAMPLE-CMP-007|SAMPLE-O-005|later|Y|46475</v>
      </c>
    </row>
    <row r="108" customFormat="false" ht="15" hidden="false" customHeight="false" outlineLevel="0" collapsed="false">
      <c r="A108" s="0" t="s">
        <v>930</v>
      </c>
      <c r="B108" s="0" t="s">
        <v>576</v>
      </c>
      <c r="C108" s="0" t="s">
        <v>690</v>
      </c>
      <c r="D108" s="10" t="s">
        <v>968</v>
      </c>
      <c r="E108" s="11" t="n">
        <v>46469</v>
      </c>
      <c r="F108" s="38" t="n">
        <v>0.541666666666667</v>
      </c>
      <c r="G108" s="10" t="s">
        <v>137</v>
      </c>
      <c r="H108" s="10" t="s">
        <v>1082</v>
      </c>
      <c r="I108" s="11" t="n">
        <v>46469</v>
      </c>
      <c r="J108" s="10" t="s">
        <v>486</v>
      </c>
      <c r="K108" s="10" t="s">
        <v>486</v>
      </c>
      <c r="M108" s="31" t="n">
        <f aca="false">IF($B108="","",IFERROR(IF(INDEX(campaigns!$BG$2:$BG$51,MATCH($B108,campaigns!$A$2:$A$51,0))="","",INDEX(campaigns!$BG$2:$BG$51,MATCH($B108,campaigns!$A$2:$A$51,0))),""))</f>
        <v>46469</v>
      </c>
      <c r="N108" s="30" t="n">
        <f aca="false">IF(OR($B108="",$E108="",$M108=""),"",IF($E108&lt;$M108,0,NETWORKDAYS($M108,$E108,calendar!$A$2:$A$80)))</f>
        <v>1</v>
      </c>
      <c r="O108" s="30" t="str">
        <f aca="false">IF($B108="","",IF(AND($K108="Y",OR($D108="later",$J108="Y")),"Y","N"))</f>
        <v>Y</v>
      </c>
      <c r="P108" s="30" t="str">
        <f aca="false">IF(OR($B108="",$E108=""),"",$B108&amp;"_"&amp;$C108&amp;"_"&amp;$D108&amp;"_"&amp;TEXT($E108,"yyyy-mm-dd")&amp;".jpg")</f>
        <v>SAMPLE-CMP-007_SAMPLE-O-006_placement_2027-03-23.jpg</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SAMPLE-CMP-007|SAMPLE-O-006|placement|Y</v>
      </c>
      <c r="S108" s="30" t="str">
        <f aca="false">IF($B108="","",$R108&amp;"|"&amp;N($E108))</f>
        <v>SAMPLE-CMP-007|SAMPLE-O-006|placement|Y|46469</v>
      </c>
    </row>
    <row r="109" customFormat="false" ht="15" hidden="false" customHeight="false" outlineLevel="0" collapsed="false">
      <c r="A109" s="0" t="s">
        <v>931</v>
      </c>
      <c r="B109" s="0" t="s">
        <v>576</v>
      </c>
      <c r="C109" s="0" t="s">
        <v>690</v>
      </c>
      <c r="D109" s="10" t="s">
        <v>970</v>
      </c>
      <c r="E109" s="11" t="n">
        <v>46475</v>
      </c>
      <c r="F109" s="38" t="n">
        <v>0.625</v>
      </c>
      <c r="G109" s="10" t="s">
        <v>137</v>
      </c>
      <c r="H109" s="10" t="s">
        <v>1083</v>
      </c>
      <c r="I109" s="11" t="n">
        <v>46475</v>
      </c>
      <c r="J109" s="10" t="s">
        <v>486</v>
      </c>
      <c r="K109" s="10" t="s">
        <v>486</v>
      </c>
      <c r="M109" s="31" t="n">
        <f aca="false">IF($B109="","",IFERROR(IF(INDEX(campaigns!$BG$2:$BG$51,MATCH($B109,campaigns!$A$2:$A$51,0))="","",INDEX(campaigns!$BG$2:$BG$51,MATCH($B109,campaigns!$A$2:$A$51,0))),""))</f>
        <v>46469</v>
      </c>
      <c r="N109" s="30" t="n">
        <f aca="false">IF(OR($B109="",$E109="",$M109=""),"",IF($E109&lt;$M109,0,NETWORKDAYS($M109,$E109,calendar!$A$2:$A$80)))</f>
        <v>5</v>
      </c>
      <c r="O109" s="30" t="str">
        <f aca="false">IF($B109="","",IF(AND($K109="Y",OR($D109="later",$J109="Y")),"Y","N"))</f>
        <v>Y</v>
      </c>
      <c r="P109" s="30" t="str">
        <f aca="false">IF(OR($B109="",$E109=""),"",$B109&amp;"_"&amp;$C109&amp;"_"&amp;$D109&amp;"_"&amp;TEXT($E109,"yyyy-mm-dd")&amp;".jpg")</f>
        <v>SAMPLE-CMP-007_SAMPLE-O-006_later_2027-03-29.jpg</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SAMPLE-CMP-007|SAMPLE-O-006|later|Y</v>
      </c>
      <c r="S109" s="30" t="str">
        <f aca="false">IF($B109="","",$R109&amp;"|"&amp;N($E109))</f>
        <v>SAMPLE-CMP-007|SAMPLE-O-006|later|Y|46475</v>
      </c>
    </row>
    <row r="110" customFormat="false" ht="15" hidden="false" customHeight="false" outlineLevel="0" collapsed="false">
      <c r="A110" s="0" t="s">
        <v>932</v>
      </c>
      <c r="B110" s="0" t="s">
        <v>576</v>
      </c>
      <c r="C110" s="0" t="s">
        <v>692</v>
      </c>
      <c r="D110" s="10" t="s">
        <v>968</v>
      </c>
      <c r="E110" s="11" t="n">
        <v>46469</v>
      </c>
      <c r="F110" s="38" t="n">
        <v>0.541666666666667</v>
      </c>
      <c r="G110" s="10" t="s">
        <v>137</v>
      </c>
      <c r="H110" s="10" t="s">
        <v>1084</v>
      </c>
      <c r="I110" s="11" t="n">
        <v>46469</v>
      </c>
      <c r="J110" s="10" t="s">
        <v>486</v>
      </c>
      <c r="K110" s="10" t="s">
        <v>486</v>
      </c>
      <c r="M110" s="31" t="n">
        <f aca="false">IF($B110="","",IFERROR(IF(INDEX(campaigns!$BG$2:$BG$51,MATCH($B110,campaigns!$A$2:$A$51,0))="","",INDEX(campaigns!$BG$2:$BG$51,MATCH($B110,campaigns!$A$2:$A$51,0))),""))</f>
        <v>46469</v>
      </c>
      <c r="N110" s="30" t="n">
        <f aca="false">IF(OR($B110="",$E110="",$M110=""),"",IF($E110&lt;$M110,0,NETWORKDAYS($M110,$E110,calendar!$A$2:$A$80)))</f>
        <v>1</v>
      </c>
      <c r="O110" s="30" t="str">
        <f aca="false">IF($B110="","",IF(AND($K110="Y",OR($D110="later",$J110="Y")),"Y","N"))</f>
        <v>Y</v>
      </c>
      <c r="P110" s="30" t="str">
        <f aca="false">IF(OR($B110="",$E110=""),"",$B110&amp;"_"&amp;$C110&amp;"_"&amp;$D110&amp;"_"&amp;TEXT($E110,"yyyy-mm-dd")&amp;".jpg")</f>
        <v>SAMPLE-CMP-007_SAMPLE-O-007_placement_2027-03-23.jpg</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SAMPLE-CMP-007|SAMPLE-O-007|placement|Y</v>
      </c>
      <c r="S110" s="30" t="str">
        <f aca="false">IF($B110="","",$R110&amp;"|"&amp;N($E110))</f>
        <v>SAMPLE-CMP-007|SAMPLE-O-007|placement|Y|46469</v>
      </c>
    </row>
    <row r="111" customFormat="false" ht="15" hidden="false" customHeight="false" outlineLevel="0" collapsed="false">
      <c r="A111" s="0" t="s">
        <v>933</v>
      </c>
      <c r="B111" s="0" t="s">
        <v>576</v>
      </c>
      <c r="C111" s="0" t="s">
        <v>692</v>
      </c>
      <c r="D111" s="10" t="s">
        <v>970</v>
      </c>
      <c r="E111" s="11" t="n">
        <v>46475</v>
      </c>
      <c r="F111" s="38" t="n">
        <v>0.625</v>
      </c>
      <c r="G111" s="10" t="s">
        <v>137</v>
      </c>
      <c r="H111" s="10" t="s">
        <v>1085</v>
      </c>
      <c r="I111" s="11" t="n">
        <v>46475</v>
      </c>
      <c r="J111" s="10" t="s">
        <v>486</v>
      </c>
      <c r="K111" s="10" t="s">
        <v>486</v>
      </c>
      <c r="M111" s="31" t="n">
        <f aca="false">IF($B111="","",IFERROR(IF(INDEX(campaigns!$BG$2:$BG$51,MATCH($B111,campaigns!$A$2:$A$51,0))="","",INDEX(campaigns!$BG$2:$BG$51,MATCH($B111,campaigns!$A$2:$A$51,0))),""))</f>
        <v>46469</v>
      </c>
      <c r="N111" s="30" t="n">
        <f aca="false">IF(OR($B111="",$E111="",$M111=""),"",IF($E111&lt;$M111,0,NETWORKDAYS($M111,$E111,calendar!$A$2:$A$80)))</f>
        <v>5</v>
      </c>
      <c r="O111" s="30" t="str">
        <f aca="false">IF($B111="","",IF(AND($K111="Y",OR($D111="later",$J111="Y")),"Y","N"))</f>
        <v>Y</v>
      </c>
      <c r="P111" s="30" t="str">
        <f aca="false">IF(OR($B111="",$E111=""),"",$B111&amp;"_"&amp;$C111&amp;"_"&amp;$D111&amp;"_"&amp;TEXT($E111,"yyyy-mm-dd")&amp;".jpg")</f>
        <v>SAMPLE-CMP-007_SAMPLE-O-007_later_2027-03-29.jpg</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SAMPLE-CMP-007|SAMPLE-O-007|later|Y</v>
      </c>
      <c r="S111" s="30" t="str">
        <f aca="false">IF($B111="","",$R111&amp;"|"&amp;N($E111))</f>
        <v>SAMPLE-CMP-007|SAMPLE-O-007|later|Y|46475</v>
      </c>
    </row>
    <row r="112" customFormat="false" ht="15" hidden="false" customHeight="false" outlineLevel="0" collapsed="false">
      <c r="A112" s="0" t="s">
        <v>934</v>
      </c>
      <c r="B112" s="0" t="s">
        <v>576</v>
      </c>
      <c r="C112" s="0" t="s">
        <v>694</v>
      </c>
      <c r="D112" s="10" t="s">
        <v>968</v>
      </c>
      <c r="E112" s="11" t="n">
        <v>46469</v>
      </c>
      <c r="F112" s="38" t="n">
        <v>0.541666666666667</v>
      </c>
      <c r="G112" s="10" t="s">
        <v>137</v>
      </c>
      <c r="H112" s="10" t="s">
        <v>1086</v>
      </c>
      <c r="I112" s="11" t="n">
        <v>46469</v>
      </c>
      <c r="J112" s="10" t="s">
        <v>486</v>
      </c>
      <c r="K112" s="10" t="s">
        <v>486</v>
      </c>
      <c r="M112" s="31" t="n">
        <f aca="false">IF($B112="","",IFERROR(IF(INDEX(campaigns!$BG$2:$BG$51,MATCH($B112,campaigns!$A$2:$A$51,0))="","",INDEX(campaigns!$BG$2:$BG$51,MATCH($B112,campaigns!$A$2:$A$51,0))),""))</f>
        <v>46469</v>
      </c>
      <c r="N112" s="30" t="n">
        <f aca="false">IF(OR($B112="",$E112="",$M112=""),"",IF($E112&lt;$M112,0,NETWORKDAYS($M112,$E112,calendar!$A$2:$A$80)))</f>
        <v>1</v>
      </c>
      <c r="O112" s="30" t="str">
        <f aca="false">IF($B112="","",IF(AND($K112="Y",OR($D112="later",$J112="Y")),"Y","N"))</f>
        <v>Y</v>
      </c>
      <c r="P112" s="30" t="str">
        <f aca="false">IF(OR($B112="",$E112=""),"",$B112&amp;"_"&amp;$C112&amp;"_"&amp;$D112&amp;"_"&amp;TEXT($E112,"yyyy-mm-dd")&amp;".jpg")</f>
        <v>SAMPLE-CMP-007_SAMPLE-O-008_placement_2027-03-23.jpg</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SAMPLE-CMP-007|SAMPLE-O-008|placement|Y</v>
      </c>
      <c r="S112" s="30" t="str">
        <f aca="false">IF($B112="","",$R112&amp;"|"&amp;N($E112))</f>
        <v>SAMPLE-CMP-007|SAMPLE-O-008|placement|Y|46469</v>
      </c>
    </row>
    <row r="113" customFormat="false" ht="15" hidden="false" customHeight="false" outlineLevel="0" collapsed="false">
      <c r="A113" s="0" t="s">
        <v>935</v>
      </c>
      <c r="B113" s="0" t="s">
        <v>576</v>
      </c>
      <c r="C113" s="0" t="s">
        <v>694</v>
      </c>
      <c r="D113" s="10" t="s">
        <v>970</v>
      </c>
      <c r="E113" s="11" t="n">
        <v>46475</v>
      </c>
      <c r="F113" s="38" t="n">
        <v>0.625</v>
      </c>
      <c r="G113" s="10" t="s">
        <v>137</v>
      </c>
      <c r="H113" s="10" t="s">
        <v>1087</v>
      </c>
      <c r="I113" s="11" t="n">
        <v>46475</v>
      </c>
      <c r="J113" s="10" t="s">
        <v>486</v>
      </c>
      <c r="K113" s="10" t="s">
        <v>486</v>
      </c>
      <c r="M113" s="31" t="n">
        <f aca="false">IF($B113="","",IFERROR(IF(INDEX(campaigns!$BG$2:$BG$51,MATCH($B113,campaigns!$A$2:$A$51,0))="","",INDEX(campaigns!$BG$2:$BG$51,MATCH($B113,campaigns!$A$2:$A$51,0))),""))</f>
        <v>46469</v>
      </c>
      <c r="N113" s="30" t="n">
        <f aca="false">IF(OR($B113="",$E113="",$M113=""),"",IF($E113&lt;$M113,0,NETWORKDAYS($M113,$E113,calendar!$A$2:$A$80)))</f>
        <v>5</v>
      </c>
      <c r="O113" s="30" t="str">
        <f aca="false">IF($B113="","",IF(AND($K113="Y",OR($D113="later",$J113="Y")),"Y","N"))</f>
        <v>Y</v>
      </c>
      <c r="P113" s="30" t="str">
        <f aca="false">IF(OR($B113="",$E113=""),"",$B113&amp;"_"&amp;$C113&amp;"_"&amp;$D113&amp;"_"&amp;TEXT($E113,"yyyy-mm-dd")&amp;".jpg")</f>
        <v>SAMPLE-CMP-007_SAMPLE-O-008_later_2027-03-29.jpg</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SAMPLE-CMP-007|SAMPLE-O-008|later|Y</v>
      </c>
      <c r="S113" s="30" t="str">
        <f aca="false">IF($B113="","",$R113&amp;"|"&amp;N($E113))</f>
        <v>SAMPLE-CMP-007|SAMPLE-O-008|later|Y|46475</v>
      </c>
    </row>
    <row r="114" customFormat="false" ht="15" hidden="false" customHeight="false" outlineLevel="0" collapsed="false">
      <c r="A114" s="0" t="s">
        <v>936</v>
      </c>
      <c r="B114" s="0" t="s">
        <v>576</v>
      </c>
      <c r="C114" s="0" t="s">
        <v>696</v>
      </c>
      <c r="D114" s="10" t="s">
        <v>968</v>
      </c>
      <c r="E114" s="11" t="n">
        <v>46469</v>
      </c>
      <c r="F114" s="38" t="n">
        <v>0.444444444444444</v>
      </c>
      <c r="G114" s="10" t="s">
        <v>338</v>
      </c>
      <c r="H114" s="10" t="s">
        <v>1088</v>
      </c>
      <c r="I114" s="11" t="n">
        <v>46469</v>
      </c>
      <c r="J114" s="10" t="s">
        <v>486</v>
      </c>
      <c r="K114" s="10" t="s">
        <v>486</v>
      </c>
      <c r="M114" s="31" t="n">
        <f aca="false">IF($B114="","",IFERROR(IF(INDEX(campaigns!$BG$2:$BG$51,MATCH($B114,campaigns!$A$2:$A$51,0))="","",INDEX(campaigns!$BG$2:$BG$51,MATCH($B114,campaigns!$A$2:$A$51,0))),""))</f>
        <v>46469</v>
      </c>
      <c r="N114" s="30" t="n">
        <f aca="false">IF(OR($B114="",$E114="",$M114=""),"",IF($E114&lt;$M114,0,NETWORKDAYS($M114,$E114,calendar!$A$2:$A$80)))</f>
        <v>1</v>
      </c>
      <c r="O114" s="30" t="str">
        <f aca="false">IF($B114="","",IF(AND($K114="Y",OR($D114="later",$J114="Y")),"Y","N"))</f>
        <v>Y</v>
      </c>
      <c r="P114" s="30" t="str">
        <f aca="false">IF(OR($B114="",$E114=""),"",$B114&amp;"_"&amp;$C114&amp;"_"&amp;$D114&amp;"_"&amp;TEXT($E114,"yyyy-mm-dd")&amp;".jpg")</f>
        <v>SAMPLE-CMP-007_SAMPLE-O-009_placement_2027-03-23.jpg</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SAMPLE-CMP-007|SAMPLE-O-009|placement|Y</v>
      </c>
      <c r="S114" s="30" t="str">
        <f aca="false">IF($B114="","",$R114&amp;"|"&amp;N($E114))</f>
        <v>SAMPLE-CMP-007|SAMPLE-O-009|placement|Y|46469</v>
      </c>
    </row>
    <row r="115" customFormat="false" ht="15" hidden="false" customHeight="false" outlineLevel="0" collapsed="false">
      <c r="A115" s="0" t="s">
        <v>937</v>
      </c>
      <c r="B115" s="0" t="s">
        <v>576</v>
      </c>
      <c r="C115" s="0" t="s">
        <v>696</v>
      </c>
      <c r="D115" s="10" t="s">
        <v>970</v>
      </c>
      <c r="E115" s="11" t="n">
        <v>46475</v>
      </c>
      <c r="F115" s="38" t="n">
        <v>0.625</v>
      </c>
      <c r="G115" s="10" t="s">
        <v>137</v>
      </c>
      <c r="H115" s="10" t="s">
        <v>1089</v>
      </c>
      <c r="I115" s="11" t="n">
        <v>46475</v>
      </c>
      <c r="J115" s="10" t="s">
        <v>486</v>
      </c>
      <c r="K115" s="10" t="s">
        <v>486</v>
      </c>
      <c r="M115" s="31" t="n">
        <f aca="false">IF($B115="","",IFERROR(IF(INDEX(campaigns!$BG$2:$BG$51,MATCH($B115,campaigns!$A$2:$A$51,0))="","",INDEX(campaigns!$BG$2:$BG$51,MATCH($B115,campaigns!$A$2:$A$51,0))),""))</f>
        <v>46469</v>
      </c>
      <c r="N115" s="30" t="n">
        <f aca="false">IF(OR($B115="",$E115="",$M115=""),"",IF($E115&lt;$M115,0,NETWORKDAYS($M115,$E115,calendar!$A$2:$A$80)))</f>
        <v>5</v>
      </c>
      <c r="O115" s="30" t="str">
        <f aca="false">IF($B115="","",IF(AND($K115="Y",OR($D115="later",$J115="Y")),"Y","N"))</f>
        <v>Y</v>
      </c>
      <c r="P115" s="30" t="str">
        <f aca="false">IF(OR($B115="",$E115=""),"",$B115&amp;"_"&amp;$C115&amp;"_"&amp;$D115&amp;"_"&amp;TEXT($E115,"yyyy-mm-dd")&amp;".jpg")</f>
        <v>SAMPLE-CMP-007_SAMPLE-O-009_later_2027-03-29.jpg</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SAMPLE-CMP-007|SAMPLE-O-009|later|Y</v>
      </c>
      <c r="S115" s="30" t="str">
        <f aca="false">IF($B115="","",$R115&amp;"|"&amp;N($E115))</f>
        <v>SAMPLE-CMP-007|SAMPLE-O-009|later|Y|46475</v>
      </c>
    </row>
    <row r="116" customFormat="false" ht="15" hidden="false" customHeight="false" outlineLevel="0" collapsed="false">
      <c r="A116" s="0" t="s">
        <v>938</v>
      </c>
      <c r="B116" s="0" t="s">
        <v>576</v>
      </c>
      <c r="C116" s="0" t="s">
        <v>698</v>
      </c>
      <c r="D116" s="10" t="s">
        <v>968</v>
      </c>
      <c r="E116" s="11" t="n">
        <v>46469</v>
      </c>
      <c r="F116" s="38" t="n">
        <v>0.541666666666667</v>
      </c>
      <c r="G116" s="10" t="s">
        <v>137</v>
      </c>
      <c r="H116" s="10" t="s">
        <v>1090</v>
      </c>
      <c r="I116" s="11" t="n">
        <v>46469</v>
      </c>
      <c r="J116" s="10" t="s">
        <v>486</v>
      </c>
      <c r="K116" s="10" t="s">
        <v>486</v>
      </c>
      <c r="M116" s="31" t="n">
        <f aca="false">IF($B116="","",IFERROR(IF(INDEX(campaigns!$BG$2:$BG$51,MATCH($B116,campaigns!$A$2:$A$51,0))="","",INDEX(campaigns!$BG$2:$BG$51,MATCH($B116,campaigns!$A$2:$A$51,0))),""))</f>
        <v>46469</v>
      </c>
      <c r="N116" s="30" t="n">
        <f aca="false">IF(OR($B116="",$E116="",$M116=""),"",IF($E116&lt;$M116,0,NETWORKDAYS($M116,$E116,calendar!$A$2:$A$80)))</f>
        <v>1</v>
      </c>
      <c r="O116" s="30" t="str">
        <f aca="false">IF($B116="","",IF(AND($K116="Y",OR($D116="later",$J116="Y")),"Y","N"))</f>
        <v>Y</v>
      </c>
      <c r="P116" s="30" t="str">
        <f aca="false">IF(OR($B116="",$E116=""),"",$B116&amp;"_"&amp;$C116&amp;"_"&amp;$D116&amp;"_"&amp;TEXT($E116,"yyyy-mm-dd")&amp;".jpg")</f>
        <v>SAMPLE-CMP-007_SAMPLE-O-010_placement_2027-03-23.jpg</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SAMPLE-CMP-007|SAMPLE-O-010|placement|Y</v>
      </c>
      <c r="S116" s="30" t="str">
        <f aca="false">IF($B116="","",$R116&amp;"|"&amp;N($E116))</f>
        <v>SAMPLE-CMP-007|SAMPLE-O-010|placement|Y|46469</v>
      </c>
    </row>
    <row r="117" customFormat="false" ht="15" hidden="false" customHeight="false" outlineLevel="0" collapsed="false">
      <c r="A117" s="0" t="s">
        <v>939</v>
      </c>
      <c r="B117" s="0" t="s">
        <v>576</v>
      </c>
      <c r="C117" s="0" t="s">
        <v>698</v>
      </c>
      <c r="D117" s="10" t="s">
        <v>970</v>
      </c>
      <c r="E117" s="11" t="n">
        <v>46475</v>
      </c>
      <c r="F117" s="38" t="n">
        <v>0.625</v>
      </c>
      <c r="G117" s="10" t="s">
        <v>137</v>
      </c>
      <c r="H117" s="10" t="s">
        <v>1091</v>
      </c>
      <c r="I117" s="11" t="n">
        <v>46475</v>
      </c>
      <c r="J117" s="10" t="s">
        <v>486</v>
      </c>
      <c r="K117" s="10" t="s">
        <v>486</v>
      </c>
      <c r="M117" s="31" t="n">
        <f aca="false">IF($B117="","",IFERROR(IF(INDEX(campaigns!$BG$2:$BG$51,MATCH($B117,campaigns!$A$2:$A$51,0))="","",INDEX(campaigns!$BG$2:$BG$51,MATCH($B117,campaigns!$A$2:$A$51,0))),""))</f>
        <v>46469</v>
      </c>
      <c r="N117" s="30" t="n">
        <f aca="false">IF(OR($B117="",$E117="",$M117=""),"",IF($E117&lt;$M117,0,NETWORKDAYS($M117,$E117,calendar!$A$2:$A$80)))</f>
        <v>5</v>
      </c>
      <c r="O117" s="30" t="str">
        <f aca="false">IF($B117="","",IF(AND($K117="Y",OR($D117="later",$J117="Y")),"Y","N"))</f>
        <v>Y</v>
      </c>
      <c r="P117" s="30" t="str">
        <f aca="false">IF(OR($B117="",$E117=""),"",$B117&amp;"_"&amp;$C117&amp;"_"&amp;$D117&amp;"_"&amp;TEXT($E117,"yyyy-mm-dd")&amp;".jpg")</f>
        <v>SAMPLE-CMP-007_SAMPLE-O-010_later_2027-03-29.jpg</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SAMPLE-CMP-007|SAMPLE-O-010|later|Y</v>
      </c>
      <c r="S117" s="30" t="str">
        <f aca="false">IF($B117="","",$R117&amp;"|"&amp;N($E117))</f>
        <v>SAMPLE-CMP-007|SAMPLE-O-010|later|Y|46475</v>
      </c>
    </row>
    <row r="118" customFormat="false" ht="15" hidden="false" customHeight="false" outlineLevel="0" collapsed="false">
      <c r="A118" s="0" t="s">
        <v>940</v>
      </c>
      <c r="B118" s="0" t="s">
        <v>584</v>
      </c>
      <c r="C118" s="0" t="s">
        <v>678</v>
      </c>
      <c r="D118" s="10" t="s">
        <v>968</v>
      </c>
      <c r="E118" s="11" t="n">
        <v>46469</v>
      </c>
      <c r="F118" s="38" t="n">
        <v>0.541666666666667</v>
      </c>
      <c r="G118" s="10" t="s">
        <v>137</v>
      </c>
      <c r="H118" s="10" t="s">
        <v>1092</v>
      </c>
      <c r="I118" s="11" t="n">
        <v>46469</v>
      </c>
      <c r="J118" s="10" t="s">
        <v>486</v>
      </c>
      <c r="K118" s="10" t="s">
        <v>486</v>
      </c>
      <c r="M118" s="31" t="n">
        <f aca="false">IF($B118="","",IFERROR(IF(INDEX(campaigns!$BG$2:$BG$51,MATCH($B118,campaigns!$A$2:$A$51,0))="","",INDEX(campaigns!$BG$2:$BG$51,MATCH($B118,campaigns!$A$2:$A$51,0))),""))</f>
        <v>46469</v>
      </c>
      <c r="N118" s="30" t="n">
        <f aca="false">IF(OR($B118="",$E118="",$M118=""),"",IF($E118&lt;$M118,0,NETWORKDAYS($M118,$E118,calendar!$A$2:$A$80)))</f>
        <v>1</v>
      </c>
      <c r="O118" s="30" t="str">
        <f aca="false">IF($B118="","",IF(AND($K118="Y",OR($D118="later",$J118="Y")),"Y","N"))</f>
        <v>Y</v>
      </c>
      <c r="P118" s="30" t="str">
        <f aca="false">IF(OR($B118="",$E118=""),"",$B118&amp;"_"&amp;$C118&amp;"_"&amp;$D118&amp;"_"&amp;TEXT($E118,"yyyy-mm-dd")&amp;".jpg")</f>
        <v>SAMPLE-CMP-008_SAMPLE-O-001_placement_2027-03-23.jpg</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SAMPLE-CMP-008|SAMPLE-O-001|placement|Y</v>
      </c>
      <c r="S118" s="30" t="str">
        <f aca="false">IF($B118="","",$R118&amp;"|"&amp;N($E118))</f>
        <v>SAMPLE-CMP-008|SAMPLE-O-001|placement|Y|46469</v>
      </c>
    </row>
    <row r="119" customFormat="false" ht="15" hidden="false" customHeight="false" outlineLevel="0" collapsed="false">
      <c r="A119" s="0" t="s">
        <v>941</v>
      </c>
      <c r="B119" s="0" t="s">
        <v>584</v>
      </c>
      <c r="C119" s="0" t="s">
        <v>678</v>
      </c>
      <c r="D119" s="10" t="s">
        <v>970</v>
      </c>
      <c r="E119" s="11" t="n">
        <v>46475</v>
      </c>
      <c r="F119" s="38" t="n">
        <v>0.625</v>
      </c>
      <c r="G119" s="10" t="s">
        <v>137</v>
      </c>
      <c r="H119" s="10" t="s">
        <v>1093</v>
      </c>
      <c r="I119" s="11" t="n">
        <v>46475</v>
      </c>
      <c r="J119" s="10" t="s">
        <v>486</v>
      </c>
      <c r="K119" s="10" t="s">
        <v>486</v>
      </c>
      <c r="M119" s="31" t="n">
        <f aca="false">IF($B119="","",IFERROR(IF(INDEX(campaigns!$BG$2:$BG$51,MATCH($B119,campaigns!$A$2:$A$51,0))="","",INDEX(campaigns!$BG$2:$BG$51,MATCH($B119,campaigns!$A$2:$A$51,0))),""))</f>
        <v>46469</v>
      </c>
      <c r="N119" s="30" t="n">
        <f aca="false">IF(OR($B119="",$E119="",$M119=""),"",IF($E119&lt;$M119,0,NETWORKDAYS($M119,$E119,calendar!$A$2:$A$80)))</f>
        <v>5</v>
      </c>
      <c r="O119" s="30" t="str">
        <f aca="false">IF($B119="","",IF(AND($K119="Y",OR($D119="later",$J119="Y")),"Y","N"))</f>
        <v>Y</v>
      </c>
      <c r="P119" s="30" t="str">
        <f aca="false">IF(OR($B119="",$E119=""),"",$B119&amp;"_"&amp;$C119&amp;"_"&amp;$D119&amp;"_"&amp;TEXT($E119,"yyyy-mm-dd")&amp;".jpg")</f>
        <v>SAMPLE-CMP-008_SAMPLE-O-001_later_2027-03-29.jpg</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SAMPLE-CMP-008|SAMPLE-O-001|later|Y</v>
      </c>
      <c r="S119" s="30" t="str">
        <f aca="false">IF($B119="","",$R119&amp;"|"&amp;N($E119))</f>
        <v>SAMPLE-CMP-008|SAMPLE-O-001|later|Y|46475</v>
      </c>
    </row>
    <row r="120" customFormat="false" ht="15" hidden="false" customHeight="false" outlineLevel="0" collapsed="false">
      <c r="A120" s="0" t="s">
        <v>942</v>
      </c>
      <c r="B120" s="0" t="s">
        <v>584</v>
      </c>
      <c r="C120" s="0" t="s">
        <v>681</v>
      </c>
      <c r="D120" s="10" t="s">
        <v>968</v>
      </c>
      <c r="E120" s="11" t="n">
        <v>46469</v>
      </c>
      <c r="F120" s="38" t="n">
        <v>0.541666666666667</v>
      </c>
      <c r="G120" s="10" t="s">
        <v>137</v>
      </c>
      <c r="H120" s="10" t="s">
        <v>1094</v>
      </c>
      <c r="I120" s="11" t="n">
        <v>46469</v>
      </c>
      <c r="J120" s="10" t="s">
        <v>486</v>
      </c>
      <c r="K120" s="10" t="s">
        <v>486</v>
      </c>
      <c r="M120" s="31" t="n">
        <f aca="false">IF($B120="","",IFERROR(IF(INDEX(campaigns!$BG$2:$BG$51,MATCH($B120,campaigns!$A$2:$A$51,0))="","",INDEX(campaigns!$BG$2:$BG$51,MATCH($B120,campaigns!$A$2:$A$51,0))),""))</f>
        <v>46469</v>
      </c>
      <c r="N120" s="30" t="n">
        <f aca="false">IF(OR($B120="",$E120="",$M120=""),"",IF($E120&lt;$M120,0,NETWORKDAYS($M120,$E120,calendar!$A$2:$A$80)))</f>
        <v>1</v>
      </c>
      <c r="O120" s="30" t="str">
        <f aca="false">IF($B120="","",IF(AND($K120="Y",OR($D120="later",$J120="Y")),"Y","N"))</f>
        <v>Y</v>
      </c>
      <c r="P120" s="30" t="str">
        <f aca="false">IF(OR($B120="",$E120=""),"",$B120&amp;"_"&amp;$C120&amp;"_"&amp;$D120&amp;"_"&amp;TEXT($E120,"yyyy-mm-dd")&amp;".jpg")</f>
        <v>SAMPLE-CMP-008_SAMPLE-O-002_placement_2027-03-23.jpg</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SAMPLE-CMP-008|SAMPLE-O-002|placement|Y</v>
      </c>
      <c r="S120" s="30" t="str">
        <f aca="false">IF($B120="","",$R120&amp;"|"&amp;N($E120))</f>
        <v>SAMPLE-CMP-008|SAMPLE-O-002|placement|Y|46469</v>
      </c>
    </row>
    <row r="121" customFormat="false" ht="15" hidden="false" customHeight="false" outlineLevel="0" collapsed="false">
      <c r="A121" s="0" t="s">
        <v>943</v>
      </c>
      <c r="B121" s="0" t="s">
        <v>584</v>
      </c>
      <c r="C121" s="0" t="s">
        <v>681</v>
      </c>
      <c r="D121" s="10" t="s">
        <v>970</v>
      </c>
      <c r="E121" s="11" t="n">
        <v>46475</v>
      </c>
      <c r="F121" s="38" t="n">
        <v>0.625</v>
      </c>
      <c r="G121" s="10" t="s">
        <v>137</v>
      </c>
      <c r="H121" s="10" t="s">
        <v>1095</v>
      </c>
      <c r="I121" s="11" t="n">
        <v>46475</v>
      </c>
      <c r="J121" s="10" t="s">
        <v>486</v>
      </c>
      <c r="K121" s="10" t="s">
        <v>486</v>
      </c>
      <c r="M121" s="31" t="n">
        <f aca="false">IF($B121="","",IFERROR(IF(INDEX(campaigns!$BG$2:$BG$51,MATCH($B121,campaigns!$A$2:$A$51,0))="","",INDEX(campaigns!$BG$2:$BG$51,MATCH($B121,campaigns!$A$2:$A$51,0))),""))</f>
        <v>46469</v>
      </c>
      <c r="N121" s="30" t="n">
        <f aca="false">IF(OR($B121="",$E121="",$M121=""),"",IF($E121&lt;$M121,0,NETWORKDAYS($M121,$E121,calendar!$A$2:$A$80)))</f>
        <v>5</v>
      </c>
      <c r="O121" s="30" t="str">
        <f aca="false">IF($B121="","",IF(AND($K121="Y",OR($D121="later",$J121="Y")),"Y","N"))</f>
        <v>Y</v>
      </c>
      <c r="P121" s="30" t="str">
        <f aca="false">IF(OR($B121="",$E121=""),"",$B121&amp;"_"&amp;$C121&amp;"_"&amp;$D121&amp;"_"&amp;TEXT($E121,"yyyy-mm-dd")&amp;".jpg")</f>
        <v>SAMPLE-CMP-008_SAMPLE-O-002_later_2027-03-29.jpg</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SAMPLE-CMP-008|SAMPLE-O-002|later|Y</v>
      </c>
      <c r="S121" s="30" t="str">
        <f aca="false">IF($B121="","",$R121&amp;"|"&amp;N($E121))</f>
        <v>SAMPLE-CMP-008|SAMPLE-O-002|later|Y|46475</v>
      </c>
    </row>
    <row r="122" customFormat="false" ht="15" hidden="false" customHeight="false" outlineLevel="0" collapsed="false">
      <c r="A122" s="0" t="s">
        <v>944</v>
      </c>
      <c r="B122" s="0" t="s">
        <v>584</v>
      </c>
      <c r="C122" s="0" t="s">
        <v>683</v>
      </c>
      <c r="D122" s="10" t="s">
        <v>968</v>
      </c>
      <c r="E122" s="11" t="n">
        <v>46469</v>
      </c>
      <c r="F122" s="38" t="n">
        <v>0.541666666666667</v>
      </c>
      <c r="G122" s="10" t="s">
        <v>137</v>
      </c>
      <c r="H122" s="10" t="s">
        <v>1096</v>
      </c>
      <c r="I122" s="11" t="n">
        <v>46469</v>
      </c>
      <c r="J122" s="10" t="s">
        <v>486</v>
      </c>
      <c r="K122" s="10" t="s">
        <v>486</v>
      </c>
      <c r="M122" s="31" t="n">
        <f aca="false">IF($B122="","",IFERROR(IF(INDEX(campaigns!$BG$2:$BG$51,MATCH($B122,campaigns!$A$2:$A$51,0))="","",INDEX(campaigns!$BG$2:$BG$51,MATCH($B122,campaigns!$A$2:$A$51,0))),""))</f>
        <v>46469</v>
      </c>
      <c r="N122" s="30" t="n">
        <f aca="false">IF(OR($B122="",$E122="",$M122=""),"",IF($E122&lt;$M122,0,NETWORKDAYS($M122,$E122,calendar!$A$2:$A$80)))</f>
        <v>1</v>
      </c>
      <c r="O122" s="30" t="str">
        <f aca="false">IF($B122="","",IF(AND($K122="Y",OR($D122="later",$J122="Y")),"Y","N"))</f>
        <v>Y</v>
      </c>
      <c r="P122" s="30" t="str">
        <f aca="false">IF(OR($B122="",$E122=""),"",$B122&amp;"_"&amp;$C122&amp;"_"&amp;$D122&amp;"_"&amp;TEXT($E122,"yyyy-mm-dd")&amp;".jpg")</f>
        <v>SAMPLE-CMP-008_SAMPLE-O-003_placement_2027-03-23.jpg</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SAMPLE-CMP-008|SAMPLE-O-003|placement|Y</v>
      </c>
      <c r="S122" s="30" t="str">
        <f aca="false">IF($B122="","",$R122&amp;"|"&amp;N($E122))</f>
        <v>SAMPLE-CMP-008|SAMPLE-O-003|placement|Y|46469</v>
      </c>
    </row>
    <row r="123" customFormat="false" ht="15" hidden="false" customHeight="false" outlineLevel="0" collapsed="false">
      <c r="A123" s="0" t="s">
        <v>945</v>
      </c>
      <c r="B123" s="0" t="s">
        <v>584</v>
      </c>
      <c r="C123" s="0" t="s">
        <v>683</v>
      </c>
      <c r="D123" s="10" t="s">
        <v>970</v>
      </c>
      <c r="E123" s="11" t="n">
        <v>46475</v>
      </c>
      <c r="F123" s="38" t="n">
        <v>0.625</v>
      </c>
      <c r="G123" s="10" t="s">
        <v>137</v>
      </c>
      <c r="H123" s="10" t="s">
        <v>1097</v>
      </c>
      <c r="I123" s="11" t="n">
        <v>46475</v>
      </c>
      <c r="J123" s="10" t="s">
        <v>486</v>
      </c>
      <c r="K123" s="10" t="s">
        <v>486</v>
      </c>
      <c r="M123" s="31" t="n">
        <f aca="false">IF($B123="","",IFERROR(IF(INDEX(campaigns!$BG$2:$BG$51,MATCH($B123,campaigns!$A$2:$A$51,0))="","",INDEX(campaigns!$BG$2:$BG$51,MATCH($B123,campaigns!$A$2:$A$51,0))),""))</f>
        <v>46469</v>
      </c>
      <c r="N123" s="30" t="n">
        <f aca="false">IF(OR($B123="",$E123="",$M123=""),"",IF($E123&lt;$M123,0,NETWORKDAYS($M123,$E123,calendar!$A$2:$A$80)))</f>
        <v>5</v>
      </c>
      <c r="O123" s="30" t="str">
        <f aca="false">IF($B123="","",IF(AND($K123="Y",OR($D123="later",$J123="Y")),"Y","N"))</f>
        <v>Y</v>
      </c>
      <c r="P123" s="30" t="str">
        <f aca="false">IF(OR($B123="",$E123=""),"",$B123&amp;"_"&amp;$C123&amp;"_"&amp;$D123&amp;"_"&amp;TEXT($E123,"yyyy-mm-dd")&amp;".jpg")</f>
        <v>SAMPLE-CMP-008_SAMPLE-O-003_later_2027-03-29.jpg</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SAMPLE-CMP-008|SAMPLE-O-003|later|Y</v>
      </c>
      <c r="S123" s="30" t="str">
        <f aca="false">IF($B123="","",$R123&amp;"|"&amp;N($E123))</f>
        <v>SAMPLE-CMP-008|SAMPLE-O-003|later|Y|46475</v>
      </c>
    </row>
    <row r="124" customFormat="false" ht="15" hidden="false" customHeight="false" outlineLevel="0" collapsed="false">
      <c r="A124" s="0" t="s">
        <v>946</v>
      </c>
      <c r="B124" s="0" t="s">
        <v>584</v>
      </c>
      <c r="C124" s="0" t="s">
        <v>686</v>
      </c>
      <c r="D124" s="10" t="s">
        <v>968</v>
      </c>
      <c r="E124" s="11" t="n">
        <v>46469</v>
      </c>
      <c r="F124" s="38" t="n">
        <v>0.541666666666667</v>
      </c>
      <c r="G124" s="10" t="s">
        <v>137</v>
      </c>
      <c r="H124" s="10" t="s">
        <v>1098</v>
      </c>
      <c r="I124" s="11" t="n">
        <v>46469</v>
      </c>
      <c r="J124" s="10" t="s">
        <v>486</v>
      </c>
      <c r="K124" s="10" t="s">
        <v>486</v>
      </c>
      <c r="M124" s="31" t="n">
        <f aca="false">IF($B124="","",IFERROR(IF(INDEX(campaigns!$BG$2:$BG$51,MATCH($B124,campaigns!$A$2:$A$51,0))="","",INDEX(campaigns!$BG$2:$BG$51,MATCH($B124,campaigns!$A$2:$A$51,0))),""))</f>
        <v>46469</v>
      </c>
      <c r="N124" s="30" t="n">
        <f aca="false">IF(OR($B124="",$E124="",$M124=""),"",IF($E124&lt;$M124,0,NETWORKDAYS($M124,$E124,calendar!$A$2:$A$80)))</f>
        <v>1</v>
      </c>
      <c r="O124" s="30" t="str">
        <f aca="false">IF($B124="","",IF(AND($K124="Y",OR($D124="later",$J124="Y")),"Y","N"))</f>
        <v>Y</v>
      </c>
      <c r="P124" s="30" t="str">
        <f aca="false">IF(OR($B124="",$E124=""),"",$B124&amp;"_"&amp;$C124&amp;"_"&amp;$D124&amp;"_"&amp;TEXT($E124,"yyyy-mm-dd")&amp;".jpg")</f>
        <v>SAMPLE-CMP-008_SAMPLE-O-004_placement_2027-03-23.jpg</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SAMPLE-CMP-008|SAMPLE-O-004|placement|Y</v>
      </c>
      <c r="S124" s="30" t="str">
        <f aca="false">IF($B124="","",$R124&amp;"|"&amp;N($E124))</f>
        <v>SAMPLE-CMP-008|SAMPLE-O-004|placement|Y|46469</v>
      </c>
    </row>
    <row r="125" customFormat="false" ht="15" hidden="false" customHeight="false" outlineLevel="0" collapsed="false">
      <c r="A125" s="0" t="s">
        <v>947</v>
      </c>
      <c r="B125" s="0" t="s">
        <v>584</v>
      </c>
      <c r="C125" s="0" t="s">
        <v>686</v>
      </c>
      <c r="D125" s="10" t="s">
        <v>970</v>
      </c>
      <c r="E125" s="11" t="n">
        <v>46475</v>
      </c>
      <c r="F125" s="38" t="n">
        <v>0.625</v>
      </c>
      <c r="G125" s="10" t="s">
        <v>137</v>
      </c>
      <c r="H125" s="10" t="s">
        <v>1099</v>
      </c>
      <c r="I125" s="11" t="n">
        <v>46475</v>
      </c>
      <c r="J125" s="10" t="s">
        <v>486</v>
      </c>
      <c r="K125" s="10" t="s">
        <v>486</v>
      </c>
      <c r="M125" s="31" t="n">
        <f aca="false">IF($B125="","",IFERROR(IF(INDEX(campaigns!$BG$2:$BG$51,MATCH($B125,campaigns!$A$2:$A$51,0))="","",INDEX(campaigns!$BG$2:$BG$51,MATCH($B125,campaigns!$A$2:$A$51,0))),""))</f>
        <v>46469</v>
      </c>
      <c r="N125" s="30" t="n">
        <f aca="false">IF(OR($B125="",$E125="",$M125=""),"",IF($E125&lt;$M125,0,NETWORKDAYS($M125,$E125,calendar!$A$2:$A$80)))</f>
        <v>5</v>
      </c>
      <c r="O125" s="30" t="str">
        <f aca="false">IF($B125="","",IF(AND($K125="Y",OR($D125="later",$J125="Y")),"Y","N"))</f>
        <v>Y</v>
      </c>
      <c r="P125" s="30" t="str">
        <f aca="false">IF(OR($B125="",$E125=""),"",$B125&amp;"_"&amp;$C125&amp;"_"&amp;$D125&amp;"_"&amp;TEXT($E125,"yyyy-mm-dd")&amp;".jpg")</f>
        <v>SAMPLE-CMP-008_SAMPLE-O-004_later_2027-03-29.jpg</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SAMPLE-CMP-008|SAMPLE-O-004|later|Y</v>
      </c>
      <c r="S125" s="30" t="str">
        <f aca="false">IF($B125="","",$R125&amp;"|"&amp;N($E125))</f>
        <v>SAMPLE-CMP-008|SAMPLE-O-004|later|Y|46475</v>
      </c>
    </row>
    <row r="126" customFormat="false" ht="15" hidden="false" customHeight="false" outlineLevel="0" collapsed="false">
      <c r="A126" s="0" t="s">
        <v>948</v>
      </c>
      <c r="B126" s="0" t="s">
        <v>584</v>
      </c>
      <c r="C126" s="0" t="s">
        <v>688</v>
      </c>
      <c r="D126" s="10" t="s">
        <v>968</v>
      </c>
      <c r="E126" s="11" t="n">
        <v>46469</v>
      </c>
      <c r="F126" s="38" t="n">
        <v>0.541666666666667</v>
      </c>
      <c r="G126" s="10" t="s">
        <v>137</v>
      </c>
      <c r="H126" s="10" t="s">
        <v>1100</v>
      </c>
      <c r="I126" s="11" t="n">
        <v>46469</v>
      </c>
      <c r="J126" s="10" t="s">
        <v>486</v>
      </c>
      <c r="K126" s="10" t="s">
        <v>486</v>
      </c>
      <c r="M126" s="31" t="n">
        <f aca="false">IF($B126="","",IFERROR(IF(INDEX(campaigns!$BG$2:$BG$51,MATCH($B126,campaigns!$A$2:$A$51,0))="","",INDEX(campaigns!$BG$2:$BG$51,MATCH($B126,campaigns!$A$2:$A$51,0))),""))</f>
        <v>46469</v>
      </c>
      <c r="N126" s="30" t="n">
        <f aca="false">IF(OR($B126="",$E126="",$M126=""),"",IF($E126&lt;$M126,0,NETWORKDAYS($M126,$E126,calendar!$A$2:$A$80)))</f>
        <v>1</v>
      </c>
      <c r="O126" s="30" t="str">
        <f aca="false">IF($B126="","",IF(AND($K126="Y",OR($D126="later",$J126="Y")),"Y","N"))</f>
        <v>Y</v>
      </c>
      <c r="P126" s="30" t="str">
        <f aca="false">IF(OR($B126="",$E126=""),"",$B126&amp;"_"&amp;$C126&amp;"_"&amp;$D126&amp;"_"&amp;TEXT($E126,"yyyy-mm-dd")&amp;".jpg")</f>
        <v>SAMPLE-CMP-008_SAMPLE-O-005_placement_2027-03-23.jpg</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SAMPLE-CMP-008|SAMPLE-O-005|placement|Y</v>
      </c>
      <c r="S126" s="30" t="str">
        <f aca="false">IF($B126="","",$R126&amp;"|"&amp;N($E126))</f>
        <v>SAMPLE-CMP-008|SAMPLE-O-005|placement|Y|46469</v>
      </c>
    </row>
    <row r="127" customFormat="false" ht="15" hidden="false" customHeight="false" outlineLevel="0" collapsed="false">
      <c r="A127" s="0" t="s">
        <v>949</v>
      </c>
      <c r="B127" s="0" t="s">
        <v>584</v>
      </c>
      <c r="C127" s="0" t="s">
        <v>688</v>
      </c>
      <c r="D127" s="10" t="s">
        <v>970</v>
      </c>
      <c r="E127" s="11" t="n">
        <v>46475</v>
      </c>
      <c r="F127" s="38" t="n">
        <v>0.625</v>
      </c>
      <c r="G127" s="10" t="s">
        <v>137</v>
      </c>
      <c r="H127" s="10" t="s">
        <v>1101</v>
      </c>
      <c r="I127" s="11" t="n">
        <v>46475</v>
      </c>
      <c r="J127" s="10" t="s">
        <v>486</v>
      </c>
      <c r="K127" s="10" t="s">
        <v>486</v>
      </c>
      <c r="M127" s="31" t="n">
        <f aca="false">IF($B127="","",IFERROR(IF(INDEX(campaigns!$BG$2:$BG$51,MATCH($B127,campaigns!$A$2:$A$51,0))="","",INDEX(campaigns!$BG$2:$BG$51,MATCH($B127,campaigns!$A$2:$A$51,0))),""))</f>
        <v>46469</v>
      </c>
      <c r="N127" s="30" t="n">
        <f aca="false">IF(OR($B127="",$E127="",$M127=""),"",IF($E127&lt;$M127,0,NETWORKDAYS($M127,$E127,calendar!$A$2:$A$80)))</f>
        <v>5</v>
      </c>
      <c r="O127" s="30" t="str">
        <f aca="false">IF($B127="","",IF(AND($K127="Y",OR($D127="later",$J127="Y")),"Y","N"))</f>
        <v>Y</v>
      </c>
      <c r="P127" s="30" t="str">
        <f aca="false">IF(OR($B127="",$E127=""),"",$B127&amp;"_"&amp;$C127&amp;"_"&amp;$D127&amp;"_"&amp;TEXT($E127,"yyyy-mm-dd")&amp;".jpg")</f>
        <v>SAMPLE-CMP-008_SAMPLE-O-005_later_2027-03-29.jpg</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SAMPLE-CMP-008|SAMPLE-O-005|later|Y</v>
      </c>
      <c r="S127" s="30" t="str">
        <f aca="false">IF($B127="","",$R127&amp;"|"&amp;N($E127))</f>
        <v>SAMPLE-CMP-008|SAMPLE-O-005|later|Y|46475</v>
      </c>
    </row>
    <row r="128" customFormat="false" ht="15" hidden="false" customHeight="false" outlineLevel="0" collapsed="false">
      <c r="A128" s="0" t="s">
        <v>950</v>
      </c>
      <c r="B128" s="0" t="s">
        <v>584</v>
      </c>
      <c r="C128" s="0" t="s">
        <v>690</v>
      </c>
      <c r="D128" s="10" t="s">
        <v>968</v>
      </c>
      <c r="E128" s="11" t="n">
        <v>46469</v>
      </c>
      <c r="F128" s="38" t="n">
        <v>0.541666666666667</v>
      </c>
      <c r="G128" s="10" t="s">
        <v>137</v>
      </c>
      <c r="H128" s="10" t="s">
        <v>1102</v>
      </c>
      <c r="I128" s="11" t="n">
        <v>46469</v>
      </c>
      <c r="J128" s="10" t="s">
        <v>486</v>
      </c>
      <c r="K128" s="10" t="s">
        <v>486</v>
      </c>
      <c r="M128" s="31" t="n">
        <f aca="false">IF($B128="","",IFERROR(IF(INDEX(campaigns!$BG$2:$BG$51,MATCH($B128,campaigns!$A$2:$A$51,0))="","",INDEX(campaigns!$BG$2:$BG$51,MATCH($B128,campaigns!$A$2:$A$51,0))),""))</f>
        <v>46469</v>
      </c>
      <c r="N128" s="30" t="n">
        <f aca="false">IF(OR($B128="",$E128="",$M128=""),"",IF($E128&lt;$M128,0,NETWORKDAYS($M128,$E128,calendar!$A$2:$A$80)))</f>
        <v>1</v>
      </c>
      <c r="O128" s="30" t="str">
        <f aca="false">IF($B128="","",IF(AND($K128="Y",OR($D128="later",$J128="Y")),"Y","N"))</f>
        <v>Y</v>
      </c>
      <c r="P128" s="30" t="str">
        <f aca="false">IF(OR($B128="",$E128=""),"",$B128&amp;"_"&amp;$C128&amp;"_"&amp;$D128&amp;"_"&amp;TEXT($E128,"yyyy-mm-dd")&amp;".jpg")</f>
        <v>SAMPLE-CMP-008_SAMPLE-O-006_placement_2027-03-23.jpg</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SAMPLE-CMP-008|SAMPLE-O-006|placement|Y</v>
      </c>
      <c r="S128" s="30" t="str">
        <f aca="false">IF($B128="","",$R128&amp;"|"&amp;N($E128))</f>
        <v>SAMPLE-CMP-008|SAMPLE-O-006|placement|Y|46469</v>
      </c>
    </row>
    <row r="129" customFormat="false" ht="15" hidden="false" customHeight="false" outlineLevel="0" collapsed="false">
      <c r="A129" s="0" t="s">
        <v>951</v>
      </c>
      <c r="B129" s="0" t="s">
        <v>584</v>
      </c>
      <c r="C129" s="0" t="s">
        <v>690</v>
      </c>
      <c r="D129" s="10" t="s">
        <v>970</v>
      </c>
      <c r="E129" s="11" t="n">
        <v>46475</v>
      </c>
      <c r="F129" s="38" t="n">
        <v>0.625</v>
      </c>
      <c r="G129" s="10" t="s">
        <v>137</v>
      </c>
      <c r="H129" s="10" t="s">
        <v>1103</v>
      </c>
      <c r="I129" s="11" t="n">
        <v>46475</v>
      </c>
      <c r="J129" s="10" t="s">
        <v>486</v>
      </c>
      <c r="K129" s="10" t="s">
        <v>486</v>
      </c>
      <c r="M129" s="31" t="n">
        <f aca="false">IF($B129="","",IFERROR(IF(INDEX(campaigns!$BG$2:$BG$51,MATCH($B129,campaigns!$A$2:$A$51,0))="","",INDEX(campaigns!$BG$2:$BG$51,MATCH($B129,campaigns!$A$2:$A$51,0))),""))</f>
        <v>46469</v>
      </c>
      <c r="N129" s="30" t="n">
        <f aca="false">IF(OR($B129="",$E129="",$M129=""),"",IF($E129&lt;$M129,0,NETWORKDAYS($M129,$E129,calendar!$A$2:$A$80)))</f>
        <v>5</v>
      </c>
      <c r="O129" s="30" t="str">
        <f aca="false">IF($B129="","",IF(AND($K129="Y",OR($D129="later",$J129="Y")),"Y","N"))</f>
        <v>Y</v>
      </c>
      <c r="P129" s="30" t="str">
        <f aca="false">IF(OR($B129="",$E129=""),"",$B129&amp;"_"&amp;$C129&amp;"_"&amp;$D129&amp;"_"&amp;TEXT($E129,"yyyy-mm-dd")&amp;".jpg")</f>
        <v>SAMPLE-CMP-008_SAMPLE-O-006_later_2027-03-29.jpg</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SAMPLE-CMP-008|SAMPLE-O-006|later|Y</v>
      </c>
      <c r="S129" s="30" t="str">
        <f aca="false">IF($B129="","",$R129&amp;"|"&amp;N($E129))</f>
        <v>SAMPLE-CMP-008|SAMPLE-O-006|later|Y|46475</v>
      </c>
    </row>
    <row r="130" customFormat="false" ht="15" hidden="false" customHeight="false" outlineLevel="0" collapsed="false">
      <c r="A130" s="0" t="s">
        <v>952</v>
      </c>
      <c r="B130" s="0" t="s">
        <v>584</v>
      </c>
      <c r="C130" s="0" t="s">
        <v>692</v>
      </c>
      <c r="D130" s="10" t="s">
        <v>968</v>
      </c>
      <c r="E130" s="11" t="n">
        <v>46469</v>
      </c>
      <c r="F130" s="38" t="n">
        <v>0.541666666666667</v>
      </c>
      <c r="G130" s="10" t="s">
        <v>137</v>
      </c>
      <c r="H130" s="10" t="s">
        <v>1104</v>
      </c>
      <c r="I130" s="11" t="n">
        <v>46469</v>
      </c>
      <c r="J130" s="10" t="s">
        <v>486</v>
      </c>
      <c r="K130" s="10" t="s">
        <v>486</v>
      </c>
      <c r="M130" s="31" t="n">
        <f aca="false">IF($B130="","",IFERROR(IF(INDEX(campaigns!$BG$2:$BG$51,MATCH($B130,campaigns!$A$2:$A$51,0))="","",INDEX(campaigns!$BG$2:$BG$51,MATCH($B130,campaigns!$A$2:$A$51,0))),""))</f>
        <v>46469</v>
      </c>
      <c r="N130" s="30" t="n">
        <f aca="false">IF(OR($B130="",$E130="",$M130=""),"",IF($E130&lt;$M130,0,NETWORKDAYS($M130,$E130,calendar!$A$2:$A$80)))</f>
        <v>1</v>
      </c>
      <c r="O130" s="30" t="str">
        <f aca="false">IF($B130="","",IF(AND($K130="Y",OR($D130="later",$J130="Y")),"Y","N"))</f>
        <v>Y</v>
      </c>
      <c r="P130" s="30" t="str">
        <f aca="false">IF(OR($B130="",$E130=""),"",$B130&amp;"_"&amp;$C130&amp;"_"&amp;$D130&amp;"_"&amp;TEXT($E130,"yyyy-mm-dd")&amp;".jpg")</f>
        <v>SAMPLE-CMP-008_SAMPLE-O-007_placement_2027-03-23.jpg</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SAMPLE-CMP-008|SAMPLE-O-007|placement|Y</v>
      </c>
      <c r="S130" s="30" t="str">
        <f aca="false">IF($B130="","",$R130&amp;"|"&amp;N($E130))</f>
        <v>SAMPLE-CMP-008|SAMPLE-O-007|placement|Y|46469</v>
      </c>
    </row>
    <row r="131" customFormat="false" ht="15" hidden="false" customHeight="false" outlineLevel="0" collapsed="false">
      <c r="A131" s="0" t="s">
        <v>953</v>
      </c>
      <c r="B131" s="0" t="s">
        <v>584</v>
      </c>
      <c r="C131" s="0" t="s">
        <v>692</v>
      </c>
      <c r="D131" s="10" t="s">
        <v>970</v>
      </c>
      <c r="E131" s="11" t="n">
        <v>46475</v>
      </c>
      <c r="F131" s="38" t="n">
        <v>0.625</v>
      </c>
      <c r="G131" s="10" t="s">
        <v>137</v>
      </c>
      <c r="H131" s="10" t="s">
        <v>1105</v>
      </c>
      <c r="I131" s="11" t="n">
        <v>46475</v>
      </c>
      <c r="J131" s="10" t="s">
        <v>486</v>
      </c>
      <c r="K131" s="10" t="s">
        <v>486</v>
      </c>
      <c r="M131" s="31" t="n">
        <f aca="false">IF($B131="","",IFERROR(IF(INDEX(campaigns!$BG$2:$BG$51,MATCH($B131,campaigns!$A$2:$A$51,0))="","",INDEX(campaigns!$BG$2:$BG$51,MATCH($B131,campaigns!$A$2:$A$51,0))),""))</f>
        <v>46469</v>
      </c>
      <c r="N131" s="30" t="n">
        <f aca="false">IF(OR($B131="",$E131="",$M131=""),"",IF($E131&lt;$M131,0,NETWORKDAYS($M131,$E131,calendar!$A$2:$A$80)))</f>
        <v>5</v>
      </c>
      <c r="O131" s="30" t="str">
        <f aca="false">IF($B131="","",IF(AND($K131="Y",OR($D131="later",$J131="Y")),"Y","N"))</f>
        <v>Y</v>
      </c>
      <c r="P131" s="30" t="str">
        <f aca="false">IF(OR($B131="",$E131=""),"",$B131&amp;"_"&amp;$C131&amp;"_"&amp;$D131&amp;"_"&amp;TEXT($E131,"yyyy-mm-dd")&amp;".jpg")</f>
        <v>SAMPLE-CMP-008_SAMPLE-O-007_later_2027-03-29.jpg</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SAMPLE-CMP-008|SAMPLE-O-007|later|Y</v>
      </c>
      <c r="S131" s="30" t="str">
        <f aca="false">IF($B131="","",$R131&amp;"|"&amp;N($E131))</f>
        <v>SAMPLE-CMP-008|SAMPLE-O-007|later|Y|46475</v>
      </c>
    </row>
    <row r="132" customFormat="false" ht="15" hidden="false" customHeight="false" outlineLevel="0" collapsed="false">
      <c r="A132" s="0" t="s">
        <v>954</v>
      </c>
      <c r="B132" s="0" t="s">
        <v>584</v>
      </c>
      <c r="C132" s="0" t="s">
        <v>696</v>
      </c>
      <c r="D132" s="10" t="s">
        <v>968</v>
      </c>
      <c r="E132" s="11" t="n">
        <v>46469</v>
      </c>
      <c r="F132" s="38" t="n">
        <v>0.444444444444444</v>
      </c>
      <c r="G132" s="10" t="s">
        <v>338</v>
      </c>
      <c r="H132" s="10" t="s">
        <v>1106</v>
      </c>
      <c r="I132" s="11" t="n">
        <v>46469</v>
      </c>
      <c r="J132" s="10" t="s">
        <v>486</v>
      </c>
      <c r="K132" s="10" t="s">
        <v>486</v>
      </c>
      <c r="M132" s="31" t="n">
        <f aca="false">IF($B132="","",IFERROR(IF(INDEX(campaigns!$BG$2:$BG$51,MATCH($B132,campaigns!$A$2:$A$51,0))="","",INDEX(campaigns!$BG$2:$BG$51,MATCH($B132,campaigns!$A$2:$A$51,0))),""))</f>
        <v>46469</v>
      </c>
      <c r="N132" s="30" t="n">
        <f aca="false">IF(OR($B132="",$E132="",$M132=""),"",IF($E132&lt;$M132,0,NETWORKDAYS($M132,$E132,calendar!$A$2:$A$80)))</f>
        <v>1</v>
      </c>
      <c r="O132" s="30" t="str">
        <f aca="false">IF($B132="","",IF(AND($K132="Y",OR($D132="later",$J132="Y")),"Y","N"))</f>
        <v>Y</v>
      </c>
      <c r="P132" s="30" t="str">
        <f aca="false">IF(OR($B132="",$E132=""),"",$B132&amp;"_"&amp;$C132&amp;"_"&amp;$D132&amp;"_"&amp;TEXT($E132,"yyyy-mm-dd")&amp;".jpg")</f>
        <v>SAMPLE-CMP-008_SAMPLE-O-009_placement_2027-03-23.jpg</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SAMPLE-CMP-008|SAMPLE-O-009|placement|Y</v>
      </c>
      <c r="S132" s="30" t="str">
        <f aca="false">IF($B132="","",$R132&amp;"|"&amp;N($E132))</f>
        <v>SAMPLE-CMP-008|SAMPLE-O-009|placement|Y|46469</v>
      </c>
    </row>
    <row r="133" customFormat="false" ht="15" hidden="false" customHeight="false" outlineLevel="0" collapsed="false">
      <c r="A133" s="0" t="s">
        <v>955</v>
      </c>
      <c r="B133" s="0" t="s">
        <v>584</v>
      </c>
      <c r="C133" s="0" t="s">
        <v>696</v>
      </c>
      <c r="D133" s="10" t="s">
        <v>970</v>
      </c>
      <c r="E133" s="11" t="n">
        <v>46475</v>
      </c>
      <c r="F133" s="38" t="n">
        <v>0.625</v>
      </c>
      <c r="G133" s="10" t="s">
        <v>137</v>
      </c>
      <c r="H133" s="10" t="s">
        <v>1107</v>
      </c>
      <c r="I133" s="11" t="n">
        <v>46475</v>
      </c>
      <c r="J133" s="10" t="s">
        <v>486</v>
      </c>
      <c r="K133" s="10" t="s">
        <v>486</v>
      </c>
      <c r="M133" s="31" t="n">
        <f aca="false">IF($B133="","",IFERROR(IF(INDEX(campaigns!$BG$2:$BG$51,MATCH($B133,campaigns!$A$2:$A$51,0))="","",INDEX(campaigns!$BG$2:$BG$51,MATCH($B133,campaigns!$A$2:$A$51,0))),""))</f>
        <v>46469</v>
      </c>
      <c r="N133" s="30" t="n">
        <f aca="false">IF(OR($B133="",$E133="",$M133=""),"",IF($E133&lt;$M133,0,NETWORKDAYS($M133,$E133,calendar!$A$2:$A$80)))</f>
        <v>5</v>
      </c>
      <c r="O133" s="30" t="str">
        <f aca="false">IF($B133="","",IF(AND($K133="Y",OR($D133="later",$J133="Y")),"Y","N"))</f>
        <v>Y</v>
      </c>
      <c r="P133" s="30" t="str">
        <f aca="false">IF(OR($B133="",$E133=""),"",$B133&amp;"_"&amp;$C133&amp;"_"&amp;$D133&amp;"_"&amp;TEXT($E133,"yyyy-mm-dd")&amp;".jpg")</f>
        <v>SAMPLE-CMP-008_SAMPLE-O-009_later_2027-03-29.jpg</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SAMPLE-CMP-008|SAMPLE-O-009|later|Y</v>
      </c>
      <c r="S133" s="30" t="str">
        <f aca="false">IF($B133="","",$R133&amp;"|"&amp;N($E133))</f>
        <v>SAMPLE-CMP-008|SAMPLE-O-009|later|Y|46475</v>
      </c>
    </row>
    <row r="134" customFormat="false" ht="15" hidden="false" customHeight="false" outlineLevel="0" collapsed="false">
      <c r="A134" s="0" t="s">
        <v>956</v>
      </c>
      <c r="B134" s="0" t="s">
        <v>584</v>
      </c>
      <c r="C134" s="0" t="s">
        <v>698</v>
      </c>
      <c r="D134" s="10" t="s">
        <v>968</v>
      </c>
      <c r="E134" s="11" t="n">
        <v>46469</v>
      </c>
      <c r="F134" s="38" t="n">
        <v>0.541666666666667</v>
      </c>
      <c r="G134" s="10" t="s">
        <v>137</v>
      </c>
      <c r="H134" s="10" t="s">
        <v>1108</v>
      </c>
      <c r="I134" s="11" t="n">
        <v>46469</v>
      </c>
      <c r="J134" s="10" t="s">
        <v>486</v>
      </c>
      <c r="K134" s="10" t="s">
        <v>486</v>
      </c>
      <c r="M134" s="31" t="n">
        <f aca="false">IF($B134="","",IFERROR(IF(INDEX(campaigns!$BG$2:$BG$51,MATCH($B134,campaigns!$A$2:$A$51,0))="","",INDEX(campaigns!$BG$2:$BG$51,MATCH($B134,campaigns!$A$2:$A$51,0))),""))</f>
        <v>46469</v>
      </c>
      <c r="N134" s="30" t="n">
        <f aca="false">IF(OR($B134="",$E134="",$M134=""),"",IF($E134&lt;$M134,0,NETWORKDAYS($M134,$E134,calendar!$A$2:$A$80)))</f>
        <v>1</v>
      </c>
      <c r="O134" s="30" t="str">
        <f aca="false">IF($B134="","",IF(AND($K134="Y",OR($D134="later",$J134="Y")),"Y","N"))</f>
        <v>Y</v>
      </c>
      <c r="P134" s="30" t="str">
        <f aca="false">IF(OR($B134="",$E134=""),"",$B134&amp;"_"&amp;$C134&amp;"_"&amp;$D134&amp;"_"&amp;TEXT($E134,"yyyy-mm-dd")&amp;".jpg")</f>
        <v>SAMPLE-CMP-008_SAMPLE-O-010_placement_2027-03-23.jpg</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SAMPLE-CMP-008|SAMPLE-O-010|placement|Y</v>
      </c>
      <c r="S134" s="30" t="str">
        <f aca="false">IF($B134="","",$R134&amp;"|"&amp;N($E134))</f>
        <v>SAMPLE-CMP-008|SAMPLE-O-010|placement|Y|46469</v>
      </c>
    </row>
    <row r="135" customFormat="false" ht="15" hidden="false" customHeight="false" outlineLevel="0" collapsed="false">
      <c r="A135" s="0" t="s">
        <v>957</v>
      </c>
      <c r="B135" s="0" t="s">
        <v>584</v>
      </c>
      <c r="C135" s="0" t="s">
        <v>698</v>
      </c>
      <c r="D135" s="10" t="s">
        <v>970</v>
      </c>
      <c r="E135" s="11" t="n">
        <v>46475</v>
      </c>
      <c r="F135" s="38" t="n">
        <v>0.625</v>
      </c>
      <c r="G135" s="10" t="s">
        <v>137</v>
      </c>
      <c r="H135" s="10" t="s">
        <v>1109</v>
      </c>
      <c r="I135" s="11" t="n">
        <v>46475</v>
      </c>
      <c r="J135" s="10" t="s">
        <v>486</v>
      </c>
      <c r="K135" s="10" t="s">
        <v>486</v>
      </c>
      <c r="M135" s="31" t="n">
        <f aca="false">IF($B135="","",IFERROR(IF(INDEX(campaigns!$BG$2:$BG$51,MATCH($B135,campaigns!$A$2:$A$51,0))="","",INDEX(campaigns!$BG$2:$BG$51,MATCH($B135,campaigns!$A$2:$A$51,0))),""))</f>
        <v>46469</v>
      </c>
      <c r="N135" s="30" t="n">
        <f aca="false">IF(OR($B135="",$E135="",$M135=""),"",IF($E135&lt;$M135,0,NETWORKDAYS($M135,$E135,calendar!$A$2:$A$80)))</f>
        <v>5</v>
      </c>
      <c r="O135" s="30" t="str">
        <f aca="false">IF($B135="","",IF(AND($K135="Y",OR($D135="later",$J135="Y")),"Y","N"))</f>
        <v>Y</v>
      </c>
      <c r="P135" s="30" t="str">
        <f aca="false">IF(OR($B135="",$E135=""),"",$B135&amp;"_"&amp;$C135&amp;"_"&amp;$D135&amp;"_"&amp;TEXT($E135,"yyyy-mm-dd")&amp;".jpg")</f>
        <v>SAMPLE-CMP-008_SAMPLE-O-010_later_2027-03-29.jpg</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SAMPLE-CMP-008|SAMPLE-O-010|later|Y</v>
      </c>
      <c r="S135" s="30" t="str">
        <f aca="false">IF($B135="","",$R135&amp;"|"&amp;N($E135))</f>
        <v>SAMPLE-CMP-008|SAMPLE-O-010|later|Y|46475</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358</v>
      </c>
      <c r="B1" s="29" t="s">
        <v>642</v>
      </c>
      <c r="C1" s="29" t="s">
        <v>1110</v>
      </c>
      <c r="D1" s="29" t="s">
        <v>1111</v>
      </c>
      <c r="E1" s="29" t="s">
        <v>1112</v>
      </c>
      <c r="F1" s="29" t="s">
        <v>712</v>
      </c>
      <c r="G1" s="29" t="s">
        <v>1113</v>
      </c>
      <c r="H1" s="29" t="s">
        <v>1114</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SAMPLE-CMP-007</v>
      </c>
      <c r="B102" s="30" t="str">
        <f aca="false">IF(INDEX(approvals!$A$2:$A$251,INT((ROW()-2)/2)+1)="","",INDEX(approvals!$B$2:$B$251,INT((ROW()-2)/2)+1))</f>
        <v>SAMPLE-O-001</v>
      </c>
      <c r="C102" s="30" t="str">
        <f aca="false">IF($A102="","",IF(MOD(ROW()-2,2)=0,"qr","post"))</f>
        <v>qr</v>
      </c>
      <c r="D102" s="30" t="str">
        <f aca="false">IF($A102="","",IF(LEFT($A102,7)="SAMPLE-","SAMPLE-","")&amp;LOWER(SUBSTITUTE(SUBSTITUTE($A102,"SAMPLE-",""),"CMP-","c"))&amp;"-"&amp;LOWER(SUBSTITUTE(SUBSTITUTE($B102,"SAMPLE-",""),"O-","o"))&amp;"-"&amp;IF($C102="qr","q","p"))</f>
        <v>SAMPLE-c007-o001-q</v>
      </c>
      <c r="E102" s="30" t="str">
        <f aca="false">IF($A102="","","https://"&amp;config!$B$9&amp;"/"&amp;$D102)</f>
        <v>https://go.example.com/SAMPLE-c007-o001-q</v>
      </c>
      <c r="F102" s="30" t="str">
        <f aca="false">IF($A102="","",$A102&amp;"."&amp;$B102)</f>
        <v>SAMPLE-CMP-007.SAMPLE-O-001</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https://docs.google.com/forms/d/e/SAMPLE-CMP-007-FORM/viewform?usp=pp_url&amp;entry.1000001=SAMPLE-CMP-007.SAMPLE-O-001&amp;utm_source=office-pantry&amp;utm_medium=qr&amp;utm_campaign=sample-cmp-007&amp;utm_content=sample-o-001</v>
      </c>
      <c r="H102" s="30" t="str">
        <f aca="false">IF(OR($A102="",$C102&lt;&gt;"qr"),"",$D102&amp;".png")</f>
        <v>SAMPLE-c007-o001-q.png</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SAMPLE-CMP-007</v>
      </c>
      <c r="B103" s="30" t="str">
        <f aca="false">IF(INDEX(approvals!$A$2:$A$251,INT((ROW()-2)/2)+1)="","",INDEX(approvals!$B$2:$B$251,INT((ROW()-2)/2)+1))</f>
        <v>SAMPLE-O-001</v>
      </c>
      <c r="C103" s="30" t="str">
        <f aca="false">IF($A103="","",IF(MOD(ROW()-2,2)=0,"qr","post"))</f>
        <v>post</v>
      </c>
      <c r="D103" s="30" t="str">
        <f aca="false">IF($A103="","",IF(LEFT($A103,7)="SAMPLE-","SAMPLE-","")&amp;LOWER(SUBSTITUTE(SUBSTITUTE($A103,"SAMPLE-",""),"CMP-","c"))&amp;"-"&amp;LOWER(SUBSTITUTE(SUBSTITUTE($B103,"SAMPLE-",""),"O-","o"))&amp;"-"&amp;IF($C103="qr","q","p"))</f>
        <v>SAMPLE-c007-o001-p</v>
      </c>
      <c r="E103" s="30" t="str">
        <f aca="false">IF($A103="","","https://"&amp;config!$B$9&amp;"/"&amp;$D103)</f>
        <v>https://go.example.com/SAMPLE-c007-o001-p</v>
      </c>
      <c r="F103" s="30" t="str">
        <f aca="false">IF($A103="","",$A103&amp;"."&amp;$B103)</f>
        <v>SAMPLE-CMP-007.SAMPLE-O-001</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https://docs.google.com/forms/d/e/SAMPLE-CMP-007-FORM/viewform?usp=pp_url&amp;entry.1000001=SAMPLE-CMP-007.SAMPLE-O-001&amp;utm_source=office-pantry&amp;utm_medium=post&amp;utm_campaign=sample-cmp-007&amp;utm_content=sample-o-001</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SAMPLE-CMP-007</v>
      </c>
      <c r="B104" s="30" t="str">
        <f aca="false">IF(INDEX(approvals!$A$2:$A$251,INT((ROW()-2)/2)+1)="","",INDEX(approvals!$B$2:$B$251,INT((ROW()-2)/2)+1))</f>
        <v>SAMPLE-O-002</v>
      </c>
      <c r="C104" s="30" t="str">
        <f aca="false">IF($A104="","",IF(MOD(ROW()-2,2)=0,"qr","post"))</f>
        <v>qr</v>
      </c>
      <c r="D104" s="30" t="str">
        <f aca="false">IF($A104="","",IF(LEFT($A104,7)="SAMPLE-","SAMPLE-","")&amp;LOWER(SUBSTITUTE(SUBSTITUTE($A104,"SAMPLE-",""),"CMP-","c"))&amp;"-"&amp;LOWER(SUBSTITUTE(SUBSTITUTE($B104,"SAMPLE-",""),"O-","o"))&amp;"-"&amp;IF($C104="qr","q","p"))</f>
        <v>SAMPLE-c007-o002-q</v>
      </c>
      <c r="E104" s="30" t="str">
        <f aca="false">IF($A104="","","https://"&amp;config!$B$9&amp;"/"&amp;$D104)</f>
        <v>https://go.example.com/SAMPLE-c007-o002-q</v>
      </c>
      <c r="F104" s="30" t="str">
        <f aca="false">IF($A104="","",$A104&amp;"."&amp;$B104)</f>
        <v>SAMPLE-CMP-007.SAMPLE-O-002</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https://docs.google.com/forms/d/e/SAMPLE-CMP-007-FORM/viewform?usp=pp_url&amp;entry.1000001=SAMPLE-CMP-007.SAMPLE-O-002&amp;utm_source=office-pantry&amp;utm_medium=qr&amp;utm_campaign=sample-cmp-007&amp;utm_content=sample-o-002</v>
      </c>
      <c r="H104" s="30" t="str">
        <f aca="false">IF(OR($A104="",$C104&lt;&gt;"qr"),"",$D104&amp;".png")</f>
        <v>SAMPLE-c007-o002-q.png</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SAMPLE-CMP-007</v>
      </c>
      <c r="B105" s="30" t="str">
        <f aca="false">IF(INDEX(approvals!$A$2:$A$251,INT((ROW()-2)/2)+1)="","",INDEX(approvals!$B$2:$B$251,INT((ROW()-2)/2)+1))</f>
        <v>SAMPLE-O-002</v>
      </c>
      <c r="C105" s="30" t="str">
        <f aca="false">IF($A105="","",IF(MOD(ROW()-2,2)=0,"qr","post"))</f>
        <v>post</v>
      </c>
      <c r="D105" s="30" t="str">
        <f aca="false">IF($A105="","",IF(LEFT($A105,7)="SAMPLE-","SAMPLE-","")&amp;LOWER(SUBSTITUTE(SUBSTITUTE($A105,"SAMPLE-",""),"CMP-","c"))&amp;"-"&amp;LOWER(SUBSTITUTE(SUBSTITUTE($B105,"SAMPLE-",""),"O-","o"))&amp;"-"&amp;IF($C105="qr","q","p"))</f>
        <v>SAMPLE-c007-o002-p</v>
      </c>
      <c r="E105" s="30" t="str">
        <f aca="false">IF($A105="","","https://"&amp;config!$B$9&amp;"/"&amp;$D105)</f>
        <v>https://go.example.com/SAMPLE-c007-o002-p</v>
      </c>
      <c r="F105" s="30" t="str">
        <f aca="false">IF($A105="","",$A105&amp;"."&amp;$B105)</f>
        <v>SAMPLE-CMP-007.SAMPLE-O-002</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https://docs.google.com/forms/d/e/SAMPLE-CMP-007-FORM/viewform?usp=pp_url&amp;entry.1000001=SAMPLE-CMP-007.SAMPLE-O-002&amp;utm_source=office-pantry&amp;utm_medium=post&amp;utm_campaign=sample-cmp-007&amp;utm_content=sample-o-002</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SAMPLE-CMP-007</v>
      </c>
      <c r="B106" s="30" t="str">
        <f aca="false">IF(INDEX(approvals!$A$2:$A$251,INT((ROW()-2)/2)+1)="","",INDEX(approvals!$B$2:$B$251,INT((ROW()-2)/2)+1))</f>
        <v>SAMPLE-O-003</v>
      </c>
      <c r="C106" s="30" t="str">
        <f aca="false">IF($A106="","",IF(MOD(ROW()-2,2)=0,"qr","post"))</f>
        <v>qr</v>
      </c>
      <c r="D106" s="30" t="str">
        <f aca="false">IF($A106="","",IF(LEFT($A106,7)="SAMPLE-","SAMPLE-","")&amp;LOWER(SUBSTITUTE(SUBSTITUTE($A106,"SAMPLE-",""),"CMP-","c"))&amp;"-"&amp;LOWER(SUBSTITUTE(SUBSTITUTE($B106,"SAMPLE-",""),"O-","o"))&amp;"-"&amp;IF($C106="qr","q","p"))</f>
        <v>SAMPLE-c007-o003-q</v>
      </c>
      <c r="E106" s="30" t="str">
        <f aca="false">IF($A106="","","https://"&amp;config!$B$9&amp;"/"&amp;$D106)</f>
        <v>https://go.example.com/SAMPLE-c007-o003-q</v>
      </c>
      <c r="F106" s="30" t="str">
        <f aca="false">IF($A106="","",$A106&amp;"."&amp;$B106)</f>
        <v>SAMPLE-CMP-007.SAMPLE-O-003</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https://docs.google.com/forms/d/e/SAMPLE-CMP-007-FORM/viewform?usp=pp_url&amp;entry.1000001=SAMPLE-CMP-007.SAMPLE-O-003&amp;utm_source=office-pantry&amp;utm_medium=qr&amp;utm_campaign=sample-cmp-007&amp;utm_content=sample-o-003</v>
      </c>
      <c r="H106" s="30" t="str">
        <f aca="false">IF(OR($A106="",$C106&lt;&gt;"qr"),"",$D106&amp;".png")</f>
        <v>SAMPLE-c007-o003-q.png</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SAMPLE-CMP-007</v>
      </c>
      <c r="B107" s="30" t="str">
        <f aca="false">IF(INDEX(approvals!$A$2:$A$251,INT((ROW()-2)/2)+1)="","",INDEX(approvals!$B$2:$B$251,INT((ROW()-2)/2)+1))</f>
        <v>SAMPLE-O-003</v>
      </c>
      <c r="C107" s="30" t="str">
        <f aca="false">IF($A107="","",IF(MOD(ROW()-2,2)=0,"qr","post"))</f>
        <v>post</v>
      </c>
      <c r="D107" s="30" t="str">
        <f aca="false">IF($A107="","",IF(LEFT($A107,7)="SAMPLE-","SAMPLE-","")&amp;LOWER(SUBSTITUTE(SUBSTITUTE($A107,"SAMPLE-",""),"CMP-","c"))&amp;"-"&amp;LOWER(SUBSTITUTE(SUBSTITUTE($B107,"SAMPLE-",""),"O-","o"))&amp;"-"&amp;IF($C107="qr","q","p"))</f>
        <v>SAMPLE-c007-o003-p</v>
      </c>
      <c r="E107" s="30" t="str">
        <f aca="false">IF($A107="","","https://"&amp;config!$B$9&amp;"/"&amp;$D107)</f>
        <v>https://go.example.com/SAMPLE-c007-o003-p</v>
      </c>
      <c r="F107" s="30" t="str">
        <f aca="false">IF($A107="","",$A107&amp;"."&amp;$B107)</f>
        <v>SAMPLE-CMP-007.SAMPLE-O-003</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https://docs.google.com/forms/d/e/SAMPLE-CMP-007-FORM/viewform?usp=pp_url&amp;entry.1000001=SAMPLE-CMP-007.SAMPLE-O-003&amp;utm_source=office-pantry&amp;utm_medium=post&amp;utm_campaign=sample-cmp-007&amp;utm_content=sample-o-003</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SAMPLE-CMP-007</v>
      </c>
      <c r="B108" s="30" t="str">
        <f aca="false">IF(INDEX(approvals!$A$2:$A$251,INT((ROW()-2)/2)+1)="","",INDEX(approvals!$B$2:$B$251,INT((ROW()-2)/2)+1))</f>
        <v>SAMPLE-O-004</v>
      </c>
      <c r="C108" s="30" t="str">
        <f aca="false">IF($A108="","",IF(MOD(ROW()-2,2)=0,"qr","post"))</f>
        <v>qr</v>
      </c>
      <c r="D108" s="30" t="str">
        <f aca="false">IF($A108="","",IF(LEFT($A108,7)="SAMPLE-","SAMPLE-","")&amp;LOWER(SUBSTITUTE(SUBSTITUTE($A108,"SAMPLE-",""),"CMP-","c"))&amp;"-"&amp;LOWER(SUBSTITUTE(SUBSTITUTE($B108,"SAMPLE-",""),"O-","o"))&amp;"-"&amp;IF($C108="qr","q","p"))</f>
        <v>SAMPLE-c007-o004-q</v>
      </c>
      <c r="E108" s="30" t="str">
        <f aca="false">IF($A108="","","https://"&amp;config!$B$9&amp;"/"&amp;$D108)</f>
        <v>https://go.example.com/SAMPLE-c007-o004-q</v>
      </c>
      <c r="F108" s="30" t="str">
        <f aca="false">IF($A108="","",$A108&amp;"."&amp;$B108)</f>
        <v>SAMPLE-CMP-007.SAMPLE-O-004</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https://docs.google.com/forms/d/e/SAMPLE-CMP-007-FORM/viewform?usp=pp_url&amp;entry.1000001=SAMPLE-CMP-007.SAMPLE-O-004&amp;utm_source=office-pantry&amp;utm_medium=qr&amp;utm_campaign=sample-cmp-007&amp;utm_content=sample-o-004</v>
      </c>
      <c r="H108" s="30" t="str">
        <f aca="false">IF(OR($A108="",$C108&lt;&gt;"qr"),"",$D108&amp;".png")</f>
        <v>SAMPLE-c007-o004-q.png</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SAMPLE-CMP-007</v>
      </c>
      <c r="B109" s="30" t="str">
        <f aca="false">IF(INDEX(approvals!$A$2:$A$251,INT((ROW()-2)/2)+1)="","",INDEX(approvals!$B$2:$B$251,INT((ROW()-2)/2)+1))</f>
        <v>SAMPLE-O-004</v>
      </c>
      <c r="C109" s="30" t="str">
        <f aca="false">IF($A109="","",IF(MOD(ROW()-2,2)=0,"qr","post"))</f>
        <v>post</v>
      </c>
      <c r="D109" s="30" t="str">
        <f aca="false">IF($A109="","",IF(LEFT($A109,7)="SAMPLE-","SAMPLE-","")&amp;LOWER(SUBSTITUTE(SUBSTITUTE($A109,"SAMPLE-",""),"CMP-","c"))&amp;"-"&amp;LOWER(SUBSTITUTE(SUBSTITUTE($B109,"SAMPLE-",""),"O-","o"))&amp;"-"&amp;IF($C109="qr","q","p"))</f>
        <v>SAMPLE-c007-o004-p</v>
      </c>
      <c r="E109" s="30" t="str">
        <f aca="false">IF($A109="","","https://"&amp;config!$B$9&amp;"/"&amp;$D109)</f>
        <v>https://go.example.com/SAMPLE-c007-o004-p</v>
      </c>
      <c r="F109" s="30" t="str">
        <f aca="false">IF($A109="","",$A109&amp;"."&amp;$B109)</f>
        <v>SAMPLE-CMP-007.SAMPLE-O-004</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https://docs.google.com/forms/d/e/SAMPLE-CMP-007-FORM/viewform?usp=pp_url&amp;entry.1000001=SAMPLE-CMP-007.SAMPLE-O-004&amp;utm_source=office-pantry&amp;utm_medium=post&amp;utm_campaign=sample-cmp-007&amp;utm_content=sample-o-004</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SAMPLE-CMP-007</v>
      </c>
      <c r="B110" s="30" t="str">
        <f aca="false">IF(INDEX(approvals!$A$2:$A$251,INT((ROW()-2)/2)+1)="","",INDEX(approvals!$B$2:$B$251,INT((ROW()-2)/2)+1))</f>
        <v>SAMPLE-O-005</v>
      </c>
      <c r="C110" s="30" t="str">
        <f aca="false">IF($A110="","",IF(MOD(ROW()-2,2)=0,"qr","post"))</f>
        <v>qr</v>
      </c>
      <c r="D110" s="30" t="str">
        <f aca="false">IF($A110="","",IF(LEFT($A110,7)="SAMPLE-","SAMPLE-","")&amp;LOWER(SUBSTITUTE(SUBSTITUTE($A110,"SAMPLE-",""),"CMP-","c"))&amp;"-"&amp;LOWER(SUBSTITUTE(SUBSTITUTE($B110,"SAMPLE-",""),"O-","o"))&amp;"-"&amp;IF($C110="qr","q","p"))</f>
        <v>SAMPLE-c007-o005-q</v>
      </c>
      <c r="E110" s="30" t="str">
        <f aca="false">IF($A110="","","https://"&amp;config!$B$9&amp;"/"&amp;$D110)</f>
        <v>https://go.example.com/SAMPLE-c007-o005-q</v>
      </c>
      <c r="F110" s="30" t="str">
        <f aca="false">IF($A110="","",$A110&amp;"."&amp;$B110)</f>
        <v>SAMPLE-CMP-007.SAMPLE-O-005</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https://docs.google.com/forms/d/e/SAMPLE-CMP-007-FORM/viewform?usp=pp_url&amp;entry.1000001=SAMPLE-CMP-007.SAMPLE-O-005&amp;utm_source=office-pantry&amp;utm_medium=qr&amp;utm_campaign=sample-cmp-007&amp;utm_content=sample-o-005</v>
      </c>
      <c r="H110" s="30" t="str">
        <f aca="false">IF(OR($A110="",$C110&lt;&gt;"qr"),"",$D110&amp;".png")</f>
        <v>SAMPLE-c007-o005-q.png</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SAMPLE-CMP-007</v>
      </c>
      <c r="B111" s="30" t="str">
        <f aca="false">IF(INDEX(approvals!$A$2:$A$251,INT((ROW()-2)/2)+1)="","",INDEX(approvals!$B$2:$B$251,INT((ROW()-2)/2)+1))</f>
        <v>SAMPLE-O-005</v>
      </c>
      <c r="C111" s="30" t="str">
        <f aca="false">IF($A111="","",IF(MOD(ROW()-2,2)=0,"qr","post"))</f>
        <v>post</v>
      </c>
      <c r="D111" s="30" t="str">
        <f aca="false">IF($A111="","",IF(LEFT($A111,7)="SAMPLE-","SAMPLE-","")&amp;LOWER(SUBSTITUTE(SUBSTITUTE($A111,"SAMPLE-",""),"CMP-","c"))&amp;"-"&amp;LOWER(SUBSTITUTE(SUBSTITUTE($B111,"SAMPLE-",""),"O-","o"))&amp;"-"&amp;IF($C111="qr","q","p"))</f>
        <v>SAMPLE-c007-o005-p</v>
      </c>
      <c r="E111" s="30" t="str">
        <f aca="false">IF($A111="","","https://"&amp;config!$B$9&amp;"/"&amp;$D111)</f>
        <v>https://go.example.com/SAMPLE-c007-o005-p</v>
      </c>
      <c r="F111" s="30" t="str">
        <f aca="false">IF($A111="","",$A111&amp;"."&amp;$B111)</f>
        <v>SAMPLE-CMP-007.SAMPLE-O-005</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https://docs.google.com/forms/d/e/SAMPLE-CMP-007-FORM/viewform?usp=pp_url&amp;entry.1000001=SAMPLE-CMP-007.SAMPLE-O-005&amp;utm_source=office-pantry&amp;utm_medium=post&amp;utm_campaign=sample-cmp-007&amp;utm_content=sample-o-005</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SAMPLE-CMP-007</v>
      </c>
      <c r="B112" s="30" t="str">
        <f aca="false">IF(INDEX(approvals!$A$2:$A$251,INT((ROW()-2)/2)+1)="","",INDEX(approvals!$B$2:$B$251,INT((ROW()-2)/2)+1))</f>
        <v>SAMPLE-O-006</v>
      </c>
      <c r="C112" s="30" t="str">
        <f aca="false">IF($A112="","",IF(MOD(ROW()-2,2)=0,"qr","post"))</f>
        <v>qr</v>
      </c>
      <c r="D112" s="30" t="str">
        <f aca="false">IF($A112="","",IF(LEFT($A112,7)="SAMPLE-","SAMPLE-","")&amp;LOWER(SUBSTITUTE(SUBSTITUTE($A112,"SAMPLE-",""),"CMP-","c"))&amp;"-"&amp;LOWER(SUBSTITUTE(SUBSTITUTE($B112,"SAMPLE-",""),"O-","o"))&amp;"-"&amp;IF($C112="qr","q","p"))</f>
        <v>SAMPLE-c007-o006-q</v>
      </c>
      <c r="E112" s="30" t="str">
        <f aca="false">IF($A112="","","https://"&amp;config!$B$9&amp;"/"&amp;$D112)</f>
        <v>https://go.example.com/SAMPLE-c007-o006-q</v>
      </c>
      <c r="F112" s="30" t="str">
        <f aca="false">IF($A112="","",$A112&amp;"."&amp;$B112)</f>
        <v>SAMPLE-CMP-007.SAMPLE-O-006</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https://docs.google.com/forms/d/e/SAMPLE-CMP-007-FORM/viewform?usp=pp_url&amp;entry.1000001=SAMPLE-CMP-007.SAMPLE-O-006&amp;utm_source=office-pantry&amp;utm_medium=qr&amp;utm_campaign=sample-cmp-007&amp;utm_content=sample-o-006</v>
      </c>
      <c r="H112" s="30" t="str">
        <f aca="false">IF(OR($A112="",$C112&lt;&gt;"qr"),"",$D112&amp;".png")</f>
        <v>SAMPLE-c007-o006-q.png</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SAMPLE-CMP-007</v>
      </c>
      <c r="B113" s="30" t="str">
        <f aca="false">IF(INDEX(approvals!$A$2:$A$251,INT((ROW()-2)/2)+1)="","",INDEX(approvals!$B$2:$B$251,INT((ROW()-2)/2)+1))</f>
        <v>SAMPLE-O-006</v>
      </c>
      <c r="C113" s="30" t="str">
        <f aca="false">IF($A113="","",IF(MOD(ROW()-2,2)=0,"qr","post"))</f>
        <v>post</v>
      </c>
      <c r="D113" s="30" t="str">
        <f aca="false">IF($A113="","",IF(LEFT($A113,7)="SAMPLE-","SAMPLE-","")&amp;LOWER(SUBSTITUTE(SUBSTITUTE($A113,"SAMPLE-",""),"CMP-","c"))&amp;"-"&amp;LOWER(SUBSTITUTE(SUBSTITUTE($B113,"SAMPLE-",""),"O-","o"))&amp;"-"&amp;IF($C113="qr","q","p"))</f>
        <v>SAMPLE-c007-o006-p</v>
      </c>
      <c r="E113" s="30" t="str">
        <f aca="false">IF($A113="","","https://"&amp;config!$B$9&amp;"/"&amp;$D113)</f>
        <v>https://go.example.com/SAMPLE-c007-o006-p</v>
      </c>
      <c r="F113" s="30" t="str">
        <f aca="false">IF($A113="","",$A113&amp;"."&amp;$B113)</f>
        <v>SAMPLE-CMP-007.SAMPLE-O-006</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https://docs.google.com/forms/d/e/SAMPLE-CMP-007-FORM/viewform?usp=pp_url&amp;entry.1000001=SAMPLE-CMP-007.SAMPLE-O-006&amp;utm_source=office-pantry&amp;utm_medium=post&amp;utm_campaign=sample-cmp-007&amp;utm_content=sample-o-006</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SAMPLE-CMP-007</v>
      </c>
      <c r="B114" s="30" t="str">
        <f aca="false">IF(INDEX(approvals!$A$2:$A$251,INT((ROW()-2)/2)+1)="","",INDEX(approvals!$B$2:$B$251,INT((ROW()-2)/2)+1))</f>
        <v>SAMPLE-O-007</v>
      </c>
      <c r="C114" s="30" t="str">
        <f aca="false">IF($A114="","",IF(MOD(ROW()-2,2)=0,"qr","post"))</f>
        <v>qr</v>
      </c>
      <c r="D114" s="30" t="str">
        <f aca="false">IF($A114="","",IF(LEFT($A114,7)="SAMPLE-","SAMPLE-","")&amp;LOWER(SUBSTITUTE(SUBSTITUTE($A114,"SAMPLE-",""),"CMP-","c"))&amp;"-"&amp;LOWER(SUBSTITUTE(SUBSTITUTE($B114,"SAMPLE-",""),"O-","o"))&amp;"-"&amp;IF($C114="qr","q","p"))</f>
        <v>SAMPLE-c007-o007-q</v>
      </c>
      <c r="E114" s="30" t="str">
        <f aca="false">IF($A114="","","https://"&amp;config!$B$9&amp;"/"&amp;$D114)</f>
        <v>https://go.example.com/SAMPLE-c007-o007-q</v>
      </c>
      <c r="F114" s="30" t="str">
        <f aca="false">IF($A114="","",$A114&amp;"."&amp;$B114)</f>
        <v>SAMPLE-CMP-007.SAMPLE-O-007</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https://docs.google.com/forms/d/e/SAMPLE-CMP-007-FORM/viewform?usp=pp_url&amp;entry.1000001=SAMPLE-CMP-007.SAMPLE-O-007&amp;utm_source=office-pantry&amp;utm_medium=qr&amp;utm_campaign=sample-cmp-007&amp;utm_content=sample-o-007</v>
      </c>
      <c r="H114" s="30" t="str">
        <f aca="false">IF(OR($A114="",$C114&lt;&gt;"qr"),"",$D114&amp;".png")</f>
        <v>SAMPLE-c007-o007-q.png</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SAMPLE-CMP-007</v>
      </c>
      <c r="B115" s="30" t="str">
        <f aca="false">IF(INDEX(approvals!$A$2:$A$251,INT((ROW()-2)/2)+1)="","",INDEX(approvals!$B$2:$B$251,INT((ROW()-2)/2)+1))</f>
        <v>SAMPLE-O-007</v>
      </c>
      <c r="C115" s="30" t="str">
        <f aca="false">IF($A115="","",IF(MOD(ROW()-2,2)=0,"qr","post"))</f>
        <v>post</v>
      </c>
      <c r="D115" s="30" t="str">
        <f aca="false">IF($A115="","",IF(LEFT($A115,7)="SAMPLE-","SAMPLE-","")&amp;LOWER(SUBSTITUTE(SUBSTITUTE($A115,"SAMPLE-",""),"CMP-","c"))&amp;"-"&amp;LOWER(SUBSTITUTE(SUBSTITUTE($B115,"SAMPLE-",""),"O-","o"))&amp;"-"&amp;IF($C115="qr","q","p"))</f>
        <v>SAMPLE-c007-o007-p</v>
      </c>
      <c r="E115" s="30" t="str">
        <f aca="false">IF($A115="","","https://"&amp;config!$B$9&amp;"/"&amp;$D115)</f>
        <v>https://go.example.com/SAMPLE-c007-o007-p</v>
      </c>
      <c r="F115" s="30" t="str">
        <f aca="false">IF($A115="","",$A115&amp;"."&amp;$B115)</f>
        <v>SAMPLE-CMP-007.SAMPLE-O-007</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https://docs.google.com/forms/d/e/SAMPLE-CMP-007-FORM/viewform?usp=pp_url&amp;entry.1000001=SAMPLE-CMP-007.SAMPLE-O-007&amp;utm_source=office-pantry&amp;utm_medium=post&amp;utm_campaign=sample-cmp-007&amp;utm_content=sample-o-007</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SAMPLE-CMP-007</v>
      </c>
      <c r="B116" s="30" t="str">
        <f aca="false">IF(INDEX(approvals!$A$2:$A$251,INT((ROW()-2)/2)+1)="","",INDEX(approvals!$B$2:$B$251,INT((ROW()-2)/2)+1))</f>
        <v>SAMPLE-O-008</v>
      </c>
      <c r="C116" s="30" t="str">
        <f aca="false">IF($A116="","",IF(MOD(ROW()-2,2)=0,"qr","post"))</f>
        <v>qr</v>
      </c>
      <c r="D116" s="30" t="str">
        <f aca="false">IF($A116="","",IF(LEFT($A116,7)="SAMPLE-","SAMPLE-","")&amp;LOWER(SUBSTITUTE(SUBSTITUTE($A116,"SAMPLE-",""),"CMP-","c"))&amp;"-"&amp;LOWER(SUBSTITUTE(SUBSTITUTE($B116,"SAMPLE-",""),"O-","o"))&amp;"-"&amp;IF($C116="qr","q","p"))</f>
        <v>SAMPLE-c007-o008-q</v>
      </c>
      <c r="E116" s="30" t="str">
        <f aca="false">IF($A116="","","https://"&amp;config!$B$9&amp;"/"&amp;$D116)</f>
        <v>https://go.example.com/SAMPLE-c007-o008-q</v>
      </c>
      <c r="F116" s="30" t="str">
        <f aca="false">IF($A116="","",$A116&amp;"."&amp;$B116)</f>
        <v>SAMPLE-CMP-007.SAMPLE-O-008</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https://docs.google.com/forms/d/e/SAMPLE-CMP-007-FORM/viewform?usp=pp_url&amp;entry.1000001=SAMPLE-CMP-007.SAMPLE-O-008&amp;utm_source=office-pantry&amp;utm_medium=qr&amp;utm_campaign=sample-cmp-007&amp;utm_content=sample-o-008</v>
      </c>
      <c r="H116" s="30" t="str">
        <f aca="false">IF(OR($A116="",$C116&lt;&gt;"qr"),"",$D116&amp;".png")</f>
        <v>SAMPLE-c007-o008-q.png</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SAMPLE-CMP-007</v>
      </c>
      <c r="B117" s="30" t="str">
        <f aca="false">IF(INDEX(approvals!$A$2:$A$251,INT((ROW()-2)/2)+1)="","",INDEX(approvals!$B$2:$B$251,INT((ROW()-2)/2)+1))</f>
        <v>SAMPLE-O-008</v>
      </c>
      <c r="C117" s="30" t="str">
        <f aca="false">IF($A117="","",IF(MOD(ROW()-2,2)=0,"qr","post"))</f>
        <v>post</v>
      </c>
      <c r="D117" s="30" t="str">
        <f aca="false">IF($A117="","",IF(LEFT($A117,7)="SAMPLE-","SAMPLE-","")&amp;LOWER(SUBSTITUTE(SUBSTITUTE($A117,"SAMPLE-",""),"CMP-","c"))&amp;"-"&amp;LOWER(SUBSTITUTE(SUBSTITUTE($B117,"SAMPLE-",""),"O-","o"))&amp;"-"&amp;IF($C117="qr","q","p"))</f>
        <v>SAMPLE-c007-o008-p</v>
      </c>
      <c r="E117" s="30" t="str">
        <f aca="false">IF($A117="","","https://"&amp;config!$B$9&amp;"/"&amp;$D117)</f>
        <v>https://go.example.com/SAMPLE-c007-o008-p</v>
      </c>
      <c r="F117" s="30" t="str">
        <f aca="false">IF($A117="","",$A117&amp;"."&amp;$B117)</f>
        <v>SAMPLE-CMP-007.SAMPLE-O-008</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https://docs.google.com/forms/d/e/SAMPLE-CMP-007-FORM/viewform?usp=pp_url&amp;entry.1000001=SAMPLE-CMP-007.SAMPLE-O-008&amp;utm_source=office-pantry&amp;utm_medium=post&amp;utm_campaign=sample-cmp-007&amp;utm_content=sample-o-008</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SAMPLE-CMP-007</v>
      </c>
      <c r="B118" s="30" t="str">
        <f aca="false">IF(INDEX(approvals!$A$2:$A$251,INT((ROW()-2)/2)+1)="","",INDEX(approvals!$B$2:$B$251,INT((ROW()-2)/2)+1))</f>
        <v>SAMPLE-O-009</v>
      </c>
      <c r="C118" s="30" t="str">
        <f aca="false">IF($A118="","",IF(MOD(ROW()-2,2)=0,"qr","post"))</f>
        <v>qr</v>
      </c>
      <c r="D118" s="30" t="str">
        <f aca="false">IF($A118="","",IF(LEFT($A118,7)="SAMPLE-","SAMPLE-","")&amp;LOWER(SUBSTITUTE(SUBSTITUTE($A118,"SAMPLE-",""),"CMP-","c"))&amp;"-"&amp;LOWER(SUBSTITUTE(SUBSTITUTE($B118,"SAMPLE-",""),"O-","o"))&amp;"-"&amp;IF($C118="qr","q","p"))</f>
        <v>SAMPLE-c007-o009-q</v>
      </c>
      <c r="E118" s="30" t="str">
        <f aca="false">IF($A118="","","https://"&amp;config!$B$9&amp;"/"&amp;$D118)</f>
        <v>https://go.example.com/SAMPLE-c007-o009-q</v>
      </c>
      <c r="F118" s="30" t="str">
        <f aca="false">IF($A118="","",$A118&amp;"."&amp;$B118)</f>
        <v>SAMPLE-CMP-007.SAMPLE-O-009</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https://docs.google.com/forms/d/e/SAMPLE-CMP-007-FORM/viewform?usp=pp_url&amp;entry.1000001=SAMPLE-CMP-007.SAMPLE-O-009&amp;utm_source=office-pantry&amp;utm_medium=qr&amp;utm_campaign=sample-cmp-007&amp;utm_content=sample-o-009</v>
      </c>
      <c r="H118" s="30" t="str">
        <f aca="false">IF(OR($A118="",$C118&lt;&gt;"qr"),"",$D118&amp;".png")</f>
        <v>SAMPLE-c007-o009-q.png</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SAMPLE-CMP-007</v>
      </c>
      <c r="B119" s="30" t="str">
        <f aca="false">IF(INDEX(approvals!$A$2:$A$251,INT((ROW()-2)/2)+1)="","",INDEX(approvals!$B$2:$B$251,INT((ROW()-2)/2)+1))</f>
        <v>SAMPLE-O-009</v>
      </c>
      <c r="C119" s="30" t="str">
        <f aca="false">IF($A119="","",IF(MOD(ROW()-2,2)=0,"qr","post"))</f>
        <v>post</v>
      </c>
      <c r="D119" s="30" t="str">
        <f aca="false">IF($A119="","",IF(LEFT($A119,7)="SAMPLE-","SAMPLE-","")&amp;LOWER(SUBSTITUTE(SUBSTITUTE($A119,"SAMPLE-",""),"CMP-","c"))&amp;"-"&amp;LOWER(SUBSTITUTE(SUBSTITUTE($B119,"SAMPLE-",""),"O-","o"))&amp;"-"&amp;IF($C119="qr","q","p"))</f>
        <v>SAMPLE-c007-o009-p</v>
      </c>
      <c r="E119" s="30" t="str">
        <f aca="false">IF($A119="","","https://"&amp;config!$B$9&amp;"/"&amp;$D119)</f>
        <v>https://go.example.com/SAMPLE-c007-o009-p</v>
      </c>
      <c r="F119" s="30" t="str">
        <f aca="false">IF($A119="","",$A119&amp;"."&amp;$B119)</f>
        <v>SAMPLE-CMP-007.SAMPLE-O-009</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https://docs.google.com/forms/d/e/SAMPLE-CMP-007-FORM/viewform?usp=pp_url&amp;entry.1000001=SAMPLE-CMP-007.SAMPLE-O-009&amp;utm_source=office-pantry&amp;utm_medium=post&amp;utm_campaign=sample-cmp-007&amp;utm_content=sample-o-009</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SAMPLE-CMP-007</v>
      </c>
      <c r="B120" s="30" t="str">
        <f aca="false">IF(INDEX(approvals!$A$2:$A$251,INT((ROW()-2)/2)+1)="","",INDEX(approvals!$B$2:$B$251,INT((ROW()-2)/2)+1))</f>
        <v>SAMPLE-O-010</v>
      </c>
      <c r="C120" s="30" t="str">
        <f aca="false">IF($A120="","",IF(MOD(ROW()-2,2)=0,"qr","post"))</f>
        <v>qr</v>
      </c>
      <c r="D120" s="30" t="str">
        <f aca="false">IF($A120="","",IF(LEFT($A120,7)="SAMPLE-","SAMPLE-","")&amp;LOWER(SUBSTITUTE(SUBSTITUTE($A120,"SAMPLE-",""),"CMP-","c"))&amp;"-"&amp;LOWER(SUBSTITUTE(SUBSTITUTE($B120,"SAMPLE-",""),"O-","o"))&amp;"-"&amp;IF($C120="qr","q","p"))</f>
        <v>SAMPLE-c007-o010-q</v>
      </c>
      <c r="E120" s="30" t="str">
        <f aca="false">IF($A120="","","https://"&amp;config!$B$9&amp;"/"&amp;$D120)</f>
        <v>https://go.example.com/SAMPLE-c007-o010-q</v>
      </c>
      <c r="F120" s="30" t="str">
        <f aca="false">IF($A120="","",$A120&amp;"."&amp;$B120)</f>
        <v>SAMPLE-CMP-007.SAMPLE-O-010</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https://docs.google.com/forms/d/e/SAMPLE-CMP-007-FORM/viewform?usp=pp_url&amp;entry.1000001=SAMPLE-CMP-007.SAMPLE-O-010&amp;utm_source=office-pantry&amp;utm_medium=qr&amp;utm_campaign=sample-cmp-007&amp;utm_content=sample-o-010</v>
      </c>
      <c r="H120" s="30" t="str">
        <f aca="false">IF(OR($A120="",$C120&lt;&gt;"qr"),"",$D120&amp;".png")</f>
        <v>SAMPLE-c007-o010-q.png</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SAMPLE-CMP-007</v>
      </c>
      <c r="B121" s="30" t="str">
        <f aca="false">IF(INDEX(approvals!$A$2:$A$251,INT((ROW()-2)/2)+1)="","",INDEX(approvals!$B$2:$B$251,INT((ROW()-2)/2)+1))</f>
        <v>SAMPLE-O-010</v>
      </c>
      <c r="C121" s="30" t="str">
        <f aca="false">IF($A121="","",IF(MOD(ROW()-2,2)=0,"qr","post"))</f>
        <v>post</v>
      </c>
      <c r="D121" s="30" t="str">
        <f aca="false">IF($A121="","",IF(LEFT($A121,7)="SAMPLE-","SAMPLE-","")&amp;LOWER(SUBSTITUTE(SUBSTITUTE($A121,"SAMPLE-",""),"CMP-","c"))&amp;"-"&amp;LOWER(SUBSTITUTE(SUBSTITUTE($B121,"SAMPLE-",""),"O-","o"))&amp;"-"&amp;IF($C121="qr","q","p"))</f>
        <v>SAMPLE-c007-o010-p</v>
      </c>
      <c r="E121" s="30" t="str">
        <f aca="false">IF($A121="","","https://"&amp;config!$B$9&amp;"/"&amp;$D121)</f>
        <v>https://go.example.com/SAMPLE-c007-o010-p</v>
      </c>
      <c r="F121" s="30" t="str">
        <f aca="false">IF($A121="","",$A121&amp;"."&amp;$B121)</f>
        <v>SAMPLE-CMP-007.SAMPLE-O-010</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https://docs.google.com/forms/d/e/SAMPLE-CMP-007-FORM/viewform?usp=pp_url&amp;entry.1000001=SAMPLE-CMP-007.SAMPLE-O-010&amp;utm_source=office-pantry&amp;utm_medium=post&amp;utm_campaign=sample-cmp-007&amp;utm_content=sample-o-010</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SAMPLE-CMP-008</v>
      </c>
      <c r="B122" s="30" t="str">
        <f aca="false">IF(INDEX(approvals!$A$2:$A$251,INT((ROW()-2)/2)+1)="","",INDEX(approvals!$B$2:$B$251,INT((ROW()-2)/2)+1))</f>
        <v>SAMPLE-O-001</v>
      </c>
      <c r="C122" s="30" t="str">
        <f aca="false">IF($A122="","",IF(MOD(ROW()-2,2)=0,"qr","post"))</f>
        <v>qr</v>
      </c>
      <c r="D122" s="30" t="str">
        <f aca="false">IF($A122="","",IF(LEFT($A122,7)="SAMPLE-","SAMPLE-","")&amp;LOWER(SUBSTITUTE(SUBSTITUTE($A122,"SAMPLE-",""),"CMP-","c"))&amp;"-"&amp;LOWER(SUBSTITUTE(SUBSTITUTE($B122,"SAMPLE-",""),"O-","o"))&amp;"-"&amp;IF($C122="qr","q","p"))</f>
        <v>SAMPLE-c008-o001-q</v>
      </c>
      <c r="E122" s="30" t="str">
        <f aca="false">IF($A122="","","https://"&amp;config!$B$9&amp;"/"&amp;$D122)</f>
        <v>https://go.example.com/SAMPLE-c008-o001-q</v>
      </c>
      <c r="F122" s="30" t="str">
        <f aca="false">IF($A122="","",$A122&amp;"."&amp;$B122)</f>
        <v>SAMPLE-CMP-008.SAMPLE-O-001</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https://docs.google.com/forms/d/e/SAMPLE-CMP-008-FORM/viewform?usp=pp_url&amp;entry.1000001=SAMPLE-CMP-008.SAMPLE-O-001&amp;utm_source=office-pantry&amp;utm_medium=qr&amp;utm_campaign=sample-cmp-008&amp;utm_content=sample-o-001</v>
      </c>
      <c r="H122" s="30" t="str">
        <f aca="false">IF(OR($A122="",$C122&lt;&gt;"qr"),"",$D122&amp;".png")</f>
        <v>SAMPLE-c008-o001-q.png</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SAMPLE-CMP-008</v>
      </c>
      <c r="B123" s="30" t="str">
        <f aca="false">IF(INDEX(approvals!$A$2:$A$251,INT((ROW()-2)/2)+1)="","",INDEX(approvals!$B$2:$B$251,INT((ROW()-2)/2)+1))</f>
        <v>SAMPLE-O-001</v>
      </c>
      <c r="C123" s="30" t="str">
        <f aca="false">IF($A123="","",IF(MOD(ROW()-2,2)=0,"qr","post"))</f>
        <v>post</v>
      </c>
      <c r="D123" s="30" t="str">
        <f aca="false">IF($A123="","",IF(LEFT($A123,7)="SAMPLE-","SAMPLE-","")&amp;LOWER(SUBSTITUTE(SUBSTITUTE($A123,"SAMPLE-",""),"CMP-","c"))&amp;"-"&amp;LOWER(SUBSTITUTE(SUBSTITUTE($B123,"SAMPLE-",""),"O-","o"))&amp;"-"&amp;IF($C123="qr","q","p"))</f>
        <v>SAMPLE-c008-o001-p</v>
      </c>
      <c r="E123" s="30" t="str">
        <f aca="false">IF($A123="","","https://"&amp;config!$B$9&amp;"/"&amp;$D123)</f>
        <v>https://go.example.com/SAMPLE-c008-o001-p</v>
      </c>
      <c r="F123" s="30" t="str">
        <f aca="false">IF($A123="","",$A123&amp;"."&amp;$B123)</f>
        <v>SAMPLE-CMP-008.SAMPLE-O-001</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https://docs.google.com/forms/d/e/SAMPLE-CMP-008-FORM/viewform?usp=pp_url&amp;entry.1000001=SAMPLE-CMP-008.SAMPLE-O-001&amp;utm_source=office-pantry&amp;utm_medium=post&amp;utm_campaign=sample-cmp-008&amp;utm_content=sample-o-001</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SAMPLE-CMP-008</v>
      </c>
      <c r="B124" s="30" t="str">
        <f aca="false">IF(INDEX(approvals!$A$2:$A$251,INT((ROW()-2)/2)+1)="","",INDEX(approvals!$B$2:$B$251,INT((ROW()-2)/2)+1))</f>
        <v>SAMPLE-O-002</v>
      </c>
      <c r="C124" s="30" t="str">
        <f aca="false">IF($A124="","",IF(MOD(ROW()-2,2)=0,"qr","post"))</f>
        <v>qr</v>
      </c>
      <c r="D124" s="30" t="str">
        <f aca="false">IF($A124="","",IF(LEFT($A124,7)="SAMPLE-","SAMPLE-","")&amp;LOWER(SUBSTITUTE(SUBSTITUTE($A124,"SAMPLE-",""),"CMP-","c"))&amp;"-"&amp;LOWER(SUBSTITUTE(SUBSTITUTE($B124,"SAMPLE-",""),"O-","o"))&amp;"-"&amp;IF($C124="qr","q","p"))</f>
        <v>SAMPLE-c008-o002-q</v>
      </c>
      <c r="E124" s="30" t="str">
        <f aca="false">IF($A124="","","https://"&amp;config!$B$9&amp;"/"&amp;$D124)</f>
        <v>https://go.example.com/SAMPLE-c008-o002-q</v>
      </c>
      <c r="F124" s="30" t="str">
        <f aca="false">IF($A124="","",$A124&amp;"."&amp;$B124)</f>
        <v>SAMPLE-CMP-008.SAMPLE-O-002</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https://docs.google.com/forms/d/e/SAMPLE-CMP-008-FORM/viewform?usp=pp_url&amp;entry.1000001=SAMPLE-CMP-008.SAMPLE-O-002&amp;utm_source=office-pantry&amp;utm_medium=qr&amp;utm_campaign=sample-cmp-008&amp;utm_content=sample-o-002</v>
      </c>
      <c r="H124" s="30" t="str">
        <f aca="false">IF(OR($A124="",$C124&lt;&gt;"qr"),"",$D124&amp;".png")</f>
        <v>SAMPLE-c008-o002-q.png</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SAMPLE-CMP-008</v>
      </c>
      <c r="B125" s="30" t="str">
        <f aca="false">IF(INDEX(approvals!$A$2:$A$251,INT((ROW()-2)/2)+1)="","",INDEX(approvals!$B$2:$B$251,INT((ROW()-2)/2)+1))</f>
        <v>SAMPLE-O-002</v>
      </c>
      <c r="C125" s="30" t="str">
        <f aca="false">IF($A125="","",IF(MOD(ROW()-2,2)=0,"qr","post"))</f>
        <v>post</v>
      </c>
      <c r="D125" s="30" t="str">
        <f aca="false">IF($A125="","",IF(LEFT($A125,7)="SAMPLE-","SAMPLE-","")&amp;LOWER(SUBSTITUTE(SUBSTITUTE($A125,"SAMPLE-",""),"CMP-","c"))&amp;"-"&amp;LOWER(SUBSTITUTE(SUBSTITUTE($B125,"SAMPLE-",""),"O-","o"))&amp;"-"&amp;IF($C125="qr","q","p"))</f>
        <v>SAMPLE-c008-o002-p</v>
      </c>
      <c r="E125" s="30" t="str">
        <f aca="false">IF($A125="","","https://"&amp;config!$B$9&amp;"/"&amp;$D125)</f>
        <v>https://go.example.com/SAMPLE-c008-o002-p</v>
      </c>
      <c r="F125" s="30" t="str">
        <f aca="false">IF($A125="","",$A125&amp;"."&amp;$B125)</f>
        <v>SAMPLE-CMP-008.SAMPLE-O-002</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https://docs.google.com/forms/d/e/SAMPLE-CMP-008-FORM/viewform?usp=pp_url&amp;entry.1000001=SAMPLE-CMP-008.SAMPLE-O-002&amp;utm_source=office-pantry&amp;utm_medium=post&amp;utm_campaign=sample-cmp-008&amp;utm_content=sample-o-002</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SAMPLE-CMP-008</v>
      </c>
      <c r="B126" s="30" t="str">
        <f aca="false">IF(INDEX(approvals!$A$2:$A$251,INT((ROW()-2)/2)+1)="","",INDEX(approvals!$B$2:$B$251,INT((ROW()-2)/2)+1))</f>
        <v>SAMPLE-O-003</v>
      </c>
      <c r="C126" s="30" t="str">
        <f aca="false">IF($A126="","",IF(MOD(ROW()-2,2)=0,"qr","post"))</f>
        <v>qr</v>
      </c>
      <c r="D126" s="30" t="str">
        <f aca="false">IF($A126="","",IF(LEFT($A126,7)="SAMPLE-","SAMPLE-","")&amp;LOWER(SUBSTITUTE(SUBSTITUTE($A126,"SAMPLE-",""),"CMP-","c"))&amp;"-"&amp;LOWER(SUBSTITUTE(SUBSTITUTE($B126,"SAMPLE-",""),"O-","o"))&amp;"-"&amp;IF($C126="qr","q","p"))</f>
        <v>SAMPLE-c008-o003-q</v>
      </c>
      <c r="E126" s="30" t="str">
        <f aca="false">IF($A126="","","https://"&amp;config!$B$9&amp;"/"&amp;$D126)</f>
        <v>https://go.example.com/SAMPLE-c008-o003-q</v>
      </c>
      <c r="F126" s="30" t="str">
        <f aca="false">IF($A126="","",$A126&amp;"."&amp;$B126)</f>
        <v>SAMPLE-CMP-008.SAMPLE-O-003</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https://docs.google.com/forms/d/e/SAMPLE-CMP-008-FORM/viewform?usp=pp_url&amp;entry.1000001=SAMPLE-CMP-008.SAMPLE-O-003&amp;utm_source=office-pantry&amp;utm_medium=qr&amp;utm_campaign=sample-cmp-008&amp;utm_content=sample-o-003</v>
      </c>
      <c r="H126" s="30" t="str">
        <f aca="false">IF(OR($A126="",$C126&lt;&gt;"qr"),"",$D126&amp;".png")</f>
        <v>SAMPLE-c008-o003-q.png</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SAMPLE-CMP-008</v>
      </c>
      <c r="B127" s="30" t="str">
        <f aca="false">IF(INDEX(approvals!$A$2:$A$251,INT((ROW()-2)/2)+1)="","",INDEX(approvals!$B$2:$B$251,INT((ROW()-2)/2)+1))</f>
        <v>SAMPLE-O-003</v>
      </c>
      <c r="C127" s="30" t="str">
        <f aca="false">IF($A127="","",IF(MOD(ROW()-2,2)=0,"qr","post"))</f>
        <v>post</v>
      </c>
      <c r="D127" s="30" t="str">
        <f aca="false">IF($A127="","",IF(LEFT($A127,7)="SAMPLE-","SAMPLE-","")&amp;LOWER(SUBSTITUTE(SUBSTITUTE($A127,"SAMPLE-",""),"CMP-","c"))&amp;"-"&amp;LOWER(SUBSTITUTE(SUBSTITUTE($B127,"SAMPLE-",""),"O-","o"))&amp;"-"&amp;IF($C127="qr","q","p"))</f>
        <v>SAMPLE-c008-o003-p</v>
      </c>
      <c r="E127" s="30" t="str">
        <f aca="false">IF($A127="","","https://"&amp;config!$B$9&amp;"/"&amp;$D127)</f>
        <v>https://go.example.com/SAMPLE-c008-o003-p</v>
      </c>
      <c r="F127" s="30" t="str">
        <f aca="false">IF($A127="","",$A127&amp;"."&amp;$B127)</f>
        <v>SAMPLE-CMP-008.SAMPLE-O-003</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https://docs.google.com/forms/d/e/SAMPLE-CMP-008-FORM/viewform?usp=pp_url&amp;entry.1000001=SAMPLE-CMP-008.SAMPLE-O-003&amp;utm_source=office-pantry&amp;utm_medium=post&amp;utm_campaign=sample-cmp-008&amp;utm_content=sample-o-003</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SAMPLE-CMP-008</v>
      </c>
      <c r="B128" s="30" t="str">
        <f aca="false">IF(INDEX(approvals!$A$2:$A$251,INT((ROW()-2)/2)+1)="","",INDEX(approvals!$B$2:$B$251,INT((ROW()-2)/2)+1))</f>
        <v>SAMPLE-O-004</v>
      </c>
      <c r="C128" s="30" t="str">
        <f aca="false">IF($A128="","",IF(MOD(ROW()-2,2)=0,"qr","post"))</f>
        <v>qr</v>
      </c>
      <c r="D128" s="30" t="str">
        <f aca="false">IF($A128="","",IF(LEFT($A128,7)="SAMPLE-","SAMPLE-","")&amp;LOWER(SUBSTITUTE(SUBSTITUTE($A128,"SAMPLE-",""),"CMP-","c"))&amp;"-"&amp;LOWER(SUBSTITUTE(SUBSTITUTE($B128,"SAMPLE-",""),"O-","o"))&amp;"-"&amp;IF($C128="qr","q","p"))</f>
        <v>SAMPLE-c008-o004-q</v>
      </c>
      <c r="E128" s="30" t="str">
        <f aca="false">IF($A128="","","https://"&amp;config!$B$9&amp;"/"&amp;$D128)</f>
        <v>https://go.example.com/SAMPLE-c008-o004-q</v>
      </c>
      <c r="F128" s="30" t="str">
        <f aca="false">IF($A128="","",$A128&amp;"."&amp;$B128)</f>
        <v>SAMPLE-CMP-008.SAMPLE-O-004</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https://docs.google.com/forms/d/e/SAMPLE-CMP-008-FORM/viewform?usp=pp_url&amp;entry.1000001=SAMPLE-CMP-008.SAMPLE-O-004&amp;utm_source=office-pantry&amp;utm_medium=qr&amp;utm_campaign=sample-cmp-008&amp;utm_content=sample-o-004</v>
      </c>
      <c r="H128" s="30" t="str">
        <f aca="false">IF(OR($A128="",$C128&lt;&gt;"qr"),"",$D128&amp;".png")</f>
        <v>SAMPLE-c008-o004-q.png</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SAMPLE-CMP-008</v>
      </c>
      <c r="B129" s="30" t="str">
        <f aca="false">IF(INDEX(approvals!$A$2:$A$251,INT((ROW()-2)/2)+1)="","",INDEX(approvals!$B$2:$B$251,INT((ROW()-2)/2)+1))</f>
        <v>SAMPLE-O-004</v>
      </c>
      <c r="C129" s="30" t="str">
        <f aca="false">IF($A129="","",IF(MOD(ROW()-2,2)=0,"qr","post"))</f>
        <v>post</v>
      </c>
      <c r="D129" s="30" t="str">
        <f aca="false">IF($A129="","",IF(LEFT($A129,7)="SAMPLE-","SAMPLE-","")&amp;LOWER(SUBSTITUTE(SUBSTITUTE($A129,"SAMPLE-",""),"CMP-","c"))&amp;"-"&amp;LOWER(SUBSTITUTE(SUBSTITUTE($B129,"SAMPLE-",""),"O-","o"))&amp;"-"&amp;IF($C129="qr","q","p"))</f>
        <v>SAMPLE-c008-o004-p</v>
      </c>
      <c r="E129" s="30" t="str">
        <f aca="false">IF($A129="","","https://"&amp;config!$B$9&amp;"/"&amp;$D129)</f>
        <v>https://go.example.com/SAMPLE-c008-o004-p</v>
      </c>
      <c r="F129" s="30" t="str">
        <f aca="false">IF($A129="","",$A129&amp;"."&amp;$B129)</f>
        <v>SAMPLE-CMP-008.SAMPLE-O-004</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https://docs.google.com/forms/d/e/SAMPLE-CMP-008-FORM/viewform?usp=pp_url&amp;entry.1000001=SAMPLE-CMP-008.SAMPLE-O-004&amp;utm_source=office-pantry&amp;utm_medium=post&amp;utm_campaign=sample-cmp-008&amp;utm_content=sample-o-004</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SAMPLE-CMP-008</v>
      </c>
      <c r="B130" s="30" t="str">
        <f aca="false">IF(INDEX(approvals!$A$2:$A$251,INT((ROW()-2)/2)+1)="","",INDEX(approvals!$B$2:$B$251,INT((ROW()-2)/2)+1))</f>
        <v>SAMPLE-O-005</v>
      </c>
      <c r="C130" s="30" t="str">
        <f aca="false">IF($A130="","",IF(MOD(ROW()-2,2)=0,"qr","post"))</f>
        <v>qr</v>
      </c>
      <c r="D130" s="30" t="str">
        <f aca="false">IF($A130="","",IF(LEFT($A130,7)="SAMPLE-","SAMPLE-","")&amp;LOWER(SUBSTITUTE(SUBSTITUTE($A130,"SAMPLE-",""),"CMP-","c"))&amp;"-"&amp;LOWER(SUBSTITUTE(SUBSTITUTE($B130,"SAMPLE-",""),"O-","o"))&amp;"-"&amp;IF($C130="qr","q","p"))</f>
        <v>SAMPLE-c008-o005-q</v>
      </c>
      <c r="E130" s="30" t="str">
        <f aca="false">IF($A130="","","https://"&amp;config!$B$9&amp;"/"&amp;$D130)</f>
        <v>https://go.example.com/SAMPLE-c008-o005-q</v>
      </c>
      <c r="F130" s="30" t="str">
        <f aca="false">IF($A130="","",$A130&amp;"."&amp;$B130)</f>
        <v>SAMPLE-CMP-008.SAMPLE-O-005</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https://docs.google.com/forms/d/e/SAMPLE-CMP-008-FORM/viewform?usp=pp_url&amp;entry.1000001=SAMPLE-CMP-008.SAMPLE-O-005&amp;utm_source=office-pantry&amp;utm_medium=qr&amp;utm_campaign=sample-cmp-008&amp;utm_content=sample-o-005</v>
      </c>
      <c r="H130" s="30" t="str">
        <f aca="false">IF(OR($A130="",$C130&lt;&gt;"qr"),"",$D130&amp;".png")</f>
        <v>SAMPLE-c008-o005-q.png</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SAMPLE-CMP-008</v>
      </c>
      <c r="B131" s="30" t="str">
        <f aca="false">IF(INDEX(approvals!$A$2:$A$251,INT((ROW()-2)/2)+1)="","",INDEX(approvals!$B$2:$B$251,INT((ROW()-2)/2)+1))</f>
        <v>SAMPLE-O-005</v>
      </c>
      <c r="C131" s="30" t="str">
        <f aca="false">IF($A131="","",IF(MOD(ROW()-2,2)=0,"qr","post"))</f>
        <v>post</v>
      </c>
      <c r="D131" s="30" t="str">
        <f aca="false">IF($A131="","",IF(LEFT($A131,7)="SAMPLE-","SAMPLE-","")&amp;LOWER(SUBSTITUTE(SUBSTITUTE($A131,"SAMPLE-",""),"CMP-","c"))&amp;"-"&amp;LOWER(SUBSTITUTE(SUBSTITUTE($B131,"SAMPLE-",""),"O-","o"))&amp;"-"&amp;IF($C131="qr","q","p"))</f>
        <v>SAMPLE-c008-o005-p</v>
      </c>
      <c r="E131" s="30" t="str">
        <f aca="false">IF($A131="","","https://"&amp;config!$B$9&amp;"/"&amp;$D131)</f>
        <v>https://go.example.com/SAMPLE-c008-o005-p</v>
      </c>
      <c r="F131" s="30" t="str">
        <f aca="false">IF($A131="","",$A131&amp;"."&amp;$B131)</f>
        <v>SAMPLE-CMP-008.SAMPLE-O-005</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https://docs.google.com/forms/d/e/SAMPLE-CMP-008-FORM/viewform?usp=pp_url&amp;entry.1000001=SAMPLE-CMP-008.SAMPLE-O-005&amp;utm_source=office-pantry&amp;utm_medium=post&amp;utm_campaign=sample-cmp-008&amp;utm_content=sample-o-005</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SAMPLE-CMP-008</v>
      </c>
      <c r="B132" s="30" t="str">
        <f aca="false">IF(INDEX(approvals!$A$2:$A$251,INT((ROW()-2)/2)+1)="","",INDEX(approvals!$B$2:$B$251,INT((ROW()-2)/2)+1))</f>
        <v>SAMPLE-O-006</v>
      </c>
      <c r="C132" s="30" t="str">
        <f aca="false">IF($A132="","",IF(MOD(ROW()-2,2)=0,"qr","post"))</f>
        <v>qr</v>
      </c>
      <c r="D132" s="30" t="str">
        <f aca="false">IF($A132="","",IF(LEFT($A132,7)="SAMPLE-","SAMPLE-","")&amp;LOWER(SUBSTITUTE(SUBSTITUTE($A132,"SAMPLE-",""),"CMP-","c"))&amp;"-"&amp;LOWER(SUBSTITUTE(SUBSTITUTE($B132,"SAMPLE-",""),"O-","o"))&amp;"-"&amp;IF($C132="qr","q","p"))</f>
        <v>SAMPLE-c008-o006-q</v>
      </c>
      <c r="E132" s="30" t="str">
        <f aca="false">IF($A132="","","https://"&amp;config!$B$9&amp;"/"&amp;$D132)</f>
        <v>https://go.example.com/SAMPLE-c008-o006-q</v>
      </c>
      <c r="F132" s="30" t="str">
        <f aca="false">IF($A132="","",$A132&amp;"."&amp;$B132)</f>
        <v>SAMPLE-CMP-008.SAMPLE-O-006</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https://docs.google.com/forms/d/e/SAMPLE-CMP-008-FORM/viewform?usp=pp_url&amp;entry.1000001=SAMPLE-CMP-008.SAMPLE-O-006&amp;utm_source=office-pantry&amp;utm_medium=qr&amp;utm_campaign=sample-cmp-008&amp;utm_content=sample-o-006</v>
      </c>
      <c r="H132" s="30" t="str">
        <f aca="false">IF(OR($A132="",$C132&lt;&gt;"qr"),"",$D132&amp;".png")</f>
        <v>SAMPLE-c008-o006-q.png</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SAMPLE-CMP-008</v>
      </c>
      <c r="B133" s="30" t="str">
        <f aca="false">IF(INDEX(approvals!$A$2:$A$251,INT((ROW()-2)/2)+1)="","",INDEX(approvals!$B$2:$B$251,INT((ROW()-2)/2)+1))</f>
        <v>SAMPLE-O-006</v>
      </c>
      <c r="C133" s="30" t="str">
        <f aca="false">IF($A133="","",IF(MOD(ROW()-2,2)=0,"qr","post"))</f>
        <v>post</v>
      </c>
      <c r="D133" s="30" t="str">
        <f aca="false">IF($A133="","",IF(LEFT($A133,7)="SAMPLE-","SAMPLE-","")&amp;LOWER(SUBSTITUTE(SUBSTITUTE($A133,"SAMPLE-",""),"CMP-","c"))&amp;"-"&amp;LOWER(SUBSTITUTE(SUBSTITUTE($B133,"SAMPLE-",""),"O-","o"))&amp;"-"&amp;IF($C133="qr","q","p"))</f>
        <v>SAMPLE-c008-o006-p</v>
      </c>
      <c r="E133" s="30" t="str">
        <f aca="false">IF($A133="","","https://"&amp;config!$B$9&amp;"/"&amp;$D133)</f>
        <v>https://go.example.com/SAMPLE-c008-o006-p</v>
      </c>
      <c r="F133" s="30" t="str">
        <f aca="false">IF($A133="","",$A133&amp;"."&amp;$B133)</f>
        <v>SAMPLE-CMP-008.SAMPLE-O-006</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https://docs.google.com/forms/d/e/SAMPLE-CMP-008-FORM/viewform?usp=pp_url&amp;entry.1000001=SAMPLE-CMP-008.SAMPLE-O-006&amp;utm_source=office-pantry&amp;utm_medium=post&amp;utm_campaign=sample-cmp-008&amp;utm_content=sample-o-006</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SAMPLE-CMP-008</v>
      </c>
      <c r="B134" s="30" t="str">
        <f aca="false">IF(INDEX(approvals!$A$2:$A$251,INT((ROW()-2)/2)+1)="","",INDEX(approvals!$B$2:$B$251,INT((ROW()-2)/2)+1))</f>
        <v>SAMPLE-O-007</v>
      </c>
      <c r="C134" s="30" t="str">
        <f aca="false">IF($A134="","",IF(MOD(ROW()-2,2)=0,"qr","post"))</f>
        <v>qr</v>
      </c>
      <c r="D134" s="30" t="str">
        <f aca="false">IF($A134="","",IF(LEFT($A134,7)="SAMPLE-","SAMPLE-","")&amp;LOWER(SUBSTITUTE(SUBSTITUTE($A134,"SAMPLE-",""),"CMP-","c"))&amp;"-"&amp;LOWER(SUBSTITUTE(SUBSTITUTE($B134,"SAMPLE-",""),"O-","o"))&amp;"-"&amp;IF($C134="qr","q","p"))</f>
        <v>SAMPLE-c008-o007-q</v>
      </c>
      <c r="E134" s="30" t="str">
        <f aca="false">IF($A134="","","https://"&amp;config!$B$9&amp;"/"&amp;$D134)</f>
        <v>https://go.example.com/SAMPLE-c008-o007-q</v>
      </c>
      <c r="F134" s="30" t="str">
        <f aca="false">IF($A134="","",$A134&amp;"."&amp;$B134)</f>
        <v>SAMPLE-CMP-008.SAMPLE-O-007</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https://docs.google.com/forms/d/e/SAMPLE-CMP-008-FORM/viewform?usp=pp_url&amp;entry.1000001=SAMPLE-CMP-008.SAMPLE-O-007&amp;utm_source=office-pantry&amp;utm_medium=qr&amp;utm_campaign=sample-cmp-008&amp;utm_content=sample-o-007</v>
      </c>
      <c r="H134" s="30" t="str">
        <f aca="false">IF(OR($A134="",$C134&lt;&gt;"qr"),"",$D134&amp;".png")</f>
        <v>SAMPLE-c008-o007-q.png</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SAMPLE-CMP-008</v>
      </c>
      <c r="B135" s="30" t="str">
        <f aca="false">IF(INDEX(approvals!$A$2:$A$251,INT((ROW()-2)/2)+1)="","",INDEX(approvals!$B$2:$B$251,INT((ROW()-2)/2)+1))</f>
        <v>SAMPLE-O-007</v>
      </c>
      <c r="C135" s="30" t="str">
        <f aca="false">IF($A135="","",IF(MOD(ROW()-2,2)=0,"qr","post"))</f>
        <v>post</v>
      </c>
      <c r="D135" s="30" t="str">
        <f aca="false">IF($A135="","",IF(LEFT($A135,7)="SAMPLE-","SAMPLE-","")&amp;LOWER(SUBSTITUTE(SUBSTITUTE($A135,"SAMPLE-",""),"CMP-","c"))&amp;"-"&amp;LOWER(SUBSTITUTE(SUBSTITUTE($B135,"SAMPLE-",""),"O-","o"))&amp;"-"&amp;IF($C135="qr","q","p"))</f>
        <v>SAMPLE-c008-o007-p</v>
      </c>
      <c r="E135" s="30" t="str">
        <f aca="false">IF($A135="","","https://"&amp;config!$B$9&amp;"/"&amp;$D135)</f>
        <v>https://go.example.com/SAMPLE-c008-o007-p</v>
      </c>
      <c r="F135" s="30" t="str">
        <f aca="false">IF($A135="","",$A135&amp;"."&amp;$B135)</f>
        <v>SAMPLE-CMP-008.SAMPLE-O-007</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https://docs.google.com/forms/d/e/SAMPLE-CMP-008-FORM/viewform?usp=pp_url&amp;entry.1000001=SAMPLE-CMP-008.SAMPLE-O-007&amp;utm_source=office-pantry&amp;utm_medium=post&amp;utm_campaign=sample-cmp-008&amp;utm_content=sample-o-007</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SAMPLE-CMP-008</v>
      </c>
      <c r="B136" s="30" t="str">
        <f aca="false">IF(INDEX(approvals!$A$2:$A$251,INT((ROW()-2)/2)+1)="","",INDEX(approvals!$B$2:$B$251,INT((ROW()-2)/2)+1))</f>
        <v>SAMPLE-O-008</v>
      </c>
      <c r="C136" s="30" t="str">
        <f aca="false">IF($A136="","",IF(MOD(ROW()-2,2)=0,"qr","post"))</f>
        <v>qr</v>
      </c>
      <c r="D136" s="30" t="str">
        <f aca="false">IF($A136="","",IF(LEFT($A136,7)="SAMPLE-","SAMPLE-","")&amp;LOWER(SUBSTITUTE(SUBSTITUTE($A136,"SAMPLE-",""),"CMP-","c"))&amp;"-"&amp;LOWER(SUBSTITUTE(SUBSTITUTE($B136,"SAMPLE-",""),"O-","o"))&amp;"-"&amp;IF($C136="qr","q","p"))</f>
        <v>SAMPLE-c008-o008-q</v>
      </c>
      <c r="E136" s="30" t="str">
        <f aca="false">IF($A136="","","https://"&amp;config!$B$9&amp;"/"&amp;$D136)</f>
        <v>https://go.example.com/SAMPLE-c008-o008-q</v>
      </c>
      <c r="F136" s="30" t="str">
        <f aca="false">IF($A136="","",$A136&amp;"."&amp;$B136)</f>
        <v>SAMPLE-CMP-008.SAMPLE-O-008</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https://docs.google.com/forms/d/e/SAMPLE-CMP-008-FORM/viewform?usp=pp_url&amp;entry.1000001=SAMPLE-CMP-008.SAMPLE-O-008&amp;utm_source=office-pantry&amp;utm_medium=qr&amp;utm_campaign=sample-cmp-008&amp;utm_content=sample-o-008</v>
      </c>
      <c r="H136" s="30" t="str">
        <f aca="false">IF(OR($A136="",$C136&lt;&gt;"qr"),"",$D136&amp;".png")</f>
        <v>SAMPLE-c008-o008-q.png</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SAMPLE-CMP-008</v>
      </c>
      <c r="B137" s="30" t="str">
        <f aca="false">IF(INDEX(approvals!$A$2:$A$251,INT((ROW()-2)/2)+1)="","",INDEX(approvals!$B$2:$B$251,INT((ROW()-2)/2)+1))</f>
        <v>SAMPLE-O-008</v>
      </c>
      <c r="C137" s="30" t="str">
        <f aca="false">IF($A137="","",IF(MOD(ROW()-2,2)=0,"qr","post"))</f>
        <v>post</v>
      </c>
      <c r="D137" s="30" t="str">
        <f aca="false">IF($A137="","",IF(LEFT($A137,7)="SAMPLE-","SAMPLE-","")&amp;LOWER(SUBSTITUTE(SUBSTITUTE($A137,"SAMPLE-",""),"CMP-","c"))&amp;"-"&amp;LOWER(SUBSTITUTE(SUBSTITUTE($B137,"SAMPLE-",""),"O-","o"))&amp;"-"&amp;IF($C137="qr","q","p"))</f>
        <v>SAMPLE-c008-o008-p</v>
      </c>
      <c r="E137" s="30" t="str">
        <f aca="false">IF($A137="","","https://"&amp;config!$B$9&amp;"/"&amp;$D137)</f>
        <v>https://go.example.com/SAMPLE-c008-o008-p</v>
      </c>
      <c r="F137" s="30" t="str">
        <f aca="false">IF($A137="","",$A137&amp;"."&amp;$B137)</f>
        <v>SAMPLE-CMP-008.SAMPLE-O-008</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https://docs.google.com/forms/d/e/SAMPLE-CMP-008-FORM/viewform?usp=pp_url&amp;entry.1000001=SAMPLE-CMP-008.SAMPLE-O-008&amp;utm_source=office-pantry&amp;utm_medium=post&amp;utm_campaign=sample-cmp-008&amp;utm_content=sample-o-008</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SAMPLE-CMP-008</v>
      </c>
      <c r="B138" s="30" t="str">
        <f aca="false">IF(INDEX(approvals!$A$2:$A$251,INT((ROW()-2)/2)+1)="","",INDEX(approvals!$B$2:$B$251,INT((ROW()-2)/2)+1))</f>
        <v>SAMPLE-O-009</v>
      </c>
      <c r="C138" s="30" t="str">
        <f aca="false">IF($A138="","",IF(MOD(ROW()-2,2)=0,"qr","post"))</f>
        <v>qr</v>
      </c>
      <c r="D138" s="30" t="str">
        <f aca="false">IF($A138="","",IF(LEFT($A138,7)="SAMPLE-","SAMPLE-","")&amp;LOWER(SUBSTITUTE(SUBSTITUTE($A138,"SAMPLE-",""),"CMP-","c"))&amp;"-"&amp;LOWER(SUBSTITUTE(SUBSTITUTE($B138,"SAMPLE-",""),"O-","o"))&amp;"-"&amp;IF($C138="qr","q","p"))</f>
        <v>SAMPLE-c008-o009-q</v>
      </c>
      <c r="E138" s="30" t="str">
        <f aca="false">IF($A138="","","https://"&amp;config!$B$9&amp;"/"&amp;$D138)</f>
        <v>https://go.example.com/SAMPLE-c008-o009-q</v>
      </c>
      <c r="F138" s="30" t="str">
        <f aca="false">IF($A138="","",$A138&amp;"."&amp;$B138)</f>
        <v>SAMPLE-CMP-008.SAMPLE-O-009</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https://docs.google.com/forms/d/e/SAMPLE-CMP-008-FORM/viewform?usp=pp_url&amp;entry.1000001=SAMPLE-CMP-008.SAMPLE-O-009&amp;utm_source=office-pantry&amp;utm_medium=qr&amp;utm_campaign=sample-cmp-008&amp;utm_content=sample-o-009</v>
      </c>
      <c r="H138" s="30" t="str">
        <f aca="false">IF(OR($A138="",$C138&lt;&gt;"qr"),"",$D138&amp;".png")</f>
        <v>SAMPLE-c008-o009-q.png</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SAMPLE-CMP-008</v>
      </c>
      <c r="B139" s="30" t="str">
        <f aca="false">IF(INDEX(approvals!$A$2:$A$251,INT((ROW()-2)/2)+1)="","",INDEX(approvals!$B$2:$B$251,INT((ROW()-2)/2)+1))</f>
        <v>SAMPLE-O-009</v>
      </c>
      <c r="C139" s="30" t="str">
        <f aca="false">IF($A139="","",IF(MOD(ROW()-2,2)=0,"qr","post"))</f>
        <v>post</v>
      </c>
      <c r="D139" s="30" t="str">
        <f aca="false">IF($A139="","",IF(LEFT($A139,7)="SAMPLE-","SAMPLE-","")&amp;LOWER(SUBSTITUTE(SUBSTITUTE($A139,"SAMPLE-",""),"CMP-","c"))&amp;"-"&amp;LOWER(SUBSTITUTE(SUBSTITUTE($B139,"SAMPLE-",""),"O-","o"))&amp;"-"&amp;IF($C139="qr","q","p"))</f>
        <v>SAMPLE-c008-o009-p</v>
      </c>
      <c r="E139" s="30" t="str">
        <f aca="false">IF($A139="","","https://"&amp;config!$B$9&amp;"/"&amp;$D139)</f>
        <v>https://go.example.com/SAMPLE-c008-o009-p</v>
      </c>
      <c r="F139" s="30" t="str">
        <f aca="false">IF($A139="","",$A139&amp;"."&amp;$B139)</f>
        <v>SAMPLE-CMP-008.SAMPLE-O-009</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https://docs.google.com/forms/d/e/SAMPLE-CMP-008-FORM/viewform?usp=pp_url&amp;entry.1000001=SAMPLE-CMP-008.SAMPLE-O-009&amp;utm_source=office-pantry&amp;utm_medium=post&amp;utm_campaign=sample-cmp-008&amp;utm_content=sample-o-009</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SAMPLE-CMP-008</v>
      </c>
      <c r="B140" s="30" t="str">
        <f aca="false">IF(INDEX(approvals!$A$2:$A$251,INT((ROW()-2)/2)+1)="","",INDEX(approvals!$B$2:$B$251,INT((ROW()-2)/2)+1))</f>
        <v>SAMPLE-O-010</v>
      </c>
      <c r="C140" s="30" t="str">
        <f aca="false">IF($A140="","",IF(MOD(ROW()-2,2)=0,"qr","post"))</f>
        <v>qr</v>
      </c>
      <c r="D140" s="30" t="str">
        <f aca="false">IF($A140="","",IF(LEFT($A140,7)="SAMPLE-","SAMPLE-","")&amp;LOWER(SUBSTITUTE(SUBSTITUTE($A140,"SAMPLE-",""),"CMP-","c"))&amp;"-"&amp;LOWER(SUBSTITUTE(SUBSTITUTE($B140,"SAMPLE-",""),"O-","o"))&amp;"-"&amp;IF($C140="qr","q","p"))</f>
        <v>SAMPLE-c008-o010-q</v>
      </c>
      <c r="E140" s="30" t="str">
        <f aca="false">IF($A140="","","https://"&amp;config!$B$9&amp;"/"&amp;$D140)</f>
        <v>https://go.example.com/SAMPLE-c008-o010-q</v>
      </c>
      <c r="F140" s="30" t="str">
        <f aca="false">IF($A140="","",$A140&amp;"."&amp;$B140)</f>
        <v>SAMPLE-CMP-008.SAMPLE-O-010</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https://docs.google.com/forms/d/e/SAMPLE-CMP-008-FORM/viewform?usp=pp_url&amp;entry.1000001=SAMPLE-CMP-008.SAMPLE-O-010&amp;utm_source=office-pantry&amp;utm_medium=qr&amp;utm_campaign=sample-cmp-008&amp;utm_content=sample-o-010</v>
      </c>
      <c r="H140" s="30" t="str">
        <f aca="false">IF(OR($A140="",$C140&lt;&gt;"qr"),"",$D140&amp;".png")</f>
        <v>SAMPLE-c008-o010-q.png</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SAMPLE-CMP-008</v>
      </c>
      <c r="B141" s="30" t="str">
        <f aca="false">IF(INDEX(approvals!$A$2:$A$251,INT((ROW()-2)/2)+1)="","",INDEX(approvals!$B$2:$B$251,INT((ROW()-2)/2)+1))</f>
        <v>SAMPLE-O-010</v>
      </c>
      <c r="C141" s="30" t="str">
        <f aca="false">IF($A141="","",IF(MOD(ROW()-2,2)=0,"qr","post"))</f>
        <v>post</v>
      </c>
      <c r="D141" s="30" t="str">
        <f aca="false">IF($A141="","",IF(LEFT($A141,7)="SAMPLE-","SAMPLE-","")&amp;LOWER(SUBSTITUTE(SUBSTITUTE($A141,"SAMPLE-",""),"CMP-","c"))&amp;"-"&amp;LOWER(SUBSTITUTE(SUBSTITUTE($B141,"SAMPLE-",""),"O-","o"))&amp;"-"&amp;IF($C141="qr","q","p"))</f>
        <v>SAMPLE-c008-o010-p</v>
      </c>
      <c r="E141" s="30" t="str">
        <f aca="false">IF($A141="","","https://"&amp;config!$B$9&amp;"/"&amp;$D141)</f>
        <v>https://go.example.com/SAMPLE-c008-o010-p</v>
      </c>
      <c r="F141" s="30" t="str">
        <f aca="false">IF($A141="","",$A141&amp;"."&amp;$B141)</f>
        <v>SAMPLE-CMP-008.SAMPLE-O-010</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https://docs.google.com/forms/d/e/SAMPLE-CMP-008-FORM/viewform?usp=pp_url&amp;entry.1000001=SAMPLE-CMP-008.SAMPLE-O-010&amp;utm_source=office-pantry&amp;utm_medium=post&amp;utm_campaign=sample-cmp-008&amp;utm_content=sample-o-010</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1115</v>
      </c>
      <c r="B1" s="28" t="s">
        <v>1116</v>
      </c>
      <c r="C1" s="28" t="s">
        <v>1111</v>
      </c>
      <c r="D1" s="28" t="s">
        <v>1117</v>
      </c>
      <c r="E1" s="28" t="s">
        <v>1118</v>
      </c>
      <c r="F1" s="28" t="s">
        <v>178</v>
      </c>
      <c r="G1" s="29" t="s">
        <v>358</v>
      </c>
      <c r="H1" s="29" t="s">
        <v>642</v>
      </c>
      <c r="I1" s="29" t="s">
        <v>1110</v>
      </c>
      <c r="J1" s="29" t="s">
        <v>120</v>
      </c>
    </row>
    <row r="2" customFormat="false" ht="15" hidden="false" customHeight="false" outlineLevel="0" collapsed="false">
      <c r="A2" s="11" t="n">
        <v>46398</v>
      </c>
      <c r="B2" s="38" t="n">
        <v>0.729166666666667</v>
      </c>
      <c r="C2" s="10" t="s">
        <v>1119</v>
      </c>
      <c r="D2" s="10" t="s">
        <v>1120</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1119</v>
      </c>
      <c r="D3" s="10" t="s">
        <v>1121</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1119</v>
      </c>
      <c r="D4" s="10" t="s">
        <v>1122</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1119</v>
      </c>
      <c r="D5" s="10" t="s">
        <v>1123</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1124</v>
      </c>
      <c r="D6" s="10" t="s">
        <v>1120</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1124</v>
      </c>
      <c r="D7" s="10" t="s">
        <v>1121</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1124</v>
      </c>
      <c r="D8" s="10" t="s">
        <v>1122</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1124</v>
      </c>
      <c r="D9" s="10" t="s">
        <v>1123</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1125</v>
      </c>
      <c r="D10" s="10" t="s">
        <v>1120</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1125</v>
      </c>
      <c r="D11" s="10" t="s">
        <v>1121</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1125</v>
      </c>
      <c r="D12" s="10" t="s">
        <v>1122</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1125</v>
      </c>
      <c r="D13" s="10" t="s">
        <v>1123</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1126</v>
      </c>
      <c r="D14" s="10" t="s">
        <v>1120</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1126</v>
      </c>
      <c r="D15" s="10" t="s">
        <v>1121</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1126</v>
      </c>
      <c r="D16" s="10" t="s">
        <v>1122</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1126</v>
      </c>
      <c r="D17" s="10" t="s">
        <v>1123</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1127</v>
      </c>
      <c r="D18" s="10" t="s">
        <v>1120</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1127</v>
      </c>
      <c r="D19" s="10" t="s">
        <v>1121</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1127</v>
      </c>
      <c r="D20" s="10" t="s">
        <v>1122</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1127</v>
      </c>
      <c r="D21" s="10" t="s">
        <v>1123</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1128</v>
      </c>
      <c r="D22" s="10" t="s">
        <v>1120</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1128</v>
      </c>
      <c r="D23" s="10" t="s">
        <v>1121</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1128</v>
      </c>
      <c r="D24" s="10" t="s">
        <v>1122</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1128</v>
      </c>
      <c r="D25" s="10" t="s">
        <v>1123</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1129</v>
      </c>
      <c r="D26" s="10" t="s">
        <v>1120</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1129</v>
      </c>
      <c r="D27" s="10" t="s">
        <v>1121</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1129</v>
      </c>
      <c r="D28" s="10" t="s">
        <v>1122</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1129</v>
      </c>
      <c r="D29" s="10" t="s">
        <v>1123</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1130</v>
      </c>
      <c r="D30" s="10" t="s">
        <v>1120</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1130</v>
      </c>
      <c r="D31" s="10" t="s">
        <v>1121</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1130</v>
      </c>
      <c r="D32" s="10" t="s">
        <v>1122</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1130</v>
      </c>
      <c r="D33" s="10" t="s">
        <v>1123</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1131</v>
      </c>
      <c r="D34" s="10" t="s">
        <v>1120</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1131</v>
      </c>
      <c r="D35" s="10" t="s">
        <v>1121</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1131</v>
      </c>
      <c r="D36" s="10" t="s">
        <v>1122</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1131</v>
      </c>
      <c r="D37" s="10" t="s">
        <v>1123</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1132</v>
      </c>
      <c r="D38" s="10" t="s">
        <v>1120</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1132</v>
      </c>
      <c r="D39" s="10" t="s">
        <v>1121</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1132</v>
      </c>
      <c r="D40" s="10" t="s">
        <v>1122</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1132</v>
      </c>
      <c r="D41" s="10" t="s">
        <v>1123</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1133</v>
      </c>
      <c r="D42" s="10" t="s">
        <v>1120</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1133</v>
      </c>
      <c r="D43" s="10" t="s">
        <v>1121</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1133</v>
      </c>
      <c r="D44" s="10" t="s">
        <v>1122</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1133</v>
      </c>
      <c r="D45" s="10" t="s">
        <v>1123</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1134</v>
      </c>
      <c r="D46" s="10" t="s">
        <v>1120</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1134</v>
      </c>
      <c r="D47" s="10" t="s">
        <v>1121</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1134</v>
      </c>
      <c r="D48" s="10" t="s">
        <v>1122</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1134</v>
      </c>
      <c r="D49" s="10" t="s">
        <v>1123</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1135</v>
      </c>
      <c r="D50" s="10" t="s">
        <v>1120</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1135</v>
      </c>
      <c r="D51" s="10" t="s">
        <v>1121</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1135</v>
      </c>
      <c r="D52" s="10" t="s">
        <v>1122</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1135</v>
      </c>
      <c r="D53" s="10" t="s">
        <v>1123</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1136</v>
      </c>
      <c r="D54" s="10" t="s">
        <v>1120</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1136</v>
      </c>
      <c r="D55" s="10" t="s">
        <v>1121</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1136</v>
      </c>
      <c r="D56" s="10" t="s">
        <v>1122</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1136</v>
      </c>
      <c r="D57" s="10" t="s">
        <v>1123</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1137</v>
      </c>
      <c r="D58" s="10" t="s">
        <v>1120</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1137</v>
      </c>
      <c r="D59" s="10" t="s">
        <v>1121</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1137</v>
      </c>
      <c r="D60" s="10" t="s">
        <v>1122</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1137</v>
      </c>
      <c r="D61" s="10" t="s">
        <v>1123</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1138</v>
      </c>
      <c r="D62" s="10" t="s">
        <v>1120</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1138</v>
      </c>
      <c r="D63" s="10" t="s">
        <v>1121</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1138</v>
      </c>
      <c r="D64" s="10" t="s">
        <v>1122</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1138</v>
      </c>
      <c r="D65" s="10" t="s">
        <v>1123</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1139</v>
      </c>
      <c r="D66" s="10" t="s">
        <v>1120</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1139</v>
      </c>
      <c r="D67" s="10" t="s">
        <v>1121</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1139</v>
      </c>
      <c r="D68" s="10" t="s">
        <v>1122</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1139</v>
      </c>
      <c r="D69" s="10" t="s">
        <v>1123</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1140</v>
      </c>
      <c r="D70" s="10" t="s">
        <v>1120</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1140</v>
      </c>
      <c r="D71" s="10" t="s">
        <v>1121</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1140</v>
      </c>
      <c r="D72" s="10" t="s">
        <v>1122</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1140</v>
      </c>
      <c r="D73" s="10" t="s">
        <v>1123</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1141</v>
      </c>
      <c r="D74" s="10" t="s">
        <v>1120</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1141</v>
      </c>
      <c r="D75" s="10" t="s">
        <v>1121</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1141</v>
      </c>
      <c r="D76" s="10" t="s">
        <v>1122</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1141</v>
      </c>
      <c r="D77" s="10" t="s">
        <v>1123</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1142</v>
      </c>
      <c r="D78" s="10" t="s">
        <v>1120</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1142</v>
      </c>
      <c r="D79" s="10" t="s">
        <v>1121</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1142</v>
      </c>
      <c r="D80" s="10" t="s">
        <v>1122</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1142</v>
      </c>
      <c r="D81" s="10" t="s">
        <v>1123</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1143</v>
      </c>
      <c r="D82" s="10" t="s">
        <v>1120</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1143</v>
      </c>
      <c r="D83" s="10" t="s">
        <v>1121</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1143</v>
      </c>
      <c r="D84" s="10" t="s">
        <v>1122</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1144</v>
      </c>
      <c r="D85" s="10" t="s">
        <v>1120</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1144</v>
      </c>
      <c r="D86" s="10" t="s">
        <v>1121</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1144</v>
      </c>
      <c r="D87" s="10" t="s">
        <v>1122</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1145</v>
      </c>
      <c r="D88" s="10" t="s">
        <v>1120</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1145</v>
      </c>
      <c r="D89" s="10" t="s">
        <v>1121</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1145</v>
      </c>
      <c r="D90" s="10" t="s">
        <v>1122</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1146</v>
      </c>
      <c r="D91" s="10" t="s">
        <v>1120</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1146</v>
      </c>
      <c r="D92" s="10" t="s">
        <v>1121</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1146</v>
      </c>
      <c r="D93" s="10" t="s">
        <v>1122</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1147</v>
      </c>
      <c r="D94" s="10" t="s">
        <v>1120</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1147</v>
      </c>
      <c r="D95" s="10" t="s">
        <v>1121</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1147</v>
      </c>
      <c r="D96" s="10" t="s">
        <v>1122</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1148</v>
      </c>
      <c r="D97" s="10" t="s">
        <v>1120</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1148</v>
      </c>
      <c r="D98" s="10" t="s">
        <v>1121</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1148</v>
      </c>
      <c r="D99" s="10" t="s">
        <v>1122</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1149</v>
      </c>
      <c r="D100" s="10" t="s">
        <v>1120</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1149</v>
      </c>
      <c r="D101" s="10" t="s">
        <v>1121</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1149</v>
      </c>
      <c r="D102" s="10" t="s">
        <v>1122</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1150</v>
      </c>
      <c r="D103" s="10" t="s">
        <v>1120</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1150</v>
      </c>
      <c r="D104" s="10" t="s">
        <v>1121</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1150</v>
      </c>
      <c r="D105" s="10" t="s">
        <v>1122</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1151</v>
      </c>
      <c r="D106" s="10" t="s">
        <v>1120</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1151</v>
      </c>
      <c r="D107" s="10" t="s">
        <v>1121</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1151</v>
      </c>
      <c r="D108" s="10" t="s">
        <v>1122</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1152</v>
      </c>
      <c r="D109" s="10" t="s">
        <v>1120</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1152</v>
      </c>
      <c r="D110" s="10" t="s">
        <v>1121</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1152</v>
      </c>
      <c r="D111" s="10" t="s">
        <v>1122</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1153</v>
      </c>
      <c r="D112" s="10" t="s">
        <v>1120</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1153</v>
      </c>
      <c r="D113" s="10" t="s">
        <v>1121</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1153</v>
      </c>
      <c r="D114" s="10" t="s">
        <v>1122</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1154</v>
      </c>
      <c r="D115" s="10" t="s">
        <v>1120</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1154</v>
      </c>
      <c r="D116" s="10" t="s">
        <v>1121</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1154</v>
      </c>
      <c r="D117" s="10" t="s">
        <v>1122</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1155</v>
      </c>
      <c r="D118" s="10" t="s">
        <v>1120</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1155</v>
      </c>
      <c r="D119" s="10" t="s">
        <v>1121</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1155</v>
      </c>
      <c r="D120" s="10" t="s">
        <v>1122</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1156</v>
      </c>
      <c r="D121" s="10" t="s">
        <v>1120</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1156</v>
      </c>
      <c r="D122" s="10" t="s">
        <v>1121</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1156</v>
      </c>
      <c r="D123" s="10" t="s">
        <v>1122</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1157</v>
      </c>
      <c r="D124" s="10" t="s">
        <v>1120</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1157</v>
      </c>
      <c r="D125" s="10" t="s">
        <v>1121</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1157</v>
      </c>
      <c r="D126" s="10" t="s">
        <v>1122</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1158</v>
      </c>
      <c r="D127" s="10" t="s">
        <v>1120</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1158</v>
      </c>
      <c r="D128" s="10" t="s">
        <v>1121</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1158</v>
      </c>
      <c r="D129" s="10" t="s">
        <v>1122</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1159</v>
      </c>
      <c r="D130" s="10" t="s">
        <v>1120</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1159</v>
      </c>
      <c r="D131" s="10" t="s">
        <v>1121</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1159</v>
      </c>
      <c r="D132" s="10" t="s">
        <v>1122</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1160</v>
      </c>
      <c r="D133" s="10" t="s">
        <v>1120</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1160</v>
      </c>
      <c r="D134" s="10" t="s">
        <v>1121</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1160</v>
      </c>
      <c r="D135" s="10" t="s">
        <v>1122</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1161</v>
      </c>
      <c r="D136" s="10" t="s">
        <v>1120</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1161</v>
      </c>
      <c r="D137" s="10" t="s">
        <v>1121</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1161</v>
      </c>
      <c r="D138" s="10" t="s">
        <v>1122</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1162</v>
      </c>
      <c r="D139" s="10" t="s">
        <v>1120</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1162</v>
      </c>
      <c r="D140" s="10" t="s">
        <v>1121</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1162</v>
      </c>
      <c r="D141" s="10" t="s">
        <v>1122</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1163</v>
      </c>
      <c r="D142" s="10" t="s">
        <v>1120</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1163</v>
      </c>
      <c r="D143" s="10" t="s">
        <v>1121</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1163</v>
      </c>
      <c r="D144" s="10" t="s">
        <v>1122</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1164</v>
      </c>
      <c r="D145" s="10" t="s">
        <v>1120</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1164</v>
      </c>
      <c r="D146" s="10" t="s">
        <v>1121</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1164</v>
      </c>
      <c r="D147" s="10" t="s">
        <v>1122</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1165</v>
      </c>
      <c r="D148" s="10" t="s">
        <v>1120</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1165</v>
      </c>
      <c r="D149" s="10" t="s">
        <v>1121</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1165</v>
      </c>
      <c r="D150" s="10" t="s">
        <v>1122</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1166</v>
      </c>
      <c r="D151" s="10" t="s">
        <v>1120</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1166</v>
      </c>
      <c r="D152" s="10" t="s">
        <v>1121</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1166</v>
      </c>
      <c r="D153" s="10" t="s">
        <v>1122</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1167</v>
      </c>
      <c r="D154" s="10" t="s">
        <v>1120</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1167</v>
      </c>
      <c r="D155" s="10" t="s">
        <v>1121</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1167</v>
      </c>
      <c r="D156" s="10" t="s">
        <v>1122</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1168</v>
      </c>
      <c r="D157" s="10" t="s">
        <v>1120</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1168</v>
      </c>
      <c r="D158" s="10" t="s">
        <v>1121</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1168</v>
      </c>
      <c r="D159" s="10" t="s">
        <v>1122</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1169</v>
      </c>
      <c r="D160" s="10" t="s">
        <v>1120</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1169</v>
      </c>
      <c r="D161" s="10" t="s">
        <v>1121</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1169</v>
      </c>
      <c r="D162" s="10" t="s">
        <v>1122</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1170</v>
      </c>
      <c r="D163" s="10" t="s">
        <v>1120</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1170</v>
      </c>
      <c r="D164" s="10" t="s">
        <v>1121</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1170</v>
      </c>
      <c r="D165" s="10" t="s">
        <v>1122</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1171</v>
      </c>
      <c r="D166" s="10" t="s">
        <v>1120</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1171</v>
      </c>
      <c r="D167" s="10" t="s">
        <v>1121</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1171</v>
      </c>
      <c r="D168" s="10" t="s">
        <v>1122</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1172</v>
      </c>
      <c r="D169" s="10" t="s">
        <v>1120</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1172</v>
      </c>
      <c r="D170" s="10" t="s">
        <v>1121</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1172</v>
      </c>
      <c r="D171" s="10" t="s">
        <v>1122</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1173</v>
      </c>
      <c r="D172" s="10" t="s">
        <v>1120</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1173</v>
      </c>
      <c r="D173" s="10" t="s">
        <v>1121</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1173</v>
      </c>
      <c r="D174" s="10" t="s">
        <v>1122</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1174</v>
      </c>
      <c r="D175" s="10" t="s">
        <v>1120</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1174</v>
      </c>
      <c r="D176" s="10" t="s">
        <v>1121</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1174</v>
      </c>
      <c r="D177" s="10" t="s">
        <v>1122</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1175</v>
      </c>
      <c r="D178" s="10" t="s">
        <v>1120</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1175</v>
      </c>
      <c r="D179" s="10" t="s">
        <v>1121</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1175</v>
      </c>
      <c r="D180" s="10" t="s">
        <v>1122</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1176</v>
      </c>
      <c r="D181" s="10" t="s">
        <v>1120</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1176</v>
      </c>
      <c r="D182" s="10" t="s">
        <v>1121</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1176</v>
      </c>
      <c r="D183" s="10" t="s">
        <v>1122</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1177</v>
      </c>
      <c r="D184" s="10" t="s">
        <v>1120</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1177</v>
      </c>
      <c r="D185" s="10" t="s">
        <v>1121</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1177</v>
      </c>
      <c r="D186" s="10" t="s">
        <v>1122</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1178</v>
      </c>
      <c r="D187" s="10" t="s">
        <v>1120</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1178</v>
      </c>
      <c r="D188" s="10" t="s">
        <v>1121</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1178</v>
      </c>
      <c r="D189" s="10" t="s">
        <v>1122</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1179</v>
      </c>
      <c r="D190" s="10" t="s">
        <v>1120</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1179</v>
      </c>
      <c r="D191" s="10" t="s">
        <v>1121</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1179</v>
      </c>
      <c r="D192" s="10" t="s">
        <v>1122</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1180</v>
      </c>
      <c r="D193" s="10" t="s">
        <v>1120</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1180</v>
      </c>
      <c r="D194" s="10" t="s">
        <v>1121</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1180</v>
      </c>
      <c r="D195" s="10" t="s">
        <v>1122</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1181</v>
      </c>
      <c r="D196" s="10" t="s">
        <v>1120</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1181</v>
      </c>
      <c r="D197" s="10" t="s">
        <v>1121</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1181</v>
      </c>
      <c r="D198" s="10" t="s">
        <v>1122</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1182</v>
      </c>
      <c r="D199" s="10" t="s">
        <v>1120</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1182</v>
      </c>
      <c r="D200" s="10" t="s">
        <v>1121</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1182</v>
      </c>
      <c r="D201" s="10" t="s">
        <v>1122</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1183</v>
      </c>
      <c r="D202" s="10" t="s">
        <v>1120</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1183</v>
      </c>
      <c r="D203" s="10" t="s">
        <v>1121</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1183</v>
      </c>
      <c r="D204" s="10" t="s">
        <v>1122</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1184</v>
      </c>
      <c r="D205" s="10" t="s">
        <v>1120</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1184</v>
      </c>
      <c r="D206" s="10" t="s">
        <v>1121</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1184</v>
      </c>
      <c r="D207" s="10" t="s">
        <v>1122</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1185</v>
      </c>
      <c r="D208" s="10" t="s">
        <v>1120</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1185</v>
      </c>
      <c r="D209" s="10" t="s">
        <v>1121</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1185</v>
      </c>
      <c r="D210" s="10" t="s">
        <v>1122</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1186</v>
      </c>
      <c r="D211" s="10" t="s">
        <v>1120</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1186</v>
      </c>
      <c r="D212" s="10" t="s">
        <v>1121</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1186</v>
      </c>
      <c r="D213" s="10" t="s">
        <v>1122</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1187</v>
      </c>
      <c r="D214" s="10" t="s">
        <v>1120</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1187</v>
      </c>
      <c r="D215" s="10" t="s">
        <v>1121</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1187</v>
      </c>
      <c r="D216" s="10" t="s">
        <v>1122</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1188</v>
      </c>
      <c r="D217" s="10" t="s">
        <v>1120</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1188</v>
      </c>
      <c r="D218" s="10" t="s">
        <v>1121</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1188</v>
      </c>
      <c r="D219" s="10" t="s">
        <v>1122</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1189</v>
      </c>
      <c r="D220" s="10" t="s">
        <v>1120</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1189</v>
      </c>
      <c r="D221" s="10" t="s">
        <v>1121</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1189</v>
      </c>
      <c r="D222" s="10" t="s">
        <v>1122</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1190</v>
      </c>
      <c r="D223" s="10" t="s">
        <v>1120</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1190</v>
      </c>
      <c r="D224" s="10" t="s">
        <v>1121</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1190</v>
      </c>
      <c r="D225" s="10" t="s">
        <v>1122</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1191</v>
      </c>
      <c r="D226" s="10" t="s">
        <v>1120</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1191</v>
      </c>
      <c r="D227" s="10" t="s">
        <v>1121</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1191</v>
      </c>
      <c r="D228" s="10" t="s">
        <v>1122</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1192</v>
      </c>
      <c r="D229" s="10" t="s">
        <v>1120</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1192</v>
      </c>
      <c r="D230" s="10" t="s">
        <v>1121</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1192</v>
      </c>
      <c r="D231" s="10" t="s">
        <v>1122</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1193</v>
      </c>
      <c r="D232" s="10" t="s">
        <v>1120</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1193</v>
      </c>
      <c r="D233" s="10" t="s">
        <v>1121</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1193</v>
      </c>
      <c r="D234" s="10" t="s">
        <v>1122</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1194</v>
      </c>
      <c r="D235" s="10" t="s">
        <v>1120</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1194</v>
      </c>
      <c r="D236" s="10" t="s">
        <v>1121</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1194</v>
      </c>
      <c r="D237" s="10" t="s">
        <v>1122</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1195</v>
      </c>
      <c r="D238" s="10" t="s">
        <v>1120</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1195</v>
      </c>
      <c r="D239" s="10" t="s">
        <v>1121</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1195</v>
      </c>
      <c r="D240" s="10" t="s">
        <v>1122</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1196</v>
      </c>
      <c r="D241" s="10" t="s">
        <v>1120</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1196</v>
      </c>
      <c r="D242" s="10" t="s">
        <v>1121</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1196</v>
      </c>
      <c r="D243" s="10" t="s">
        <v>1122</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1197</v>
      </c>
      <c r="D244" s="10" t="s">
        <v>1120</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1197</v>
      </c>
      <c r="D245" s="10" t="s">
        <v>1121</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1197</v>
      </c>
      <c r="D246" s="10" t="s">
        <v>1122</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1198</v>
      </c>
      <c r="D247" s="10" t="s">
        <v>1120</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1198</v>
      </c>
      <c r="D248" s="10" t="s">
        <v>1121</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1198</v>
      </c>
      <c r="D249" s="10" t="s">
        <v>1122</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1199</v>
      </c>
      <c r="D250" s="10" t="s">
        <v>1120</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1199</v>
      </c>
      <c r="D251" s="10" t="s">
        <v>1121</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1199</v>
      </c>
      <c r="D252" s="10" t="s">
        <v>1122</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1200</v>
      </c>
      <c r="D253" s="10" t="s">
        <v>1120</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1200</v>
      </c>
      <c r="D254" s="10" t="s">
        <v>1121</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1200</v>
      </c>
      <c r="D255" s="10" t="s">
        <v>1122</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1201</v>
      </c>
      <c r="D256" s="10" t="s">
        <v>1120</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46443</v>
      </c>
      <c r="B257" s="38" t="n">
        <v>0.729166666666667</v>
      </c>
      <c r="C257" s="10" t="s">
        <v>1201</v>
      </c>
      <c r="D257" s="10" t="s">
        <v>1121</v>
      </c>
      <c r="E257" s="0" t="n">
        <v>5</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qr</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46447</v>
      </c>
      <c r="B258" s="38" t="n">
        <v>0.729166666666667</v>
      </c>
      <c r="C258" s="10" t="s">
        <v>1201</v>
      </c>
      <c r="D258" s="10" t="s">
        <v>1122</v>
      </c>
      <c r="E258" s="0" t="n">
        <v>11</v>
      </c>
      <c r="G258" s="30" t="str">
        <f aca="false">IF($C258="","",IFERROR(IF(INDEX(links!$A$2:$A$501,MATCH($C258,links!$D$2:$D$501,0))="","",INDEX(links!$A$2:$A$501,MATCH($C258,links!$D$2:$D$501,0))),""))</f>
        <v>SAMPLE-CMP-006</v>
      </c>
      <c r="H258" s="30" t="str">
        <f aca="false">IF($C258="","",IFERROR(IF(INDEX(links!$B$2:$B$501,MATCH($C258,links!$D$2:$D$501,0))="","",INDEX(links!$B$2:$B$501,MATCH($C258,links!$D$2:$D$501,0))),""))</f>
        <v>SAMPLE-O-001</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1202</v>
      </c>
      <c r="D259" s="10" t="s">
        <v>1120</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SAMPLE-O-001</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46443</v>
      </c>
      <c r="B260" s="38" t="n">
        <v>0.729166666666667</v>
      </c>
      <c r="C260" s="10" t="s">
        <v>1202</v>
      </c>
      <c r="D260" s="10" t="s">
        <v>1121</v>
      </c>
      <c r="E260" s="0" t="n">
        <v>2</v>
      </c>
      <c r="G260" s="30" t="str">
        <f aca="false">IF($C260="","",IFERROR(IF(INDEX(links!$A$2:$A$501,MATCH($C260,links!$D$2:$D$501,0))="","",INDEX(links!$A$2:$A$501,MATCH($C260,links!$D$2:$D$501,0))),""))</f>
        <v>SAMPLE-CMP-006</v>
      </c>
      <c r="H260" s="30" t="str">
        <f aca="false">IF($C260="","",IFERROR(IF(INDEX(links!$B$2:$B$501,MATCH($C260,links!$D$2:$D$501,0))="","",INDEX(links!$B$2:$B$501,MATCH($C260,links!$D$2:$D$501,0))),""))</f>
        <v>SAMPLE-O-001</v>
      </c>
      <c r="I260" s="30" t="str">
        <f aca="false">IF($C260="","",IFERROR(IF(INDEX(links!$C$2:$C$501,MATCH($C260,links!$D$2:$D$501,0))="","",INDEX(links!$C$2:$C$501,MATCH($C260,links!$D$2:$D$501,0))),""))</f>
        <v>post</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46447</v>
      </c>
      <c r="B261" s="38" t="n">
        <v>0.729166666666667</v>
      </c>
      <c r="C261" s="10" t="s">
        <v>1202</v>
      </c>
      <c r="D261" s="10" t="s">
        <v>1122</v>
      </c>
      <c r="E261" s="0" t="n">
        <v>4</v>
      </c>
      <c r="G261" s="30" t="str">
        <f aca="false">IF($C261="","",IFERROR(IF(INDEX(links!$A$2:$A$501,MATCH($C261,links!$D$2:$D$501,0))="","",INDEX(links!$A$2:$A$501,MATCH($C261,links!$D$2:$D$501,0))),""))</f>
        <v>SAMPLE-CMP-006</v>
      </c>
      <c r="H261" s="30" t="str">
        <f aca="false">IF($C261="","",IFERROR(IF(INDEX(links!$B$2:$B$501,MATCH($C261,links!$D$2:$D$501,0))="","",INDEX(links!$B$2:$B$501,MATCH($C261,links!$D$2:$D$501,0))),""))</f>
        <v>SAMPLE-O-001</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1203</v>
      </c>
      <c r="D262" s="10" t="s">
        <v>1120</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SAMPLE-O-002</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46443</v>
      </c>
      <c r="B263" s="38" t="n">
        <v>0.729166666666667</v>
      </c>
      <c r="C263" s="10" t="s">
        <v>1203</v>
      </c>
      <c r="D263" s="10" t="s">
        <v>1121</v>
      </c>
      <c r="E263" s="0" t="n">
        <v>6</v>
      </c>
      <c r="G263" s="30" t="str">
        <f aca="false">IF($C263="","",IFERROR(IF(INDEX(links!$A$2:$A$501,MATCH($C263,links!$D$2:$D$501,0))="","",INDEX(links!$A$2:$A$501,MATCH($C263,links!$D$2:$D$501,0))),""))</f>
        <v>SAMPLE-CMP-006</v>
      </c>
      <c r="H263" s="30" t="str">
        <f aca="false">IF($C263="","",IFERROR(IF(INDEX(links!$B$2:$B$501,MATCH($C263,links!$D$2:$D$501,0))="","",INDEX(links!$B$2:$B$501,MATCH($C263,links!$D$2:$D$501,0))),""))</f>
        <v>SAMPLE-O-002</v>
      </c>
      <c r="I263" s="30" t="str">
        <f aca="false">IF($C263="","",IFERROR(IF(INDEX(links!$C$2:$C$501,MATCH($C263,links!$D$2:$D$501,0))="","",INDEX(links!$C$2:$C$501,MATCH($C263,links!$D$2:$D$501,0))),""))</f>
        <v>qr</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46447</v>
      </c>
      <c r="B264" s="38" t="n">
        <v>0.729166666666667</v>
      </c>
      <c r="C264" s="10" t="s">
        <v>1203</v>
      </c>
      <c r="D264" s="10" t="s">
        <v>1122</v>
      </c>
      <c r="E264" s="0" t="n">
        <v>13</v>
      </c>
      <c r="G264" s="30" t="str">
        <f aca="false">IF($C264="","",IFERROR(IF(INDEX(links!$A$2:$A$501,MATCH($C264,links!$D$2:$D$501,0))="","",INDEX(links!$A$2:$A$501,MATCH($C264,links!$D$2:$D$501,0))),""))</f>
        <v>SAMPLE-CMP-006</v>
      </c>
      <c r="H264" s="30" t="str">
        <f aca="false">IF($C264="","",IFERROR(IF(INDEX(links!$B$2:$B$501,MATCH($C264,links!$D$2:$D$501,0))="","",INDEX(links!$B$2:$B$501,MATCH($C264,links!$D$2:$D$501,0))),""))</f>
        <v>SAMPLE-O-002</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1204</v>
      </c>
      <c r="D265" s="10" t="s">
        <v>1120</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SAMPLE-O-002</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46443</v>
      </c>
      <c r="B266" s="38" t="n">
        <v>0.729166666666667</v>
      </c>
      <c r="C266" s="10" t="s">
        <v>1204</v>
      </c>
      <c r="D266" s="10" t="s">
        <v>1121</v>
      </c>
      <c r="E266" s="0" t="n">
        <v>3</v>
      </c>
      <c r="G266" s="30" t="str">
        <f aca="false">IF($C266="","",IFERROR(IF(INDEX(links!$A$2:$A$501,MATCH($C266,links!$D$2:$D$501,0))="","",INDEX(links!$A$2:$A$501,MATCH($C266,links!$D$2:$D$501,0))),""))</f>
        <v>SAMPLE-CMP-006</v>
      </c>
      <c r="H266" s="30" t="str">
        <f aca="false">IF($C266="","",IFERROR(IF(INDEX(links!$B$2:$B$501,MATCH($C266,links!$D$2:$D$501,0))="","",INDEX(links!$B$2:$B$501,MATCH($C266,links!$D$2:$D$501,0))),""))</f>
        <v>SAMPLE-O-002</v>
      </c>
      <c r="I266" s="30" t="str">
        <f aca="false">IF($C266="","",IFERROR(IF(INDEX(links!$C$2:$C$501,MATCH($C266,links!$D$2:$D$501,0))="","",INDEX(links!$C$2:$C$501,MATCH($C266,links!$D$2:$D$501,0))),""))</f>
        <v>post</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46447</v>
      </c>
      <c r="B267" s="38" t="n">
        <v>0.729166666666667</v>
      </c>
      <c r="C267" s="10" t="s">
        <v>1204</v>
      </c>
      <c r="D267" s="10" t="s">
        <v>1122</v>
      </c>
      <c r="E267" s="0" t="n">
        <v>6</v>
      </c>
      <c r="G267" s="30" t="str">
        <f aca="false">IF($C267="","",IFERROR(IF(INDEX(links!$A$2:$A$501,MATCH($C267,links!$D$2:$D$501,0))="","",INDEX(links!$A$2:$A$501,MATCH($C267,links!$D$2:$D$501,0))),""))</f>
        <v>SAMPLE-CMP-006</v>
      </c>
      <c r="H267" s="30" t="str">
        <f aca="false">IF($C267="","",IFERROR(IF(INDEX(links!$B$2:$B$501,MATCH($C267,links!$D$2:$D$501,0))="","",INDEX(links!$B$2:$B$501,MATCH($C267,links!$D$2:$D$501,0))),""))</f>
        <v>SAMPLE-O-002</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1205</v>
      </c>
      <c r="D268" s="10" t="s">
        <v>1120</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SAMPLE-O-003</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46443</v>
      </c>
      <c r="B269" s="38" t="n">
        <v>0.729166666666667</v>
      </c>
      <c r="C269" s="10" t="s">
        <v>1205</v>
      </c>
      <c r="D269" s="10" t="s">
        <v>1121</v>
      </c>
      <c r="E269" s="0" t="n">
        <v>2</v>
      </c>
      <c r="G269" s="30" t="str">
        <f aca="false">IF($C269="","",IFERROR(IF(INDEX(links!$A$2:$A$501,MATCH($C269,links!$D$2:$D$501,0))="","",INDEX(links!$A$2:$A$501,MATCH($C269,links!$D$2:$D$501,0))),""))</f>
        <v>SAMPLE-CMP-006</v>
      </c>
      <c r="H269" s="30" t="str">
        <f aca="false">IF($C269="","",IFERROR(IF(INDEX(links!$B$2:$B$501,MATCH($C269,links!$D$2:$D$501,0))="","",INDEX(links!$B$2:$B$501,MATCH($C269,links!$D$2:$D$501,0))),""))</f>
        <v>SAMPLE-O-003</v>
      </c>
      <c r="I269" s="30" t="str">
        <f aca="false">IF($C269="","",IFERROR(IF(INDEX(links!$C$2:$C$501,MATCH($C269,links!$D$2:$D$501,0))="","",INDEX(links!$C$2:$C$501,MATCH($C269,links!$D$2:$D$501,0))),""))</f>
        <v>qr</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46447</v>
      </c>
      <c r="B270" s="38" t="n">
        <v>0.729166666666667</v>
      </c>
      <c r="C270" s="10" t="s">
        <v>1205</v>
      </c>
      <c r="D270" s="10" t="s">
        <v>1122</v>
      </c>
      <c r="E270" s="0" t="n">
        <v>5</v>
      </c>
      <c r="G270" s="30" t="str">
        <f aca="false">IF($C270="","",IFERROR(IF(INDEX(links!$A$2:$A$501,MATCH($C270,links!$D$2:$D$501,0))="","",INDEX(links!$A$2:$A$501,MATCH($C270,links!$D$2:$D$501,0))),""))</f>
        <v>SAMPLE-CMP-006</v>
      </c>
      <c r="H270" s="30" t="str">
        <f aca="false">IF($C270="","",IFERROR(IF(INDEX(links!$B$2:$B$501,MATCH($C270,links!$D$2:$D$501,0))="","",INDEX(links!$B$2:$B$501,MATCH($C270,links!$D$2:$D$501,0))),""))</f>
        <v>SAMPLE-O-003</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1206</v>
      </c>
      <c r="D271" s="10" t="s">
        <v>1120</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SAMPLE-O-003</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46443</v>
      </c>
      <c r="B272" s="38" t="n">
        <v>0.729166666666667</v>
      </c>
      <c r="C272" s="10" t="s">
        <v>1206</v>
      </c>
      <c r="D272" s="10" t="s">
        <v>1121</v>
      </c>
      <c r="E272" s="0" t="n">
        <v>4</v>
      </c>
      <c r="G272" s="30" t="str">
        <f aca="false">IF($C272="","",IFERROR(IF(INDEX(links!$A$2:$A$501,MATCH($C272,links!$D$2:$D$501,0))="","",INDEX(links!$A$2:$A$501,MATCH($C272,links!$D$2:$D$501,0))),""))</f>
        <v>SAMPLE-CMP-006</v>
      </c>
      <c r="H272" s="30" t="str">
        <f aca="false">IF($C272="","",IFERROR(IF(INDEX(links!$B$2:$B$501,MATCH($C272,links!$D$2:$D$501,0))="","",INDEX(links!$B$2:$B$501,MATCH($C272,links!$D$2:$D$501,0))),""))</f>
        <v>SAMPLE-O-003</v>
      </c>
      <c r="I272" s="30" t="str">
        <f aca="false">IF($C272="","",IFERROR(IF(INDEX(links!$C$2:$C$501,MATCH($C272,links!$D$2:$D$501,0))="","",INDEX(links!$C$2:$C$501,MATCH($C272,links!$D$2:$D$501,0))),""))</f>
        <v>post</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46447</v>
      </c>
      <c r="B273" s="38" t="n">
        <v>0.729166666666667</v>
      </c>
      <c r="C273" s="10" t="s">
        <v>1206</v>
      </c>
      <c r="D273" s="10" t="s">
        <v>1122</v>
      </c>
      <c r="E273" s="0" t="n">
        <v>8</v>
      </c>
      <c r="G273" s="30" t="str">
        <f aca="false">IF($C273="","",IFERROR(IF(INDEX(links!$A$2:$A$501,MATCH($C273,links!$D$2:$D$501,0))="","",INDEX(links!$A$2:$A$501,MATCH($C273,links!$D$2:$D$501,0))),""))</f>
        <v>SAMPLE-CMP-006</v>
      </c>
      <c r="H273" s="30" t="str">
        <f aca="false">IF($C273="","",IFERROR(IF(INDEX(links!$B$2:$B$501,MATCH($C273,links!$D$2:$D$501,0))="","",INDEX(links!$B$2:$B$501,MATCH($C273,links!$D$2:$D$501,0))),""))</f>
        <v>SAMPLE-O-003</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1207</v>
      </c>
      <c r="D274" s="10" t="s">
        <v>1120</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SAMPLE-O-004</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46443</v>
      </c>
      <c r="B275" s="38" t="n">
        <v>0.729166666666667</v>
      </c>
      <c r="C275" s="10" t="s">
        <v>1207</v>
      </c>
      <c r="D275" s="10" t="s">
        <v>1121</v>
      </c>
      <c r="E275" s="0" t="n">
        <v>3</v>
      </c>
      <c r="G275" s="30" t="str">
        <f aca="false">IF($C275="","",IFERROR(IF(INDEX(links!$A$2:$A$501,MATCH($C275,links!$D$2:$D$501,0))="","",INDEX(links!$A$2:$A$501,MATCH($C275,links!$D$2:$D$501,0))),""))</f>
        <v>SAMPLE-CMP-006</v>
      </c>
      <c r="H275" s="30" t="str">
        <f aca="false">IF($C275="","",IFERROR(IF(INDEX(links!$B$2:$B$501,MATCH($C275,links!$D$2:$D$501,0))="","",INDEX(links!$B$2:$B$501,MATCH($C275,links!$D$2:$D$501,0))),""))</f>
        <v>SAMPLE-O-004</v>
      </c>
      <c r="I275" s="30" t="str">
        <f aca="false">IF($C275="","",IFERROR(IF(INDEX(links!$C$2:$C$501,MATCH($C275,links!$D$2:$D$501,0))="","",INDEX(links!$C$2:$C$501,MATCH($C275,links!$D$2:$D$501,0))),""))</f>
        <v>qr</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t="n">
        <v>46447</v>
      </c>
      <c r="B276" s="38" t="n">
        <v>0.729166666666667</v>
      </c>
      <c r="C276" s="10" t="s">
        <v>1207</v>
      </c>
      <c r="D276" s="10" t="s">
        <v>1122</v>
      </c>
      <c r="E276" s="0" t="n">
        <v>7</v>
      </c>
      <c r="G276" s="30" t="str">
        <f aca="false">IF($C276="","",IFERROR(IF(INDEX(links!$A$2:$A$501,MATCH($C276,links!$D$2:$D$501,0))="","",INDEX(links!$A$2:$A$501,MATCH($C276,links!$D$2:$D$501,0))),""))</f>
        <v>SAMPLE-CMP-006</v>
      </c>
      <c r="H276" s="30" t="str">
        <f aca="false">IF($C276="","",IFERROR(IF(INDEX(links!$B$2:$B$501,MATCH($C276,links!$D$2:$D$501,0))="","",INDEX(links!$B$2:$B$501,MATCH($C276,links!$D$2:$D$501,0))),""))</f>
        <v>SAMPLE-O-004</v>
      </c>
      <c r="I276" s="30" t="str">
        <f aca="false">IF($C276="","",IFERROR(IF(INDEX(links!$C$2:$C$501,MATCH($C276,links!$D$2:$D$501,0))="","",INDEX(links!$C$2:$C$501,MATCH($C276,links!$D$2:$D$501,0))),""))</f>
        <v>qr</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t="n">
        <v>46440</v>
      </c>
      <c r="B277" s="38" t="n">
        <v>0.729166666666667</v>
      </c>
      <c r="C277" s="10" t="s">
        <v>1208</v>
      </c>
      <c r="D277" s="10" t="s">
        <v>1120</v>
      </c>
      <c r="E277" s="0" t="n">
        <v>1</v>
      </c>
      <c r="G277" s="30" t="str">
        <f aca="false">IF($C277="","",IFERROR(IF(INDEX(links!$A$2:$A$501,MATCH($C277,links!$D$2:$D$501,0))="","",INDEX(links!$A$2:$A$501,MATCH($C277,links!$D$2:$D$501,0))),""))</f>
        <v>SAMPLE-CMP-006</v>
      </c>
      <c r="H277" s="30" t="str">
        <f aca="false">IF($C277="","",IFERROR(IF(INDEX(links!$B$2:$B$501,MATCH($C277,links!$D$2:$D$501,0))="","",INDEX(links!$B$2:$B$501,MATCH($C277,links!$D$2:$D$501,0))),""))</f>
        <v>SAMPLE-O-004</v>
      </c>
      <c r="I277" s="30" t="str">
        <f aca="false">IF($C277="","",IFERROR(IF(INDEX(links!$C$2:$C$501,MATCH($C277,links!$D$2:$D$501,0))="","",INDEX(links!$C$2:$C$501,MATCH($C277,links!$D$2:$D$501,0))),""))</f>
        <v>post</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t="n">
        <v>46443</v>
      </c>
      <c r="B278" s="38" t="n">
        <v>0.729166666666667</v>
      </c>
      <c r="C278" s="10" t="s">
        <v>1208</v>
      </c>
      <c r="D278" s="10" t="s">
        <v>1121</v>
      </c>
      <c r="E278" s="0" t="n">
        <v>5</v>
      </c>
      <c r="G278" s="30" t="str">
        <f aca="false">IF($C278="","",IFERROR(IF(INDEX(links!$A$2:$A$501,MATCH($C278,links!$D$2:$D$501,0))="","",INDEX(links!$A$2:$A$501,MATCH($C278,links!$D$2:$D$501,0))),""))</f>
        <v>SAMPLE-CMP-006</v>
      </c>
      <c r="H278" s="30" t="str">
        <f aca="false">IF($C278="","",IFERROR(IF(INDEX(links!$B$2:$B$501,MATCH($C278,links!$D$2:$D$501,0))="","",INDEX(links!$B$2:$B$501,MATCH($C278,links!$D$2:$D$501,0))),""))</f>
        <v>SAMPLE-O-004</v>
      </c>
      <c r="I278" s="30" t="str">
        <f aca="false">IF($C278="","",IFERROR(IF(INDEX(links!$C$2:$C$501,MATCH($C278,links!$D$2:$D$501,0))="","",INDEX(links!$C$2:$C$501,MATCH($C278,links!$D$2:$D$501,0))),""))</f>
        <v>post</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t="n">
        <v>46447</v>
      </c>
      <c r="B279" s="38" t="n">
        <v>0.729166666666667</v>
      </c>
      <c r="C279" s="10" t="s">
        <v>1208</v>
      </c>
      <c r="D279" s="10" t="s">
        <v>1122</v>
      </c>
      <c r="E279" s="0" t="n">
        <v>10</v>
      </c>
      <c r="G279" s="30" t="str">
        <f aca="false">IF($C279="","",IFERROR(IF(INDEX(links!$A$2:$A$501,MATCH($C279,links!$D$2:$D$501,0))="","",INDEX(links!$A$2:$A$501,MATCH($C279,links!$D$2:$D$501,0))),""))</f>
        <v>SAMPLE-CMP-006</v>
      </c>
      <c r="H279" s="30" t="str">
        <f aca="false">IF($C279="","",IFERROR(IF(INDEX(links!$B$2:$B$501,MATCH($C279,links!$D$2:$D$501,0))="","",INDEX(links!$B$2:$B$501,MATCH($C279,links!$D$2:$D$501,0))),""))</f>
        <v>SAMPLE-O-004</v>
      </c>
      <c r="I279" s="30" t="str">
        <f aca="false">IF($C279="","",IFERROR(IF(INDEX(links!$C$2:$C$501,MATCH($C279,links!$D$2:$D$501,0))="","",INDEX(links!$C$2:$C$501,MATCH($C279,links!$D$2:$D$501,0))),""))</f>
        <v>post</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t="n">
        <v>46440</v>
      </c>
      <c r="B280" s="38" t="n">
        <v>0.729166666666667</v>
      </c>
      <c r="C280" s="10" t="s">
        <v>1209</v>
      </c>
      <c r="D280" s="10" t="s">
        <v>1120</v>
      </c>
      <c r="E280" s="0" t="n">
        <v>1</v>
      </c>
      <c r="G280" s="30" t="str">
        <f aca="false">IF($C280="","",IFERROR(IF(INDEX(links!$A$2:$A$501,MATCH($C280,links!$D$2:$D$501,0))="","",INDEX(links!$A$2:$A$501,MATCH($C280,links!$D$2:$D$501,0))),""))</f>
        <v>SAMPLE-CMP-006</v>
      </c>
      <c r="H280" s="30" t="str">
        <f aca="false">IF($C280="","",IFERROR(IF(INDEX(links!$B$2:$B$501,MATCH($C280,links!$D$2:$D$501,0))="","",INDEX(links!$B$2:$B$501,MATCH($C280,links!$D$2:$D$501,0))),""))</f>
        <v>SAMPLE-O-005</v>
      </c>
      <c r="I280" s="30" t="str">
        <f aca="false">IF($C280="","",IFERROR(IF(INDEX(links!$C$2:$C$501,MATCH($C280,links!$D$2:$D$501,0))="","",INDEX(links!$C$2:$C$501,MATCH($C280,links!$D$2:$D$501,0))),""))</f>
        <v>qr</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t="n">
        <v>46443</v>
      </c>
      <c r="B281" s="38" t="n">
        <v>0.729166666666667</v>
      </c>
      <c r="C281" s="10" t="s">
        <v>1209</v>
      </c>
      <c r="D281" s="10" t="s">
        <v>1121</v>
      </c>
      <c r="E281" s="0" t="n">
        <v>4</v>
      </c>
      <c r="G281" s="30" t="str">
        <f aca="false">IF($C281="","",IFERROR(IF(INDEX(links!$A$2:$A$501,MATCH($C281,links!$D$2:$D$501,0))="","",INDEX(links!$A$2:$A$501,MATCH($C281,links!$D$2:$D$501,0))),""))</f>
        <v>SAMPLE-CMP-006</v>
      </c>
      <c r="H281" s="30" t="str">
        <f aca="false">IF($C281="","",IFERROR(IF(INDEX(links!$B$2:$B$501,MATCH($C281,links!$D$2:$D$501,0))="","",INDEX(links!$B$2:$B$501,MATCH($C281,links!$D$2:$D$501,0))),""))</f>
        <v>SAMPLE-O-005</v>
      </c>
      <c r="I281" s="30" t="str">
        <f aca="false">IF($C281="","",IFERROR(IF(INDEX(links!$C$2:$C$501,MATCH($C281,links!$D$2:$D$501,0))="","",INDEX(links!$C$2:$C$501,MATCH($C281,links!$D$2:$D$501,0))),""))</f>
        <v>qr</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t="n">
        <v>46447</v>
      </c>
      <c r="B282" s="38" t="n">
        <v>0.729166666666667</v>
      </c>
      <c r="C282" s="10" t="s">
        <v>1209</v>
      </c>
      <c r="D282" s="10" t="s">
        <v>1122</v>
      </c>
      <c r="E282" s="0" t="n">
        <v>9</v>
      </c>
      <c r="G282" s="30" t="str">
        <f aca="false">IF($C282="","",IFERROR(IF(INDEX(links!$A$2:$A$501,MATCH($C282,links!$D$2:$D$501,0))="","",INDEX(links!$A$2:$A$501,MATCH($C282,links!$D$2:$D$501,0))),""))</f>
        <v>SAMPLE-CMP-006</v>
      </c>
      <c r="H282" s="30" t="str">
        <f aca="false">IF($C282="","",IFERROR(IF(INDEX(links!$B$2:$B$501,MATCH($C282,links!$D$2:$D$501,0))="","",INDEX(links!$B$2:$B$501,MATCH($C282,links!$D$2:$D$501,0))),""))</f>
        <v>SAMPLE-O-005</v>
      </c>
      <c r="I282" s="30" t="str">
        <f aca="false">IF($C282="","",IFERROR(IF(INDEX(links!$C$2:$C$501,MATCH($C282,links!$D$2:$D$501,0))="","",INDEX(links!$C$2:$C$501,MATCH($C282,links!$D$2:$D$501,0))),""))</f>
        <v>qr</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t="n">
        <v>46440</v>
      </c>
      <c r="B283" s="38" t="n">
        <v>0.729166666666667</v>
      </c>
      <c r="C283" s="10" t="s">
        <v>1210</v>
      </c>
      <c r="D283" s="10" t="s">
        <v>1120</v>
      </c>
      <c r="E283" s="0" t="n">
        <v>1</v>
      </c>
      <c r="G283" s="30" t="str">
        <f aca="false">IF($C283="","",IFERROR(IF(INDEX(links!$A$2:$A$501,MATCH($C283,links!$D$2:$D$501,0))="","",INDEX(links!$A$2:$A$501,MATCH($C283,links!$D$2:$D$501,0))),""))</f>
        <v>SAMPLE-CMP-006</v>
      </c>
      <c r="H283" s="30" t="str">
        <f aca="false">IF($C283="","",IFERROR(IF(INDEX(links!$B$2:$B$501,MATCH($C283,links!$D$2:$D$501,0))="","",INDEX(links!$B$2:$B$501,MATCH($C283,links!$D$2:$D$501,0))),""))</f>
        <v>SAMPLE-O-005</v>
      </c>
      <c r="I283" s="30" t="str">
        <f aca="false">IF($C283="","",IFERROR(IF(INDEX(links!$C$2:$C$501,MATCH($C283,links!$D$2:$D$501,0))="","",INDEX(links!$C$2:$C$501,MATCH($C283,links!$D$2:$D$501,0))),""))</f>
        <v>post</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t="n">
        <v>46443</v>
      </c>
      <c r="B284" s="38" t="n">
        <v>0.729166666666667</v>
      </c>
      <c r="C284" s="10" t="s">
        <v>1210</v>
      </c>
      <c r="D284" s="10" t="s">
        <v>1121</v>
      </c>
      <c r="E284" s="0" t="n">
        <v>6</v>
      </c>
      <c r="G284" s="30" t="str">
        <f aca="false">IF($C284="","",IFERROR(IF(INDEX(links!$A$2:$A$501,MATCH($C284,links!$D$2:$D$501,0))="","",INDEX(links!$A$2:$A$501,MATCH($C284,links!$D$2:$D$501,0))),""))</f>
        <v>SAMPLE-CMP-006</v>
      </c>
      <c r="H284" s="30" t="str">
        <f aca="false">IF($C284="","",IFERROR(IF(INDEX(links!$B$2:$B$501,MATCH($C284,links!$D$2:$D$501,0))="","",INDEX(links!$B$2:$B$501,MATCH($C284,links!$D$2:$D$501,0))),""))</f>
        <v>SAMPLE-O-005</v>
      </c>
      <c r="I284" s="30" t="str">
        <f aca="false">IF($C284="","",IFERROR(IF(INDEX(links!$C$2:$C$501,MATCH($C284,links!$D$2:$D$501,0))="","",INDEX(links!$C$2:$C$501,MATCH($C284,links!$D$2:$D$501,0))),""))</f>
        <v>post</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t="n">
        <v>46447</v>
      </c>
      <c r="B285" s="38" t="n">
        <v>0.729166666666667</v>
      </c>
      <c r="C285" s="10" t="s">
        <v>1210</v>
      </c>
      <c r="D285" s="10" t="s">
        <v>1122</v>
      </c>
      <c r="E285" s="0" t="n">
        <v>12</v>
      </c>
      <c r="G285" s="30" t="str">
        <f aca="false">IF($C285="","",IFERROR(IF(INDEX(links!$A$2:$A$501,MATCH($C285,links!$D$2:$D$501,0))="","",INDEX(links!$A$2:$A$501,MATCH($C285,links!$D$2:$D$501,0))),""))</f>
        <v>SAMPLE-CMP-006</v>
      </c>
      <c r="H285" s="30" t="str">
        <f aca="false">IF($C285="","",IFERROR(IF(INDEX(links!$B$2:$B$501,MATCH($C285,links!$D$2:$D$501,0))="","",INDEX(links!$B$2:$B$501,MATCH($C285,links!$D$2:$D$501,0))),""))</f>
        <v>SAMPLE-O-005</v>
      </c>
      <c r="I285" s="30" t="str">
        <f aca="false">IF($C285="","",IFERROR(IF(INDEX(links!$C$2:$C$501,MATCH($C285,links!$D$2:$D$501,0))="","",INDEX(links!$C$2:$C$501,MATCH($C285,links!$D$2:$D$501,0))),""))</f>
        <v>post</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t="n">
        <v>46440</v>
      </c>
      <c r="B286" s="38" t="n">
        <v>0.729166666666667</v>
      </c>
      <c r="C286" s="10" t="s">
        <v>1211</v>
      </c>
      <c r="D286" s="10" t="s">
        <v>1120</v>
      </c>
      <c r="E286" s="0" t="n">
        <v>1</v>
      </c>
      <c r="G286" s="30" t="str">
        <f aca="false">IF($C286="","",IFERROR(IF(INDEX(links!$A$2:$A$501,MATCH($C286,links!$D$2:$D$501,0))="","",INDEX(links!$A$2:$A$501,MATCH($C286,links!$D$2:$D$501,0))),""))</f>
        <v>SAMPLE-CMP-006</v>
      </c>
      <c r="H286" s="30" t="str">
        <f aca="false">IF($C286="","",IFERROR(IF(INDEX(links!$B$2:$B$501,MATCH($C286,links!$D$2:$D$501,0))="","",INDEX(links!$B$2:$B$501,MATCH($C286,links!$D$2:$D$501,0))),""))</f>
        <v>SAMPLE-O-006</v>
      </c>
      <c r="I286" s="30" t="str">
        <f aca="false">IF($C286="","",IFERROR(IF(INDEX(links!$C$2:$C$501,MATCH($C286,links!$D$2:$D$501,0))="","",INDEX(links!$C$2:$C$501,MATCH($C286,links!$D$2:$D$501,0))),""))</f>
        <v>qr</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t="n">
        <v>46443</v>
      </c>
      <c r="B287" s="38" t="n">
        <v>0.729166666666667</v>
      </c>
      <c r="C287" s="10" t="s">
        <v>1211</v>
      </c>
      <c r="D287" s="10" t="s">
        <v>1121</v>
      </c>
      <c r="E287" s="0" t="n">
        <v>1</v>
      </c>
      <c r="G287" s="30" t="str">
        <f aca="false">IF($C287="","",IFERROR(IF(INDEX(links!$A$2:$A$501,MATCH($C287,links!$D$2:$D$501,0))="","",INDEX(links!$A$2:$A$501,MATCH($C287,links!$D$2:$D$501,0))),""))</f>
        <v>SAMPLE-CMP-006</v>
      </c>
      <c r="H287" s="30" t="str">
        <f aca="false">IF($C287="","",IFERROR(IF(INDEX(links!$B$2:$B$501,MATCH($C287,links!$D$2:$D$501,0))="","",INDEX(links!$B$2:$B$501,MATCH($C287,links!$D$2:$D$501,0))),""))</f>
        <v>SAMPLE-O-006</v>
      </c>
      <c r="I287" s="30" t="str">
        <f aca="false">IF($C287="","",IFERROR(IF(INDEX(links!$C$2:$C$501,MATCH($C287,links!$D$2:$D$501,0))="","",INDEX(links!$C$2:$C$501,MATCH($C287,links!$D$2:$D$501,0))),""))</f>
        <v>qr</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t="n">
        <v>46447</v>
      </c>
      <c r="B288" s="38" t="n">
        <v>0.729166666666667</v>
      </c>
      <c r="C288" s="10" t="s">
        <v>1211</v>
      </c>
      <c r="D288" s="10" t="s">
        <v>1122</v>
      </c>
      <c r="E288" s="0" t="n">
        <v>1</v>
      </c>
      <c r="G288" s="30" t="str">
        <f aca="false">IF($C288="","",IFERROR(IF(INDEX(links!$A$2:$A$501,MATCH($C288,links!$D$2:$D$501,0))="","",INDEX(links!$A$2:$A$501,MATCH($C288,links!$D$2:$D$501,0))),""))</f>
        <v>SAMPLE-CMP-006</v>
      </c>
      <c r="H288" s="30" t="str">
        <f aca="false">IF($C288="","",IFERROR(IF(INDEX(links!$B$2:$B$501,MATCH($C288,links!$D$2:$D$501,0))="","",INDEX(links!$B$2:$B$501,MATCH($C288,links!$D$2:$D$501,0))),""))</f>
        <v>SAMPLE-O-006</v>
      </c>
      <c r="I288" s="30" t="str">
        <f aca="false">IF($C288="","",IFERROR(IF(INDEX(links!$C$2:$C$501,MATCH($C288,links!$D$2:$D$501,0))="","",INDEX(links!$C$2:$C$501,MATCH($C288,links!$D$2:$D$501,0))),""))</f>
        <v>qr</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t="n">
        <v>46440</v>
      </c>
      <c r="B289" s="38" t="n">
        <v>0.729166666666667</v>
      </c>
      <c r="C289" s="10" t="s">
        <v>1212</v>
      </c>
      <c r="D289" s="10" t="s">
        <v>1120</v>
      </c>
      <c r="E289" s="0" t="n">
        <v>1</v>
      </c>
      <c r="G289" s="30" t="str">
        <f aca="false">IF($C289="","",IFERROR(IF(INDEX(links!$A$2:$A$501,MATCH($C289,links!$D$2:$D$501,0))="","",INDEX(links!$A$2:$A$501,MATCH($C289,links!$D$2:$D$501,0))),""))</f>
        <v>SAMPLE-CMP-006</v>
      </c>
      <c r="H289" s="30" t="str">
        <f aca="false">IF($C289="","",IFERROR(IF(INDEX(links!$B$2:$B$501,MATCH($C289,links!$D$2:$D$501,0))="","",INDEX(links!$B$2:$B$501,MATCH($C289,links!$D$2:$D$501,0))),""))</f>
        <v>SAMPLE-O-006</v>
      </c>
      <c r="I289" s="30" t="str">
        <f aca="false">IF($C289="","",IFERROR(IF(INDEX(links!$C$2:$C$501,MATCH($C289,links!$D$2:$D$501,0))="","",INDEX(links!$C$2:$C$501,MATCH($C289,links!$D$2:$D$501,0))),""))</f>
        <v>post</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t="n">
        <v>46443</v>
      </c>
      <c r="B290" s="38" t="n">
        <v>0.729166666666667</v>
      </c>
      <c r="C290" s="10" t="s">
        <v>1212</v>
      </c>
      <c r="D290" s="10" t="s">
        <v>1121</v>
      </c>
      <c r="E290" s="0" t="n">
        <v>1</v>
      </c>
      <c r="G290" s="30" t="str">
        <f aca="false">IF($C290="","",IFERROR(IF(INDEX(links!$A$2:$A$501,MATCH($C290,links!$D$2:$D$501,0))="","",INDEX(links!$A$2:$A$501,MATCH($C290,links!$D$2:$D$501,0))),""))</f>
        <v>SAMPLE-CMP-006</v>
      </c>
      <c r="H290" s="30" t="str">
        <f aca="false">IF($C290="","",IFERROR(IF(INDEX(links!$B$2:$B$501,MATCH($C290,links!$D$2:$D$501,0))="","",INDEX(links!$B$2:$B$501,MATCH($C290,links!$D$2:$D$501,0))),""))</f>
        <v>SAMPLE-O-006</v>
      </c>
      <c r="I290" s="30" t="str">
        <f aca="false">IF($C290="","",IFERROR(IF(INDEX(links!$C$2:$C$501,MATCH($C290,links!$D$2:$D$501,0))="","",INDEX(links!$C$2:$C$501,MATCH($C290,links!$D$2:$D$501,0))),""))</f>
        <v>post</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t="n">
        <v>46447</v>
      </c>
      <c r="B291" s="38" t="n">
        <v>0.729166666666667</v>
      </c>
      <c r="C291" s="10" t="s">
        <v>1212</v>
      </c>
      <c r="D291" s="10" t="s">
        <v>1122</v>
      </c>
      <c r="E291" s="0" t="n">
        <v>1</v>
      </c>
      <c r="G291" s="30" t="str">
        <f aca="false">IF($C291="","",IFERROR(IF(INDEX(links!$A$2:$A$501,MATCH($C291,links!$D$2:$D$501,0))="","",INDEX(links!$A$2:$A$501,MATCH($C291,links!$D$2:$D$501,0))),""))</f>
        <v>SAMPLE-CMP-006</v>
      </c>
      <c r="H291" s="30" t="str">
        <f aca="false">IF($C291="","",IFERROR(IF(INDEX(links!$B$2:$B$501,MATCH($C291,links!$D$2:$D$501,0))="","",INDEX(links!$B$2:$B$501,MATCH($C291,links!$D$2:$D$501,0))),""))</f>
        <v>SAMPLE-O-006</v>
      </c>
      <c r="I291" s="30" t="str">
        <f aca="false">IF($C291="","",IFERROR(IF(INDEX(links!$C$2:$C$501,MATCH($C291,links!$D$2:$D$501,0))="","",INDEX(links!$C$2:$C$501,MATCH($C291,links!$D$2:$D$501,0))),""))</f>
        <v>post</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t="n">
        <v>46440</v>
      </c>
      <c r="B292" s="38" t="n">
        <v>0.729166666666667</v>
      </c>
      <c r="C292" s="10" t="s">
        <v>1213</v>
      </c>
      <c r="D292" s="10" t="s">
        <v>1120</v>
      </c>
      <c r="E292" s="0" t="n">
        <v>1</v>
      </c>
      <c r="G292" s="30" t="str">
        <f aca="false">IF($C292="","",IFERROR(IF(INDEX(links!$A$2:$A$501,MATCH($C292,links!$D$2:$D$501,0))="","",INDEX(links!$A$2:$A$501,MATCH($C292,links!$D$2:$D$501,0))),""))</f>
        <v>SAMPLE-CMP-006</v>
      </c>
      <c r="H292" s="30" t="str">
        <f aca="false">IF($C292="","",IFERROR(IF(INDEX(links!$B$2:$B$501,MATCH($C292,links!$D$2:$D$501,0))="","",INDEX(links!$B$2:$B$501,MATCH($C292,links!$D$2:$D$501,0))),""))</f>
        <v>SAMPLE-O-007</v>
      </c>
      <c r="I292" s="30" t="str">
        <f aca="false">IF($C292="","",IFERROR(IF(INDEX(links!$C$2:$C$501,MATCH($C292,links!$D$2:$D$501,0))="","",INDEX(links!$C$2:$C$501,MATCH($C292,links!$D$2:$D$501,0))),""))</f>
        <v>qr</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t="n">
        <v>46443</v>
      </c>
      <c r="B293" s="38" t="n">
        <v>0.729166666666667</v>
      </c>
      <c r="C293" s="10" t="s">
        <v>1213</v>
      </c>
      <c r="D293" s="10" t="s">
        <v>1121</v>
      </c>
      <c r="E293" s="0" t="n">
        <v>6</v>
      </c>
      <c r="G293" s="30" t="str">
        <f aca="false">IF($C293="","",IFERROR(IF(INDEX(links!$A$2:$A$501,MATCH($C293,links!$D$2:$D$501,0))="","",INDEX(links!$A$2:$A$501,MATCH($C293,links!$D$2:$D$501,0))),""))</f>
        <v>SAMPLE-CMP-006</v>
      </c>
      <c r="H293" s="30" t="str">
        <f aca="false">IF($C293="","",IFERROR(IF(INDEX(links!$B$2:$B$501,MATCH($C293,links!$D$2:$D$501,0))="","",INDEX(links!$B$2:$B$501,MATCH($C293,links!$D$2:$D$501,0))),""))</f>
        <v>SAMPLE-O-007</v>
      </c>
      <c r="I293" s="30" t="str">
        <f aca="false">IF($C293="","",IFERROR(IF(INDEX(links!$C$2:$C$501,MATCH($C293,links!$D$2:$D$501,0))="","",INDEX(links!$C$2:$C$501,MATCH($C293,links!$D$2:$D$501,0))),""))</f>
        <v>qr</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t="n">
        <v>46447</v>
      </c>
      <c r="B294" s="38" t="n">
        <v>0.729166666666667</v>
      </c>
      <c r="C294" s="10" t="s">
        <v>1213</v>
      </c>
      <c r="D294" s="10" t="s">
        <v>1122</v>
      </c>
      <c r="E294" s="0" t="n">
        <v>13</v>
      </c>
      <c r="G294" s="30" t="str">
        <f aca="false">IF($C294="","",IFERROR(IF(INDEX(links!$A$2:$A$501,MATCH($C294,links!$D$2:$D$501,0))="","",INDEX(links!$A$2:$A$501,MATCH($C294,links!$D$2:$D$501,0))),""))</f>
        <v>SAMPLE-CMP-006</v>
      </c>
      <c r="H294" s="30" t="str">
        <f aca="false">IF($C294="","",IFERROR(IF(INDEX(links!$B$2:$B$501,MATCH($C294,links!$D$2:$D$501,0))="","",INDEX(links!$B$2:$B$501,MATCH($C294,links!$D$2:$D$501,0))),""))</f>
        <v>SAMPLE-O-007</v>
      </c>
      <c r="I294" s="30" t="str">
        <f aca="false">IF($C294="","",IFERROR(IF(INDEX(links!$C$2:$C$501,MATCH($C294,links!$D$2:$D$501,0))="","",INDEX(links!$C$2:$C$501,MATCH($C294,links!$D$2:$D$501,0))),""))</f>
        <v>qr</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t="n">
        <v>46440</v>
      </c>
      <c r="B295" s="38" t="n">
        <v>0.729166666666667</v>
      </c>
      <c r="C295" s="10" t="s">
        <v>1214</v>
      </c>
      <c r="D295" s="10" t="s">
        <v>1120</v>
      </c>
      <c r="E295" s="0" t="n">
        <v>1</v>
      </c>
      <c r="G295" s="30" t="str">
        <f aca="false">IF($C295="","",IFERROR(IF(INDEX(links!$A$2:$A$501,MATCH($C295,links!$D$2:$D$501,0))="","",INDEX(links!$A$2:$A$501,MATCH($C295,links!$D$2:$D$501,0))),""))</f>
        <v>SAMPLE-CMP-006</v>
      </c>
      <c r="H295" s="30" t="str">
        <f aca="false">IF($C295="","",IFERROR(IF(INDEX(links!$B$2:$B$501,MATCH($C295,links!$D$2:$D$501,0))="","",INDEX(links!$B$2:$B$501,MATCH($C295,links!$D$2:$D$501,0))),""))</f>
        <v>SAMPLE-O-007</v>
      </c>
      <c r="I295" s="30" t="str">
        <f aca="false">IF($C295="","",IFERROR(IF(INDEX(links!$C$2:$C$501,MATCH($C295,links!$D$2:$D$501,0))="","",INDEX(links!$C$2:$C$501,MATCH($C295,links!$D$2:$D$501,0))),""))</f>
        <v>post</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t="n">
        <v>46443</v>
      </c>
      <c r="B296" s="38" t="n">
        <v>0.729166666666667</v>
      </c>
      <c r="C296" s="10" t="s">
        <v>1214</v>
      </c>
      <c r="D296" s="10" t="s">
        <v>1121</v>
      </c>
      <c r="E296" s="0" t="n">
        <v>3</v>
      </c>
      <c r="G296" s="30" t="str">
        <f aca="false">IF($C296="","",IFERROR(IF(INDEX(links!$A$2:$A$501,MATCH($C296,links!$D$2:$D$501,0))="","",INDEX(links!$A$2:$A$501,MATCH($C296,links!$D$2:$D$501,0))),""))</f>
        <v>SAMPLE-CMP-006</v>
      </c>
      <c r="H296" s="30" t="str">
        <f aca="false">IF($C296="","",IFERROR(IF(INDEX(links!$B$2:$B$501,MATCH($C296,links!$D$2:$D$501,0))="","",INDEX(links!$B$2:$B$501,MATCH($C296,links!$D$2:$D$501,0))),""))</f>
        <v>SAMPLE-O-007</v>
      </c>
      <c r="I296" s="30" t="str">
        <f aca="false">IF($C296="","",IFERROR(IF(INDEX(links!$C$2:$C$501,MATCH($C296,links!$D$2:$D$501,0))="","",INDEX(links!$C$2:$C$501,MATCH($C296,links!$D$2:$D$501,0))),""))</f>
        <v>post</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t="n">
        <v>46447</v>
      </c>
      <c r="B297" s="38" t="n">
        <v>0.729166666666667</v>
      </c>
      <c r="C297" s="10" t="s">
        <v>1214</v>
      </c>
      <c r="D297" s="10" t="s">
        <v>1122</v>
      </c>
      <c r="E297" s="0" t="n">
        <v>6</v>
      </c>
      <c r="G297" s="30" t="str">
        <f aca="false">IF($C297="","",IFERROR(IF(INDEX(links!$A$2:$A$501,MATCH($C297,links!$D$2:$D$501,0))="","",INDEX(links!$A$2:$A$501,MATCH($C297,links!$D$2:$D$501,0))),""))</f>
        <v>SAMPLE-CMP-006</v>
      </c>
      <c r="H297" s="30" t="str">
        <f aca="false">IF($C297="","",IFERROR(IF(INDEX(links!$B$2:$B$501,MATCH($C297,links!$D$2:$D$501,0))="","",INDEX(links!$B$2:$B$501,MATCH($C297,links!$D$2:$D$501,0))),""))</f>
        <v>SAMPLE-O-007</v>
      </c>
      <c r="I297" s="30" t="str">
        <f aca="false">IF($C297="","",IFERROR(IF(INDEX(links!$C$2:$C$501,MATCH($C297,links!$D$2:$D$501,0))="","",INDEX(links!$C$2:$C$501,MATCH($C297,links!$D$2:$D$501,0))),""))</f>
        <v>post</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t="n">
        <v>46440</v>
      </c>
      <c r="B298" s="38" t="n">
        <v>0.729166666666667</v>
      </c>
      <c r="C298" s="10" t="s">
        <v>1215</v>
      </c>
      <c r="D298" s="10" t="s">
        <v>1120</v>
      </c>
      <c r="E298" s="0" t="n">
        <v>1</v>
      </c>
      <c r="G298" s="30" t="str">
        <f aca="false">IF($C298="","",IFERROR(IF(INDEX(links!$A$2:$A$501,MATCH($C298,links!$D$2:$D$501,0))="","",INDEX(links!$A$2:$A$501,MATCH($C298,links!$D$2:$D$501,0))),""))</f>
        <v>SAMPLE-CMP-006</v>
      </c>
      <c r="H298" s="30" t="str">
        <f aca="false">IF($C298="","",IFERROR(IF(INDEX(links!$B$2:$B$501,MATCH($C298,links!$D$2:$D$501,0))="","",INDEX(links!$B$2:$B$501,MATCH($C298,links!$D$2:$D$501,0))),""))</f>
        <v>SAMPLE-O-008</v>
      </c>
      <c r="I298" s="30" t="str">
        <f aca="false">IF($C298="","",IFERROR(IF(INDEX(links!$C$2:$C$501,MATCH($C298,links!$D$2:$D$501,0))="","",INDEX(links!$C$2:$C$501,MATCH($C298,links!$D$2:$D$501,0))),""))</f>
        <v>qr</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t="n">
        <v>46443</v>
      </c>
      <c r="B299" s="38" t="n">
        <v>0.729166666666667</v>
      </c>
      <c r="C299" s="10" t="s">
        <v>1215</v>
      </c>
      <c r="D299" s="10" t="s">
        <v>1121</v>
      </c>
      <c r="E299" s="0" t="n">
        <v>2</v>
      </c>
      <c r="G299" s="30" t="str">
        <f aca="false">IF($C299="","",IFERROR(IF(INDEX(links!$A$2:$A$501,MATCH($C299,links!$D$2:$D$501,0))="","",INDEX(links!$A$2:$A$501,MATCH($C299,links!$D$2:$D$501,0))),""))</f>
        <v>SAMPLE-CMP-006</v>
      </c>
      <c r="H299" s="30" t="str">
        <f aca="false">IF($C299="","",IFERROR(IF(INDEX(links!$B$2:$B$501,MATCH($C299,links!$D$2:$D$501,0))="","",INDEX(links!$B$2:$B$501,MATCH($C299,links!$D$2:$D$501,0))),""))</f>
        <v>SAMPLE-O-008</v>
      </c>
      <c r="I299" s="30" t="str">
        <f aca="false">IF($C299="","",IFERROR(IF(INDEX(links!$C$2:$C$501,MATCH($C299,links!$D$2:$D$501,0))="","",INDEX(links!$C$2:$C$501,MATCH($C299,links!$D$2:$D$501,0))),""))</f>
        <v>qr</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t="n">
        <v>46447</v>
      </c>
      <c r="B300" s="38" t="n">
        <v>0.729166666666667</v>
      </c>
      <c r="C300" s="10" t="s">
        <v>1215</v>
      </c>
      <c r="D300" s="10" t="s">
        <v>1122</v>
      </c>
      <c r="E300" s="0" t="n">
        <v>5</v>
      </c>
      <c r="G300" s="30" t="str">
        <f aca="false">IF($C300="","",IFERROR(IF(INDEX(links!$A$2:$A$501,MATCH($C300,links!$D$2:$D$501,0))="","",INDEX(links!$A$2:$A$501,MATCH($C300,links!$D$2:$D$501,0))),""))</f>
        <v>SAMPLE-CMP-006</v>
      </c>
      <c r="H300" s="30" t="str">
        <f aca="false">IF($C300="","",IFERROR(IF(INDEX(links!$B$2:$B$501,MATCH($C300,links!$D$2:$D$501,0))="","",INDEX(links!$B$2:$B$501,MATCH($C300,links!$D$2:$D$501,0))),""))</f>
        <v>SAMPLE-O-008</v>
      </c>
      <c r="I300" s="30" t="str">
        <f aca="false">IF($C300="","",IFERROR(IF(INDEX(links!$C$2:$C$501,MATCH($C300,links!$D$2:$D$501,0))="","",INDEX(links!$C$2:$C$501,MATCH($C300,links!$D$2:$D$501,0))),""))</f>
        <v>qr</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t="n">
        <v>46440</v>
      </c>
      <c r="B301" s="38" t="n">
        <v>0.729166666666667</v>
      </c>
      <c r="C301" s="10" t="s">
        <v>1216</v>
      </c>
      <c r="D301" s="10" t="s">
        <v>1120</v>
      </c>
      <c r="E301" s="0" t="n">
        <v>1</v>
      </c>
      <c r="G301" s="30" t="str">
        <f aca="false">IF($C301="","",IFERROR(IF(INDEX(links!$A$2:$A$501,MATCH($C301,links!$D$2:$D$501,0))="","",INDEX(links!$A$2:$A$501,MATCH($C301,links!$D$2:$D$501,0))),""))</f>
        <v>SAMPLE-CMP-006</v>
      </c>
      <c r="H301" s="30" t="str">
        <f aca="false">IF($C301="","",IFERROR(IF(INDEX(links!$B$2:$B$501,MATCH($C301,links!$D$2:$D$501,0))="","",INDEX(links!$B$2:$B$501,MATCH($C301,links!$D$2:$D$501,0))),""))</f>
        <v>SAMPLE-O-008</v>
      </c>
      <c r="I301" s="30" t="str">
        <f aca="false">IF($C301="","",IFERROR(IF(INDEX(links!$C$2:$C$501,MATCH($C301,links!$D$2:$D$501,0))="","",INDEX(links!$C$2:$C$501,MATCH($C301,links!$D$2:$D$501,0))),""))</f>
        <v>post</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t="n">
        <v>46443</v>
      </c>
      <c r="B302" s="38" t="n">
        <v>0.729166666666667</v>
      </c>
      <c r="C302" s="10" t="s">
        <v>1216</v>
      </c>
      <c r="D302" s="10" t="s">
        <v>1121</v>
      </c>
      <c r="E302" s="0" t="n">
        <v>4</v>
      </c>
      <c r="G302" s="30" t="str">
        <f aca="false">IF($C302="","",IFERROR(IF(INDEX(links!$A$2:$A$501,MATCH($C302,links!$D$2:$D$501,0))="","",INDEX(links!$A$2:$A$501,MATCH($C302,links!$D$2:$D$501,0))),""))</f>
        <v>SAMPLE-CMP-006</v>
      </c>
      <c r="H302" s="30" t="str">
        <f aca="false">IF($C302="","",IFERROR(IF(INDEX(links!$B$2:$B$501,MATCH($C302,links!$D$2:$D$501,0))="","",INDEX(links!$B$2:$B$501,MATCH($C302,links!$D$2:$D$501,0))),""))</f>
        <v>SAMPLE-O-008</v>
      </c>
      <c r="I302" s="30" t="str">
        <f aca="false">IF($C302="","",IFERROR(IF(INDEX(links!$C$2:$C$501,MATCH($C302,links!$D$2:$D$501,0))="","",INDEX(links!$C$2:$C$501,MATCH($C302,links!$D$2:$D$501,0))),""))</f>
        <v>post</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t="n">
        <v>46447</v>
      </c>
      <c r="B303" s="38" t="n">
        <v>0.729166666666667</v>
      </c>
      <c r="C303" s="10" t="s">
        <v>1216</v>
      </c>
      <c r="D303" s="10" t="s">
        <v>1122</v>
      </c>
      <c r="E303" s="0" t="n">
        <v>8</v>
      </c>
      <c r="G303" s="30" t="str">
        <f aca="false">IF($C303="","",IFERROR(IF(INDEX(links!$A$2:$A$501,MATCH($C303,links!$D$2:$D$501,0))="","",INDEX(links!$A$2:$A$501,MATCH($C303,links!$D$2:$D$501,0))),""))</f>
        <v>SAMPLE-CMP-006</v>
      </c>
      <c r="H303" s="30" t="str">
        <f aca="false">IF($C303="","",IFERROR(IF(INDEX(links!$B$2:$B$501,MATCH($C303,links!$D$2:$D$501,0))="","",INDEX(links!$B$2:$B$501,MATCH($C303,links!$D$2:$D$501,0))),""))</f>
        <v>SAMPLE-O-008</v>
      </c>
      <c r="I303" s="30" t="str">
        <f aca="false">IF($C303="","",IFERROR(IF(INDEX(links!$C$2:$C$501,MATCH($C303,links!$D$2:$D$501,0))="","",INDEX(links!$C$2:$C$501,MATCH($C303,links!$D$2:$D$501,0))),""))</f>
        <v>post</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t="n">
        <v>46440</v>
      </c>
      <c r="B304" s="38" t="n">
        <v>0.729166666666667</v>
      </c>
      <c r="C304" s="10" t="s">
        <v>1217</v>
      </c>
      <c r="D304" s="10" t="s">
        <v>1120</v>
      </c>
      <c r="E304" s="0" t="n">
        <v>1</v>
      </c>
      <c r="G304" s="30" t="str">
        <f aca="false">IF($C304="","",IFERROR(IF(INDEX(links!$A$2:$A$501,MATCH($C304,links!$D$2:$D$501,0))="","",INDEX(links!$A$2:$A$501,MATCH($C304,links!$D$2:$D$501,0))),""))</f>
        <v>SAMPLE-CMP-006</v>
      </c>
      <c r="H304" s="30" t="str">
        <f aca="false">IF($C304="","",IFERROR(IF(INDEX(links!$B$2:$B$501,MATCH($C304,links!$D$2:$D$501,0))="","",INDEX(links!$B$2:$B$501,MATCH($C304,links!$D$2:$D$501,0))),""))</f>
        <v>SAMPLE-O-009</v>
      </c>
      <c r="I304" s="30" t="str">
        <f aca="false">IF($C304="","",IFERROR(IF(INDEX(links!$C$2:$C$501,MATCH($C304,links!$D$2:$D$501,0))="","",INDEX(links!$C$2:$C$501,MATCH($C304,links!$D$2:$D$501,0))),""))</f>
        <v>qr</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t="n">
        <v>46443</v>
      </c>
      <c r="B305" s="38" t="n">
        <v>0.729166666666667</v>
      </c>
      <c r="C305" s="10" t="s">
        <v>1217</v>
      </c>
      <c r="D305" s="10" t="s">
        <v>1121</v>
      </c>
      <c r="E305" s="0" t="n">
        <v>3</v>
      </c>
      <c r="G305" s="30" t="str">
        <f aca="false">IF($C305="","",IFERROR(IF(INDEX(links!$A$2:$A$501,MATCH($C305,links!$D$2:$D$501,0))="","",INDEX(links!$A$2:$A$501,MATCH($C305,links!$D$2:$D$501,0))),""))</f>
        <v>SAMPLE-CMP-006</v>
      </c>
      <c r="H305" s="30" t="str">
        <f aca="false">IF($C305="","",IFERROR(IF(INDEX(links!$B$2:$B$501,MATCH($C305,links!$D$2:$D$501,0))="","",INDEX(links!$B$2:$B$501,MATCH($C305,links!$D$2:$D$501,0))),""))</f>
        <v>SAMPLE-O-009</v>
      </c>
      <c r="I305" s="30" t="str">
        <f aca="false">IF($C305="","",IFERROR(IF(INDEX(links!$C$2:$C$501,MATCH($C305,links!$D$2:$D$501,0))="","",INDEX(links!$C$2:$C$501,MATCH($C305,links!$D$2:$D$501,0))),""))</f>
        <v>qr</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t="n">
        <v>46447</v>
      </c>
      <c r="B306" s="38" t="n">
        <v>0.729166666666667</v>
      </c>
      <c r="C306" s="10" t="s">
        <v>1217</v>
      </c>
      <c r="D306" s="10" t="s">
        <v>1122</v>
      </c>
      <c r="E306" s="0" t="n">
        <v>7</v>
      </c>
      <c r="G306" s="30" t="str">
        <f aca="false">IF($C306="","",IFERROR(IF(INDEX(links!$A$2:$A$501,MATCH($C306,links!$D$2:$D$501,0))="","",INDEX(links!$A$2:$A$501,MATCH($C306,links!$D$2:$D$501,0))),""))</f>
        <v>SAMPLE-CMP-006</v>
      </c>
      <c r="H306" s="30" t="str">
        <f aca="false">IF($C306="","",IFERROR(IF(INDEX(links!$B$2:$B$501,MATCH($C306,links!$D$2:$D$501,0))="","",INDEX(links!$B$2:$B$501,MATCH($C306,links!$D$2:$D$501,0))),""))</f>
        <v>SAMPLE-O-009</v>
      </c>
      <c r="I306" s="30" t="str">
        <f aca="false">IF($C306="","",IFERROR(IF(INDEX(links!$C$2:$C$501,MATCH($C306,links!$D$2:$D$501,0))="","",INDEX(links!$C$2:$C$501,MATCH($C306,links!$D$2:$D$501,0))),""))</f>
        <v>qr</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t="n">
        <v>46440</v>
      </c>
      <c r="B307" s="38" t="n">
        <v>0.729166666666667</v>
      </c>
      <c r="C307" s="10" t="s">
        <v>1218</v>
      </c>
      <c r="D307" s="10" t="s">
        <v>1120</v>
      </c>
      <c r="E307" s="0" t="n">
        <v>1</v>
      </c>
      <c r="G307" s="30" t="str">
        <f aca="false">IF($C307="","",IFERROR(IF(INDEX(links!$A$2:$A$501,MATCH($C307,links!$D$2:$D$501,0))="","",INDEX(links!$A$2:$A$501,MATCH($C307,links!$D$2:$D$501,0))),""))</f>
        <v>SAMPLE-CMP-006</v>
      </c>
      <c r="H307" s="30" t="str">
        <f aca="false">IF($C307="","",IFERROR(IF(INDEX(links!$B$2:$B$501,MATCH($C307,links!$D$2:$D$501,0))="","",INDEX(links!$B$2:$B$501,MATCH($C307,links!$D$2:$D$501,0))),""))</f>
        <v>SAMPLE-O-009</v>
      </c>
      <c r="I307" s="30" t="str">
        <f aca="false">IF($C307="","",IFERROR(IF(INDEX(links!$C$2:$C$501,MATCH($C307,links!$D$2:$D$501,0))="","",INDEX(links!$C$2:$C$501,MATCH($C307,links!$D$2:$D$501,0))),""))</f>
        <v>post</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t="n">
        <v>46443</v>
      </c>
      <c r="B308" s="38" t="n">
        <v>0.729166666666667</v>
      </c>
      <c r="C308" s="10" t="s">
        <v>1218</v>
      </c>
      <c r="D308" s="10" t="s">
        <v>1121</v>
      </c>
      <c r="E308" s="0" t="n">
        <v>5</v>
      </c>
      <c r="G308" s="30" t="str">
        <f aca="false">IF($C308="","",IFERROR(IF(INDEX(links!$A$2:$A$501,MATCH($C308,links!$D$2:$D$501,0))="","",INDEX(links!$A$2:$A$501,MATCH($C308,links!$D$2:$D$501,0))),""))</f>
        <v>SAMPLE-CMP-006</v>
      </c>
      <c r="H308" s="30" t="str">
        <f aca="false">IF($C308="","",IFERROR(IF(INDEX(links!$B$2:$B$501,MATCH($C308,links!$D$2:$D$501,0))="","",INDEX(links!$B$2:$B$501,MATCH($C308,links!$D$2:$D$501,0))),""))</f>
        <v>SAMPLE-O-009</v>
      </c>
      <c r="I308" s="30" t="str">
        <f aca="false">IF($C308="","",IFERROR(IF(INDEX(links!$C$2:$C$501,MATCH($C308,links!$D$2:$D$501,0))="","",INDEX(links!$C$2:$C$501,MATCH($C308,links!$D$2:$D$501,0))),""))</f>
        <v>post</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t="n">
        <v>46447</v>
      </c>
      <c r="B309" s="38" t="n">
        <v>0.729166666666667</v>
      </c>
      <c r="C309" s="10" t="s">
        <v>1218</v>
      </c>
      <c r="D309" s="10" t="s">
        <v>1122</v>
      </c>
      <c r="E309" s="0" t="n">
        <v>10</v>
      </c>
      <c r="G309" s="30" t="str">
        <f aca="false">IF($C309="","",IFERROR(IF(INDEX(links!$A$2:$A$501,MATCH($C309,links!$D$2:$D$501,0))="","",INDEX(links!$A$2:$A$501,MATCH($C309,links!$D$2:$D$501,0))),""))</f>
        <v>SAMPLE-CMP-006</v>
      </c>
      <c r="H309" s="30" t="str">
        <f aca="false">IF($C309="","",IFERROR(IF(INDEX(links!$B$2:$B$501,MATCH($C309,links!$D$2:$D$501,0))="","",INDEX(links!$B$2:$B$501,MATCH($C309,links!$D$2:$D$501,0))),""))</f>
        <v>SAMPLE-O-009</v>
      </c>
      <c r="I309" s="30" t="str">
        <f aca="false">IF($C309="","",IFERROR(IF(INDEX(links!$C$2:$C$501,MATCH($C309,links!$D$2:$D$501,0))="","",INDEX(links!$C$2:$C$501,MATCH($C309,links!$D$2:$D$501,0))),""))</f>
        <v>post</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t="n">
        <v>46440</v>
      </c>
      <c r="B310" s="38" t="n">
        <v>0.729166666666667</v>
      </c>
      <c r="C310" s="10" t="s">
        <v>1219</v>
      </c>
      <c r="D310" s="10" t="s">
        <v>1120</v>
      </c>
      <c r="E310" s="0" t="n">
        <v>1</v>
      </c>
      <c r="G310" s="30" t="str">
        <f aca="false">IF($C310="","",IFERROR(IF(INDEX(links!$A$2:$A$501,MATCH($C310,links!$D$2:$D$501,0))="","",INDEX(links!$A$2:$A$501,MATCH($C310,links!$D$2:$D$501,0))),""))</f>
        <v>SAMPLE-CMP-006</v>
      </c>
      <c r="H310" s="30" t="str">
        <f aca="false">IF($C310="","",IFERROR(IF(INDEX(links!$B$2:$B$501,MATCH($C310,links!$D$2:$D$501,0))="","",INDEX(links!$B$2:$B$501,MATCH($C310,links!$D$2:$D$501,0))),""))</f>
        <v>SAMPLE-O-010</v>
      </c>
      <c r="I310" s="30" t="str">
        <f aca="false">IF($C310="","",IFERROR(IF(INDEX(links!$C$2:$C$501,MATCH($C310,links!$D$2:$D$501,0))="","",INDEX(links!$C$2:$C$501,MATCH($C310,links!$D$2:$D$501,0))),""))</f>
        <v>qr</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t="n">
        <v>46443</v>
      </c>
      <c r="B311" s="38" t="n">
        <v>0.729166666666667</v>
      </c>
      <c r="C311" s="10" t="s">
        <v>1219</v>
      </c>
      <c r="D311" s="10" t="s">
        <v>1121</v>
      </c>
      <c r="E311" s="0" t="n">
        <v>5</v>
      </c>
      <c r="G311" s="30" t="str">
        <f aca="false">IF($C311="","",IFERROR(IF(INDEX(links!$A$2:$A$501,MATCH($C311,links!$D$2:$D$501,0))="","",INDEX(links!$A$2:$A$501,MATCH($C311,links!$D$2:$D$501,0))),""))</f>
        <v>SAMPLE-CMP-006</v>
      </c>
      <c r="H311" s="30" t="str">
        <f aca="false">IF($C311="","",IFERROR(IF(INDEX(links!$B$2:$B$501,MATCH($C311,links!$D$2:$D$501,0))="","",INDEX(links!$B$2:$B$501,MATCH($C311,links!$D$2:$D$501,0))),""))</f>
        <v>SAMPLE-O-010</v>
      </c>
      <c r="I311" s="30" t="str">
        <f aca="false">IF($C311="","",IFERROR(IF(INDEX(links!$C$2:$C$501,MATCH($C311,links!$D$2:$D$501,0))="","",INDEX(links!$C$2:$C$501,MATCH($C311,links!$D$2:$D$501,0))),""))</f>
        <v>qr</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t="n">
        <v>46447</v>
      </c>
      <c r="B312" s="38" t="n">
        <v>0.729166666666667</v>
      </c>
      <c r="C312" s="10" t="s">
        <v>1219</v>
      </c>
      <c r="D312" s="10" t="s">
        <v>1122</v>
      </c>
      <c r="E312" s="0" t="n">
        <v>10</v>
      </c>
      <c r="G312" s="30" t="str">
        <f aca="false">IF($C312="","",IFERROR(IF(INDEX(links!$A$2:$A$501,MATCH($C312,links!$D$2:$D$501,0))="","",INDEX(links!$A$2:$A$501,MATCH($C312,links!$D$2:$D$501,0))),""))</f>
        <v>SAMPLE-CMP-006</v>
      </c>
      <c r="H312" s="30" t="str">
        <f aca="false">IF($C312="","",IFERROR(IF(INDEX(links!$B$2:$B$501,MATCH($C312,links!$D$2:$D$501,0))="","",INDEX(links!$B$2:$B$501,MATCH($C312,links!$D$2:$D$501,0))),""))</f>
        <v>SAMPLE-O-010</v>
      </c>
      <c r="I312" s="30" t="str">
        <f aca="false">IF($C312="","",IFERROR(IF(INDEX(links!$C$2:$C$501,MATCH($C312,links!$D$2:$D$501,0))="","",INDEX(links!$C$2:$C$501,MATCH($C312,links!$D$2:$D$501,0))),""))</f>
        <v>qr</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t="n">
        <v>46440</v>
      </c>
      <c r="B313" s="38" t="n">
        <v>0.729166666666667</v>
      </c>
      <c r="C313" s="10" t="s">
        <v>1220</v>
      </c>
      <c r="D313" s="10" t="s">
        <v>1120</v>
      </c>
      <c r="E313" s="0" t="n">
        <v>1</v>
      </c>
      <c r="G313" s="30" t="str">
        <f aca="false">IF($C313="","",IFERROR(IF(INDEX(links!$A$2:$A$501,MATCH($C313,links!$D$2:$D$501,0))="","",INDEX(links!$A$2:$A$501,MATCH($C313,links!$D$2:$D$501,0))),""))</f>
        <v>SAMPLE-CMP-006</v>
      </c>
      <c r="H313" s="30" t="str">
        <f aca="false">IF($C313="","",IFERROR(IF(INDEX(links!$B$2:$B$501,MATCH($C313,links!$D$2:$D$501,0))="","",INDEX(links!$B$2:$B$501,MATCH($C313,links!$D$2:$D$501,0))),""))</f>
        <v>SAMPLE-O-010</v>
      </c>
      <c r="I313" s="30" t="str">
        <f aca="false">IF($C313="","",IFERROR(IF(INDEX(links!$C$2:$C$501,MATCH($C313,links!$D$2:$D$501,0))="","",INDEX(links!$C$2:$C$501,MATCH($C313,links!$D$2:$D$501,0))),""))</f>
        <v>post</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t="n">
        <v>46443</v>
      </c>
      <c r="B314" s="38" t="n">
        <v>0.729166666666667</v>
      </c>
      <c r="C314" s="10" t="s">
        <v>1220</v>
      </c>
      <c r="D314" s="10" t="s">
        <v>1121</v>
      </c>
      <c r="E314" s="0" t="n">
        <v>6</v>
      </c>
      <c r="G314" s="30" t="str">
        <f aca="false">IF($C314="","",IFERROR(IF(INDEX(links!$A$2:$A$501,MATCH($C314,links!$D$2:$D$501,0))="","",INDEX(links!$A$2:$A$501,MATCH($C314,links!$D$2:$D$501,0))),""))</f>
        <v>SAMPLE-CMP-006</v>
      </c>
      <c r="H314" s="30" t="str">
        <f aca="false">IF($C314="","",IFERROR(IF(INDEX(links!$B$2:$B$501,MATCH($C314,links!$D$2:$D$501,0))="","",INDEX(links!$B$2:$B$501,MATCH($C314,links!$D$2:$D$501,0))),""))</f>
        <v>SAMPLE-O-010</v>
      </c>
      <c r="I314" s="30" t="str">
        <f aca="false">IF($C314="","",IFERROR(IF(INDEX(links!$C$2:$C$501,MATCH($C314,links!$D$2:$D$501,0))="","",INDEX(links!$C$2:$C$501,MATCH($C314,links!$D$2:$D$501,0))),""))</f>
        <v>post</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t="n">
        <v>46447</v>
      </c>
      <c r="B315" s="38" t="n">
        <v>0.729166666666667</v>
      </c>
      <c r="C315" s="10" t="s">
        <v>1220</v>
      </c>
      <c r="D315" s="10" t="s">
        <v>1122</v>
      </c>
      <c r="E315" s="0" t="n">
        <v>13</v>
      </c>
      <c r="G315" s="30" t="str">
        <f aca="false">IF($C315="","",IFERROR(IF(INDEX(links!$A$2:$A$501,MATCH($C315,links!$D$2:$D$501,0))="","",INDEX(links!$A$2:$A$501,MATCH($C315,links!$D$2:$D$501,0))),""))</f>
        <v>SAMPLE-CMP-006</v>
      </c>
      <c r="H315" s="30" t="str">
        <f aca="false">IF($C315="","",IFERROR(IF(INDEX(links!$B$2:$B$501,MATCH($C315,links!$D$2:$D$501,0))="","",INDEX(links!$B$2:$B$501,MATCH($C315,links!$D$2:$D$501,0))),""))</f>
        <v>SAMPLE-O-010</v>
      </c>
      <c r="I315" s="30" t="str">
        <f aca="false">IF($C315="","",IFERROR(IF(INDEX(links!$C$2:$C$501,MATCH($C315,links!$D$2:$D$501,0))="","",INDEX(links!$C$2:$C$501,MATCH($C315,links!$D$2:$D$501,0))),""))</f>
        <v>post</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t="n">
        <v>46468</v>
      </c>
      <c r="B316" s="38" t="n">
        <v>0.729166666666667</v>
      </c>
      <c r="C316" s="10" t="s">
        <v>1221</v>
      </c>
      <c r="D316" s="10" t="s">
        <v>1120</v>
      </c>
      <c r="E316" s="0" t="n">
        <v>1</v>
      </c>
      <c r="G316" s="30" t="str">
        <f aca="false">IF($C316="","",IFERROR(IF(INDEX(links!$A$2:$A$501,MATCH($C316,links!$D$2:$D$501,0))="","",INDEX(links!$A$2:$A$501,MATCH($C316,links!$D$2:$D$501,0))),""))</f>
        <v>SAMPLE-CMP-007</v>
      </c>
      <c r="H316" s="30" t="str">
        <f aca="false">IF($C316="","",IFERROR(IF(INDEX(links!$B$2:$B$501,MATCH($C316,links!$D$2:$D$501,0))="","",INDEX(links!$B$2:$B$501,MATCH($C316,links!$D$2:$D$501,0))),""))</f>
        <v>SAMPLE-O-001</v>
      </c>
      <c r="I316" s="30" t="str">
        <f aca="false">IF($C316="","",IFERROR(IF(INDEX(links!$C$2:$C$501,MATCH($C316,links!$D$2:$D$501,0))="","",INDEX(links!$C$2:$C$501,MATCH($C316,links!$D$2:$D$501,0))),""))</f>
        <v>qr</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t="n">
        <v>46471</v>
      </c>
      <c r="B317" s="38" t="n">
        <v>0.729166666666667</v>
      </c>
      <c r="C317" s="10" t="s">
        <v>1221</v>
      </c>
      <c r="D317" s="10" t="s">
        <v>1121</v>
      </c>
      <c r="E317" s="0" t="n">
        <v>3</v>
      </c>
      <c r="G317" s="30" t="str">
        <f aca="false">IF($C317="","",IFERROR(IF(INDEX(links!$A$2:$A$501,MATCH($C317,links!$D$2:$D$501,0))="","",INDEX(links!$A$2:$A$501,MATCH($C317,links!$D$2:$D$501,0))),""))</f>
        <v>SAMPLE-CMP-007</v>
      </c>
      <c r="H317" s="30" t="str">
        <f aca="false">IF($C317="","",IFERROR(IF(INDEX(links!$B$2:$B$501,MATCH($C317,links!$D$2:$D$501,0))="","",INDEX(links!$B$2:$B$501,MATCH($C317,links!$D$2:$D$501,0))),""))</f>
        <v>SAMPLE-O-001</v>
      </c>
      <c r="I317" s="30" t="str">
        <f aca="false">IF($C317="","",IFERROR(IF(INDEX(links!$C$2:$C$501,MATCH($C317,links!$D$2:$D$501,0))="","",INDEX(links!$C$2:$C$501,MATCH($C317,links!$D$2:$D$501,0))),""))</f>
        <v>qr</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t="n">
        <v>46475</v>
      </c>
      <c r="B318" s="38" t="n">
        <v>0.729166666666667</v>
      </c>
      <c r="C318" s="10" t="s">
        <v>1221</v>
      </c>
      <c r="D318" s="10" t="s">
        <v>1122</v>
      </c>
      <c r="E318" s="0" t="n">
        <v>7</v>
      </c>
      <c r="G318" s="30" t="str">
        <f aca="false">IF($C318="","",IFERROR(IF(INDEX(links!$A$2:$A$501,MATCH($C318,links!$D$2:$D$501,0))="","",INDEX(links!$A$2:$A$501,MATCH($C318,links!$D$2:$D$501,0))),""))</f>
        <v>SAMPLE-CMP-007</v>
      </c>
      <c r="H318" s="30" t="str">
        <f aca="false">IF($C318="","",IFERROR(IF(INDEX(links!$B$2:$B$501,MATCH($C318,links!$D$2:$D$501,0))="","",INDEX(links!$B$2:$B$501,MATCH($C318,links!$D$2:$D$501,0))),""))</f>
        <v>SAMPLE-O-001</v>
      </c>
      <c r="I318" s="30" t="str">
        <f aca="false">IF($C318="","",IFERROR(IF(INDEX(links!$C$2:$C$501,MATCH($C318,links!$D$2:$D$501,0))="","",INDEX(links!$C$2:$C$501,MATCH($C318,links!$D$2:$D$501,0))),""))</f>
        <v>qr</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t="n">
        <v>46468</v>
      </c>
      <c r="B319" s="38" t="n">
        <v>0.729166666666667</v>
      </c>
      <c r="C319" s="10" t="s">
        <v>1222</v>
      </c>
      <c r="D319" s="10" t="s">
        <v>1120</v>
      </c>
      <c r="E319" s="0" t="n">
        <v>1</v>
      </c>
      <c r="G319" s="30" t="str">
        <f aca="false">IF($C319="","",IFERROR(IF(INDEX(links!$A$2:$A$501,MATCH($C319,links!$D$2:$D$501,0))="","",INDEX(links!$A$2:$A$501,MATCH($C319,links!$D$2:$D$501,0))),""))</f>
        <v>SAMPLE-CMP-007</v>
      </c>
      <c r="H319" s="30" t="str">
        <f aca="false">IF($C319="","",IFERROR(IF(INDEX(links!$B$2:$B$501,MATCH($C319,links!$D$2:$D$501,0))="","",INDEX(links!$B$2:$B$501,MATCH($C319,links!$D$2:$D$501,0))),""))</f>
        <v>SAMPLE-O-001</v>
      </c>
      <c r="I319" s="30" t="str">
        <f aca="false">IF($C319="","",IFERROR(IF(INDEX(links!$C$2:$C$501,MATCH($C319,links!$D$2:$D$501,0))="","",INDEX(links!$C$2:$C$501,MATCH($C319,links!$D$2:$D$501,0))),""))</f>
        <v>post</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t="n">
        <v>46471</v>
      </c>
      <c r="B320" s="38" t="n">
        <v>0.729166666666667</v>
      </c>
      <c r="C320" s="10" t="s">
        <v>1222</v>
      </c>
      <c r="D320" s="10" t="s">
        <v>1121</v>
      </c>
      <c r="E320" s="0" t="n">
        <v>5</v>
      </c>
      <c r="G320" s="30" t="str">
        <f aca="false">IF($C320="","",IFERROR(IF(INDEX(links!$A$2:$A$501,MATCH($C320,links!$D$2:$D$501,0))="","",INDEX(links!$A$2:$A$501,MATCH($C320,links!$D$2:$D$501,0))),""))</f>
        <v>SAMPLE-CMP-007</v>
      </c>
      <c r="H320" s="30" t="str">
        <f aca="false">IF($C320="","",IFERROR(IF(INDEX(links!$B$2:$B$501,MATCH($C320,links!$D$2:$D$501,0))="","",INDEX(links!$B$2:$B$501,MATCH($C320,links!$D$2:$D$501,0))),""))</f>
        <v>SAMPLE-O-001</v>
      </c>
      <c r="I320" s="30" t="str">
        <f aca="false">IF($C320="","",IFERROR(IF(INDEX(links!$C$2:$C$501,MATCH($C320,links!$D$2:$D$501,0))="","",INDEX(links!$C$2:$C$501,MATCH($C320,links!$D$2:$D$501,0))),""))</f>
        <v>post</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t="n">
        <v>46475</v>
      </c>
      <c r="B321" s="38" t="n">
        <v>0.729166666666667</v>
      </c>
      <c r="C321" s="10" t="s">
        <v>1222</v>
      </c>
      <c r="D321" s="10" t="s">
        <v>1122</v>
      </c>
      <c r="E321" s="0" t="n">
        <v>10</v>
      </c>
      <c r="G321" s="30" t="str">
        <f aca="false">IF($C321="","",IFERROR(IF(INDEX(links!$A$2:$A$501,MATCH($C321,links!$D$2:$D$501,0))="","",INDEX(links!$A$2:$A$501,MATCH($C321,links!$D$2:$D$501,0))),""))</f>
        <v>SAMPLE-CMP-007</v>
      </c>
      <c r="H321" s="30" t="str">
        <f aca="false">IF($C321="","",IFERROR(IF(INDEX(links!$B$2:$B$501,MATCH($C321,links!$D$2:$D$501,0))="","",INDEX(links!$B$2:$B$501,MATCH($C321,links!$D$2:$D$501,0))),""))</f>
        <v>SAMPLE-O-001</v>
      </c>
      <c r="I321" s="30" t="str">
        <f aca="false">IF($C321="","",IFERROR(IF(INDEX(links!$C$2:$C$501,MATCH($C321,links!$D$2:$D$501,0))="","",INDEX(links!$C$2:$C$501,MATCH($C321,links!$D$2:$D$501,0))),""))</f>
        <v>post</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t="n">
        <v>46468</v>
      </c>
      <c r="B322" s="38" t="n">
        <v>0.729166666666667</v>
      </c>
      <c r="C322" s="10" t="s">
        <v>1223</v>
      </c>
      <c r="D322" s="10" t="s">
        <v>1120</v>
      </c>
      <c r="E322" s="0" t="n">
        <v>1</v>
      </c>
      <c r="G322" s="30" t="str">
        <f aca="false">IF($C322="","",IFERROR(IF(INDEX(links!$A$2:$A$501,MATCH($C322,links!$D$2:$D$501,0))="","",INDEX(links!$A$2:$A$501,MATCH($C322,links!$D$2:$D$501,0))),""))</f>
        <v>SAMPLE-CMP-007</v>
      </c>
      <c r="H322" s="30" t="str">
        <f aca="false">IF($C322="","",IFERROR(IF(INDEX(links!$B$2:$B$501,MATCH($C322,links!$D$2:$D$501,0))="","",INDEX(links!$B$2:$B$501,MATCH($C322,links!$D$2:$D$501,0))),""))</f>
        <v>SAMPLE-O-002</v>
      </c>
      <c r="I322" s="30" t="str">
        <f aca="false">IF($C322="","",IFERROR(IF(INDEX(links!$C$2:$C$501,MATCH($C322,links!$D$2:$D$501,0))="","",INDEX(links!$C$2:$C$501,MATCH($C322,links!$D$2:$D$501,0))),""))</f>
        <v>qr</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t="n">
        <v>46471</v>
      </c>
      <c r="B323" s="38" t="n">
        <v>0.729166666666667</v>
      </c>
      <c r="C323" s="10" t="s">
        <v>1223</v>
      </c>
      <c r="D323" s="10" t="s">
        <v>1121</v>
      </c>
      <c r="E323" s="0" t="n">
        <v>4</v>
      </c>
      <c r="G323" s="30" t="str">
        <f aca="false">IF($C323="","",IFERROR(IF(INDEX(links!$A$2:$A$501,MATCH($C323,links!$D$2:$D$501,0))="","",INDEX(links!$A$2:$A$501,MATCH($C323,links!$D$2:$D$501,0))),""))</f>
        <v>SAMPLE-CMP-007</v>
      </c>
      <c r="H323" s="30" t="str">
        <f aca="false">IF($C323="","",IFERROR(IF(INDEX(links!$B$2:$B$501,MATCH($C323,links!$D$2:$D$501,0))="","",INDEX(links!$B$2:$B$501,MATCH($C323,links!$D$2:$D$501,0))),""))</f>
        <v>SAMPLE-O-002</v>
      </c>
      <c r="I323" s="30" t="str">
        <f aca="false">IF($C323="","",IFERROR(IF(INDEX(links!$C$2:$C$501,MATCH($C323,links!$D$2:$D$501,0))="","",INDEX(links!$C$2:$C$501,MATCH($C323,links!$D$2:$D$501,0))),""))</f>
        <v>qr</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t="n">
        <v>46475</v>
      </c>
      <c r="B324" s="38" t="n">
        <v>0.729166666666667</v>
      </c>
      <c r="C324" s="10" t="s">
        <v>1223</v>
      </c>
      <c r="D324" s="10" t="s">
        <v>1122</v>
      </c>
      <c r="E324" s="0" t="n">
        <v>9</v>
      </c>
      <c r="G324" s="30" t="str">
        <f aca="false">IF($C324="","",IFERROR(IF(INDEX(links!$A$2:$A$501,MATCH($C324,links!$D$2:$D$501,0))="","",INDEX(links!$A$2:$A$501,MATCH($C324,links!$D$2:$D$501,0))),""))</f>
        <v>SAMPLE-CMP-007</v>
      </c>
      <c r="H324" s="30" t="str">
        <f aca="false">IF($C324="","",IFERROR(IF(INDEX(links!$B$2:$B$501,MATCH($C324,links!$D$2:$D$501,0))="","",INDEX(links!$B$2:$B$501,MATCH($C324,links!$D$2:$D$501,0))),""))</f>
        <v>SAMPLE-O-002</v>
      </c>
      <c r="I324" s="30" t="str">
        <f aca="false">IF($C324="","",IFERROR(IF(INDEX(links!$C$2:$C$501,MATCH($C324,links!$D$2:$D$501,0))="","",INDEX(links!$C$2:$C$501,MATCH($C324,links!$D$2:$D$501,0))),""))</f>
        <v>qr</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t="n">
        <v>46468</v>
      </c>
      <c r="B325" s="38" t="n">
        <v>0.729166666666667</v>
      </c>
      <c r="C325" s="10" t="s">
        <v>1224</v>
      </c>
      <c r="D325" s="10" t="s">
        <v>1120</v>
      </c>
      <c r="E325" s="0" t="n">
        <v>1</v>
      </c>
      <c r="G325" s="30" t="str">
        <f aca="false">IF($C325="","",IFERROR(IF(INDEX(links!$A$2:$A$501,MATCH($C325,links!$D$2:$D$501,0))="","",INDEX(links!$A$2:$A$501,MATCH($C325,links!$D$2:$D$501,0))),""))</f>
        <v>SAMPLE-CMP-007</v>
      </c>
      <c r="H325" s="30" t="str">
        <f aca="false">IF($C325="","",IFERROR(IF(INDEX(links!$B$2:$B$501,MATCH($C325,links!$D$2:$D$501,0))="","",INDEX(links!$B$2:$B$501,MATCH($C325,links!$D$2:$D$501,0))),""))</f>
        <v>SAMPLE-O-002</v>
      </c>
      <c r="I325" s="30" t="str">
        <f aca="false">IF($C325="","",IFERROR(IF(INDEX(links!$C$2:$C$501,MATCH($C325,links!$D$2:$D$501,0))="","",INDEX(links!$C$2:$C$501,MATCH($C325,links!$D$2:$D$501,0))),""))</f>
        <v>post</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t="n">
        <v>46471</v>
      </c>
      <c r="B326" s="38" t="n">
        <v>0.729166666666667</v>
      </c>
      <c r="C326" s="10" t="s">
        <v>1224</v>
      </c>
      <c r="D326" s="10" t="s">
        <v>1121</v>
      </c>
      <c r="E326" s="0" t="n">
        <v>6</v>
      </c>
      <c r="G326" s="30" t="str">
        <f aca="false">IF($C326="","",IFERROR(IF(INDEX(links!$A$2:$A$501,MATCH($C326,links!$D$2:$D$501,0))="","",INDEX(links!$A$2:$A$501,MATCH($C326,links!$D$2:$D$501,0))),""))</f>
        <v>SAMPLE-CMP-007</v>
      </c>
      <c r="H326" s="30" t="str">
        <f aca="false">IF($C326="","",IFERROR(IF(INDEX(links!$B$2:$B$501,MATCH($C326,links!$D$2:$D$501,0))="","",INDEX(links!$B$2:$B$501,MATCH($C326,links!$D$2:$D$501,0))),""))</f>
        <v>SAMPLE-O-002</v>
      </c>
      <c r="I326" s="30" t="str">
        <f aca="false">IF($C326="","",IFERROR(IF(INDEX(links!$C$2:$C$501,MATCH($C326,links!$D$2:$D$501,0))="","",INDEX(links!$C$2:$C$501,MATCH($C326,links!$D$2:$D$501,0))),""))</f>
        <v>post</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t="n">
        <v>46475</v>
      </c>
      <c r="B327" s="38" t="n">
        <v>0.729166666666667</v>
      </c>
      <c r="C327" s="10" t="s">
        <v>1224</v>
      </c>
      <c r="D327" s="10" t="s">
        <v>1122</v>
      </c>
      <c r="E327" s="0" t="n">
        <v>12</v>
      </c>
      <c r="G327" s="30" t="str">
        <f aca="false">IF($C327="","",IFERROR(IF(INDEX(links!$A$2:$A$501,MATCH($C327,links!$D$2:$D$501,0))="","",INDEX(links!$A$2:$A$501,MATCH($C327,links!$D$2:$D$501,0))),""))</f>
        <v>SAMPLE-CMP-007</v>
      </c>
      <c r="H327" s="30" t="str">
        <f aca="false">IF($C327="","",IFERROR(IF(INDEX(links!$B$2:$B$501,MATCH($C327,links!$D$2:$D$501,0))="","",INDEX(links!$B$2:$B$501,MATCH($C327,links!$D$2:$D$501,0))),""))</f>
        <v>SAMPLE-O-002</v>
      </c>
      <c r="I327" s="30" t="str">
        <f aca="false">IF($C327="","",IFERROR(IF(INDEX(links!$C$2:$C$501,MATCH($C327,links!$D$2:$D$501,0))="","",INDEX(links!$C$2:$C$501,MATCH($C327,links!$D$2:$D$501,0))),""))</f>
        <v>post</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t="n">
        <v>46468</v>
      </c>
      <c r="B328" s="38" t="n">
        <v>0.729166666666667</v>
      </c>
      <c r="C328" s="10" t="s">
        <v>1225</v>
      </c>
      <c r="D328" s="10" t="s">
        <v>1120</v>
      </c>
      <c r="E328" s="0" t="n">
        <v>1</v>
      </c>
      <c r="G328" s="30" t="str">
        <f aca="false">IF($C328="","",IFERROR(IF(INDEX(links!$A$2:$A$501,MATCH($C328,links!$D$2:$D$501,0))="","",INDEX(links!$A$2:$A$501,MATCH($C328,links!$D$2:$D$501,0))),""))</f>
        <v>SAMPLE-CMP-007</v>
      </c>
      <c r="H328" s="30" t="str">
        <f aca="false">IF($C328="","",IFERROR(IF(INDEX(links!$B$2:$B$501,MATCH($C328,links!$D$2:$D$501,0))="","",INDEX(links!$B$2:$B$501,MATCH($C328,links!$D$2:$D$501,0))),""))</f>
        <v>SAMPLE-O-003</v>
      </c>
      <c r="I328" s="30" t="str">
        <f aca="false">IF($C328="","",IFERROR(IF(INDEX(links!$C$2:$C$501,MATCH($C328,links!$D$2:$D$501,0))="","",INDEX(links!$C$2:$C$501,MATCH($C328,links!$D$2:$D$501,0))),""))</f>
        <v>qr</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t="n">
        <v>46471</v>
      </c>
      <c r="B329" s="38" t="n">
        <v>0.729166666666667</v>
      </c>
      <c r="C329" s="10" t="s">
        <v>1225</v>
      </c>
      <c r="D329" s="10" t="s">
        <v>1121</v>
      </c>
      <c r="E329" s="0" t="n">
        <v>5</v>
      </c>
      <c r="G329" s="30" t="str">
        <f aca="false">IF($C329="","",IFERROR(IF(INDEX(links!$A$2:$A$501,MATCH($C329,links!$D$2:$D$501,0))="","",INDEX(links!$A$2:$A$501,MATCH($C329,links!$D$2:$D$501,0))),""))</f>
        <v>SAMPLE-CMP-007</v>
      </c>
      <c r="H329" s="30" t="str">
        <f aca="false">IF($C329="","",IFERROR(IF(INDEX(links!$B$2:$B$501,MATCH($C329,links!$D$2:$D$501,0))="","",INDEX(links!$B$2:$B$501,MATCH($C329,links!$D$2:$D$501,0))),""))</f>
        <v>SAMPLE-O-003</v>
      </c>
      <c r="I329" s="30" t="str">
        <f aca="false">IF($C329="","",IFERROR(IF(INDEX(links!$C$2:$C$501,MATCH($C329,links!$D$2:$D$501,0))="","",INDEX(links!$C$2:$C$501,MATCH($C329,links!$D$2:$D$501,0))),""))</f>
        <v>qr</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t="n">
        <v>46475</v>
      </c>
      <c r="B330" s="38" t="n">
        <v>0.729166666666667</v>
      </c>
      <c r="C330" s="10" t="s">
        <v>1225</v>
      </c>
      <c r="D330" s="10" t="s">
        <v>1122</v>
      </c>
      <c r="E330" s="0" t="n">
        <v>11</v>
      </c>
      <c r="G330" s="30" t="str">
        <f aca="false">IF($C330="","",IFERROR(IF(INDEX(links!$A$2:$A$501,MATCH($C330,links!$D$2:$D$501,0))="","",INDEX(links!$A$2:$A$501,MATCH($C330,links!$D$2:$D$501,0))),""))</f>
        <v>SAMPLE-CMP-007</v>
      </c>
      <c r="H330" s="30" t="str">
        <f aca="false">IF($C330="","",IFERROR(IF(INDEX(links!$B$2:$B$501,MATCH($C330,links!$D$2:$D$501,0))="","",INDEX(links!$B$2:$B$501,MATCH($C330,links!$D$2:$D$501,0))),""))</f>
        <v>SAMPLE-O-003</v>
      </c>
      <c r="I330" s="30" t="str">
        <f aca="false">IF($C330="","",IFERROR(IF(INDEX(links!$C$2:$C$501,MATCH($C330,links!$D$2:$D$501,0))="","",INDEX(links!$C$2:$C$501,MATCH($C330,links!$D$2:$D$501,0))),""))</f>
        <v>qr</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t="n">
        <v>46468</v>
      </c>
      <c r="B331" s="38" t="n">
        <v>0.729166666666667</v>
      </c>
      <c r="C331" s="10" t="s">
        <v>1226</v>
      </c>
      <c r="D331" s="10" t="s">
        <v>1120</v>
      </c>
      <c r="E331" s="0" t="n">
        <v>1</v>
      </c>
      <c r="G331" s="30" t="str">
        <f aca="false">IF($C331="","",IFERROR(IF(INDEX(links!$A$2:$A$501,MATCH($C331,links!$D$2:$D$501,0))="","",INDEX(links!$A$2:$A$501,MATCH($C331,links!$D$2:$D$501,0))),""))</f>
        <v>SAMPLE-CMP-007</v>
      </c>
      <c r="H331" s="30" t="str">
        <f aca="false">IF($C331="","",IFERROR(IF(INDEX(links!$B$2:$B$501,MATCH($C331,links!$D$2:$D$501,0))="","",INDEX(links!$B$2:$B$501,MATCH($C331,links!$D$2:$D$501,0))),""))</f>
        <v>SAMPLE-O-003</v>
      </c>
      <c r="I331" s="30" t="str">
        <f aca="false">IF($C331="","",IFERROR(IF(INDEX(links!$C$2:$C$501,MATCH($C331,links!$D$2:$D$501,0))="","",INDEX(links!$C$2:$C$501,MATCH($C331,links!$D$2:$D$501,0))),""))</f>
        <v>post</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t="n">
        <v>46471</v>
      </c>
      <c r="B332" s="38" t="n">
        <v>0.729166666666667</v>
      </c>
      <c r="C332" s="10" t="s">
        <v>1226</v>
      </c>
      <c r="D332" s="10" t="s">
        <v>1121</v>
      </c>
      <c r="E332" s="0" t="n">
        <v>2</v>
      </c>
      <c r="G332" s="30" t="str">
        <f aca="false">IF($C332="","",IFERROR(IF(INDEX(links!$A$2:$A$501,MATCH($C332,links!$D$2:$D$501,0))="","",INDEX(links!$A$2:$A$501,MATCH($C332,links!$D$2:$D$501,0))),""))</f>
        <v>SAMPLE-CMP-007</v>
      </c>
      <c r="H332" s="30" t="str">
        <f aca="false">IF($C332="","",IFERROR(IF(INDEX(links!$B$2:$B$501,MATCH($C332,links!$D$2:$D$501,0))="","",INDEX(links!$B$2:$B$501,MATCH($C332,links!$D$2:$D$501,0))),""))</f>
        <v>SAMPLE-O-003</v>
      </c>
      <c r="I332" s="30" t="str">
        <f aca="false">IF($C332="","",IFERROR(IF(INDEX(links!$C$2:$C$501,MATCH($C332,links!$D$2:$D$501,0))="","",INDEX(links!$C$2:$C$501,MATCH($C332,links!$D$2:$D$501,0))),""))</f>
        <v>post</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t="n">
        <v>46475</v>
      </c>
      <c r="B333" s="38" t="n">
        <v>0.729166666666667</v>
      </c>
      <c r="C333" s="10" t="s">
        <v>1226</v>
      </c>
      <c r="D333" s="10" t="s">
        <v>1122</v>
      </c>
      <c r="E333" s="0" t="n">
        <v>4</v>
      </c>
      <c r="G333" s="30" t="str">
        <f aca="false">IF($C333="","",IFERROR(IF(INDEX(links!$A$2:$A$501,MATCH($C333,links!$D$2:$D$501,0))="","",INDEX(links!$A$2:$A$501,MATCH($C333,links!$D$2:$D$501,0))),""))</f>
        <v>SAMPLE-CMP-007</v>
      </c>
      <c r="H333" s="30" t="str">
        <f aca="false">IF($C333="","",IFERROR(IF(INDEX(links!$B$2:$B$501,MATCH($C333,links!$D$2:$D$501,0))="","",INDEX(links!$B$2:$B$501,MATCH($C333,links!$D$2:$D$501,0))),""))</f>
        <v>SAMPLE-O-003</v>
      </c>
      <c r="I333" s="30" t="str">
        <f aca="false">IF($C333="","",IFERROR(IF(INDEX(links!$C$2:$C$501,MATCH($C333,links!$D$2:$D$501,0))="","",INDEX(links!$C$2:$C$501,MATCH($C333,links!$D$2:$D$501,0))),""))</f>
        <v>post</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t="n">
        <v>46468</v>
      </c>
      <c r="B334" s="38" t="n">
        <v>0.729166666666667</v>
      </c>
      <c r="C334" s="10" t="s">
        <v>1227</v>
      </c>
      <c r="D334" s="10" t="s">
        <v>1120</v>
      </c>
      <c r="E334" s="0" t="n">
        <v>1</v>
      </c>
      <c r="G334" s="30" t="str">
        <f aca="false">IF($C334="","",IFERROR(IF(INDEX(links!$A$2:$A$501,MATCH($C334,links!$D$2:$D$501,0))="","",INDEX(links!$A$2:$A$501,MATCH($C334,links!$D$2:$D$501,0))),""))</f>
        <v>SAMPLE-CMP-007</v>
      </c>
      <c r="H334" s="30" t="str">
        <f aca="false">IF($C334="","",IFERROR(IF(INDEX(links!$B$2:$B$501,MATCH($C334,links!$D$2:$D$501,0))="","",INDEX(links!$B$2:$B$501,MATCH($C334,links!$D$2:$D$501,0))),""))</f>
        <v>SAMPLE-O-004</v>
      </c>
      <c r="I334" s="30" t="str">
        <f aca="false">IF($C334="","",IFERROR(IF(INDEX(links!$C$2:$C$501,MATCH($C334,links!$D$2:$D$501,0))="","",INDEX(links!$C$2:$C$501,MATCH($C334,links!$D$2:$D$501,0))),""))</f>
        <v>qr</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t="n">
        <v>46471</v>
      </c>
      <c r="B335" s="38" t="n">
        <v>0.729166666666667</v>
      </c>
      <c r="C335" s="10" t="s">
        <v>1227</v>
      </c>
      <c r="D335" s="10" t="s">
        <v>1121</v>
      </c>
      <c r="E335" s="0" t="n">
        <v>6</v>
      </c>
      <c r="G335" s="30" t="str">
        <f aca="false">IF($C335="","",IFERROR(IF(INDEX(links!$A$2:$A$501,MATCH($C335,links!$D$2:$D$501,0))="","",INDEX(links!$A$2:$A$501,MATCH($C335,links!$D$2:$D$501,0))),""))</f>
        <v>SAMPLE-CMP-007</v>
      </c>
      <c r="H335" s="30" t="str">
        <f aca="false">IF($C335="","",IFERROR(IF(INDEX(links!$B$2:$B$501,MATCH($C335,links!$D$2:$D$501,0))="","",INDEX(links!$B$2:$B$501,MATCH($C335,links!$D$2:$D$501,0))),""))</f>
        <v>SAMPLE-O-004</v>
      </c>
      <c r="I335" s="30" t="str">
        <f aca="false">IF($C335="","",IFERROR(IF(INDEX(links!$C$2:$C$501,MATCH($C335,links!$D$2:$D$501,0))="","",INDEX(links!$C$2:$C$501,MATCH($C335,links!$D$2:$D$501,0))),""))</f>
        <v>qr</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t="n">
        <v>46475</v>
      </c>
      <c r="B336" s="38" t="n">
        <v>0.729166666666667</v>
      </c>
      <c r="C336" s="10" t="s">
        <v>1227</v>
      </c>
      <c r="D336" s="10" t="s">
        <v>1122</v>
      </c>
      <c r="E336" s="0" t="n">
        <v>13</v>
      </c>
      <c r="G336" s="30" t="str">
        <f aca="false">IF($C336="","",IFERROR(IF(INDEX(links!$A$2:$A$501,MATCH($C336,links!$D$2:$D$501,0))="","",INDEX(links!$A$2:$A$501,MATCH($C336,links!$D$2:$D$501,0))),""))</f>
        <v>SAMPLE-CMP-007</v>
      </c>
      <c r="H336" s="30" t="str">
        <f aca="false">IF($C336="","",IFERROR(IF(INDEX(links!$B$2:$B$501,MATCH($C336,links!$D$2:$D$501,0))="","",INDEX(links!$B$2:$B$501,MATCH($C336,links!$D$2:$D$501,0))),""))</f>
        <v>SAMPLE-O-004</v>
      </c>
      <c r="I336" s="30" t="str">
        <f aca="false">IF($C336="","",IFERROR(IF(INDEX(links!$C$2:$C$501,MATCH($C336,links!$D$2:$D$501,0))="","",INDEX(links!$C$2:$C$501,MATCH($C336,links!$D$2:$D$501,0))),""))</f>
        <v>qr</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t="n">
        <v>46468</v>
      </c>
      <c r="B337" s="38" t="n">
        <v>0.729166666666667</v>
      </c>
      <c r="C337" s="10" t="s">
        <v>1228</v>
      </c>
      <c r="D337" s="10" t="s">
        <v>1120</v>
      </c>
      <c r="E337" s="0" t="n">
        <v>1</v>
      </c>
      <c r="G337" s="30" t="str">
        <f aca="false">IF($C337="","",IFERROR(IF(INDEX(links!$A$2:$A$501,MATCH($C337,links!$D$2:$D$501,0))="","",INDEX(links!$A$2:$A$501,MATCH($C337,links!$D$2:$D$501,0))),""))</f>
        <v>SAMPLE-CMP-007</v>
      </c>
      <c r="H337" s="30" t="str">
        <f aca="false">IF($C337="","",IFERROR(IF(INDEX(links!$B$2:$B$501,MATCH($C337,links!$D$2:$D$501,0))="","",INDEX(links!$B$2:$B$501,MATCH($C337,links!$D$2:$D$501,0))),""))</f>
        <v>SAMPLE-O-004</v>
      </c>
      <c r="I337" s="30" t="str">
        <f aca="false">IF($C337="","",IFERROR(IF(INDEX(links!$C$2:$C$501,MATCH($C337,links!$D$2:$D$501,0))="","",INDEX(links!$C$2:$C$501,MATCH($C337,links!$D$2:$D$501,0))),""))</f>
        <v>post</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t="n">
        <v>46471</v>
      </c>
      <c r="B338" s="38" t="n">
        <v>0.729166666666667</v>
      </c>
      <c r="C338" s="10" t="s">
        <v>1228</v>
      </c>
      <c r="D338" s="10" t="s">
        <v>1121</v>
      </c>
      <c r="E338" s="0" t="n">
        <v>3</v>
      </c>
      <c r="G338" s="30" t="str">
        <f aca="false">IF($C338="","",IFERROR(IF(INDEX(links!$A$2:$A$501,MATCH($C338,links!$D$2:$D$501,0))="","",INDEX(links!$A$2:$A$501,MATCH($C338,links!$D$2:$D$501,0))),""))</f>
        <v>SAMPLE-CMP-007</v>
      </c>
      <c r="H338" s="30" t="str">
        <f aca="false">IF($C338="","",IFERROR(IF(INDEX(links!$B$2:$B$501,MATCH($C338,links!$D$2:$D$501,0))="","",INDEX(links!$B$2:$B$501,MATCH($C338,links!$D$2:$D$501,0))),""))</f>
        <v>SAMPLE-O-004</v>
      </c>
      <c r="I338" s="30" t="str">
        <f aca="false">IF($C338="","",IFERROR(IF(INDEX(links!$C$2:$C$501,MATCH($C338,links!$D$2:$D$501,0))="","",INDEX(links!$C$2:$C$501,MATCH($C338,links!$D$2:$D$501,0))),""))</f>
        <v>post</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t="n">
        <v>46475</v>
      </c>
      <c r="B339" s="38" t="n">
        <v>0.729166666666667</v>
      </c>
      <c r="C339" s="10" t="s">
        <v>1228</v>
      </c>
      <c r="D339" s="10" t="s">
        <v>1122</v>
      </c>
      <c r="E339" s="0" t="n">
        <v>6</v>
      </c>
      <c r="G339" s="30" t="str">
        <f aca="false">IF($C339="","",IFERROR(IF(INDEX(links!$A$2:$A$501,MATCH($C339,links!$D$2:$D$501,0))="","",INDEX(links!$A$2:$A$501,MATCH($C339,links!$D$2:$D$501,0))),""))</f>
        <v>SAMPLE-CMP-007</v>
      </c>
      <c r="H339" s="30" t="str">
        <f aca="false">IF($C339="","",IFERROR(IF(INDEX(links!$B$2:$B$501,MATCH($C339,links!$D$2:$D$501,0))="","",INDEX(links!$B$2:$B$501,MATCH($C339,links!$D$2:$D$501,0))),""))</f>
        <v>SAMPLE-O-004</v>
      </c>
      <c r="I339" s="30" t="str">
        <f aca="false">IF($C339="","",IFERROR(IF(INDEX(links!$C$2:$C$501,MATCH($C339,links!$D$2:$D$501,0))="","",INDEX(links!$C$2:$C$501,MATCH($C339,links!$D$2:$D$501,0))),""))</f>
        <v>post</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t="n">
        <v>46468</v>
      </c>
      <c r="B340" s="38" t="n">
        <v>0.729166666666667</v>
      </c>
      <c r="C340" s="10" t="s">
        <v>1229</v>
      </c>
      <c r="D340" s="10" t="s">
        <v>1120</v>
      </c>
      <c r="E340" s="0" t="n">
        <v>1</v>
      </c>
      <c r="G340" s="30" t="str">
        <f aca="false">IF($C340="","",IFERROR(IF(INDEX(links!$A$2:$A$501,MATCH($C340,links!$D$2:$D$501,0))="","",INDEX(links!$A$2:$A$501,MATCH($C340,links!$D$2:$D$501,0))),""))</f>
        <v>SAMPLE-CMP-007</v>
      </c>
      <c r="H340" s="30" t="str">
        <f aca="false">IF($C340="","",IFERROR(IF(INDEX(links!$B$2:$B$501,MATCH($C340,links!$D$2:$D$501,0))="","",INDEX(links!$B$2:$B$501,MATCH($C340,links!$D$2:$D$501,0))),""))</f>
        <v>SAMPLE-O-005</v>
      </c>
      <c r="I340" s="30" t="str">
        <f aca="false">IF($C340="","",IFERROR(IF(INDEX(links!$C$2:$C$501,MATCH($C340,links!$D$2:$D$501,0))="","",INDEX(links!$C$2:$C$501,MATCH($C340,links!$D$2:$D$501,0))),""))</f>
        <v>qr</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t="n">
        <v>46471</v>
      </c>
      <c r="B341" s="38" t="n">
        <v>0.729166666666667</v>
      </c>
      <c r="C341" s="10" t="s">
        <v>1229</v>
      </c>
      <c r="D341" s="10" t="s">
        <v>1121</v>
      </c>
      <c r="E341" s="0" t="n">
        <v>2</v>
      </c>
      <c r="G341" s="30" t="str">
        <f aca="false">IF($C341="","",IFERROR(IF(INDEX(links!$A$2:$A$501,MATCH($C341,links!$D$2:$D$501,0))="","",INDEX(links!$A$2:$A$501,MATCH($C341,links!$D$2:$D$501,0))),""))</f>
        <v>SAMPLE-CMP-007</v>
      </c>
      <c r="H341" s="30" t="str">
        <f aca="false">IF($C341="","",IFERROR(IF(INDEX(links!$B$2:$B$501,MATCH($C341,links!$D$2:$D$501,0))="","",INDEX(links!$B$2:$B$501,MATCH($C341,links!$D$2:$D$501,0))),""))</f>
        <v>SAMPLE-O-005</v>
      </c>
      <c r="I341" s="30" t="str">
        <f aca="false">IF($C341="","",IFERROR(IF(INDEX(links!$C$2:$C$501,MATCH($C341,links!$D$2:$D$501,0))="","",INDEX(links!$C$2:$C$501,MATCH($C341,links!$D$2:$D$501,0))),""))</f>
        <v>qr</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t="n">
        <v>46475</v>
      </c>
      <c r="B342" s="38" t="n">
        <v>0.729166666666667</v>
      </c>
      <c r="C342" s="10" t="s">
        <v>1229</v>
      </c>
      <c r="D342" s="10" t="s">
        <v>1122</v>
      </c>
      <c r="E342" s="0" t="n">
        <v>5</v>
      </c>
      <c r="G342" s="30" t="str">
        <f aca="false">IF($C342="","",IFERROR(IF(INDEX(links!$A$2:$A$501,MATCH($C342,links!$D$2:$D$501,0))="","",INDEX(links!$A$2:$A$501,MATCH($C342,links!$D$2:$D$501,0))),""))</f>
        <v>SAMPLE-CMP-007</v>
      </c>
      <c r="H342" s="30" t="str">
        <f aca="false">IF($C342="","",IFERROR(IF(INDEX(links!$B$2:$B$501,MATCH($C342,links!$D$2:$D$501,0))="","",INDEX(links!$B$2:$B$501,MATCH($C342,links!$D$2:$D$501,0))),""))</f>
        <v>SAMPLE-O-005</v>
      </c>
      <c r="I342" s="30" t="str">
        <f aca="false">IF($C342="","",IFERROR(IF(INDEX(links!$C$2:$C$501,MATCH($C342,links!$D$2:$D$501,0))="","",INDEX(links!$C$2:$C$501,MATCH($C342,links!$D$2:$D$501,0))),""))</f>
        <v>qr</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t="n">
        <v>46468</v>
      </c>
      <c r="B343" s="38" t="n">
        <v>0.729166666666667</v>
      </c>
      <c r="C343" s="10" t="s">
        <v>1230</v>
      </c>
      <c r="D343" s="10" t="s">
        <v>1120</v>
      </c>
      <c r="E343" s="0" t="n">
        <v>1</v>
      </c>
      <c r="G343" s="30" t="str">
        <f aca="false">IF($C343="","",IFERROR(IF(INDEX(links!$A$2:$A$501,MATCH($C343,links!$D$2:$D$501,0))="","",INDEX(links!$A$2:$A$501,MATCH($C343,links!$D$2:$D$501,0))),""))</f>
        <v>SAMPLE-CMP-007</v>
      </c>
      <c r="H343" s="30" t="str">
        <f aca="false">IF($C343="","",IFERROR(IF(INDEX(links!$B$2:$B$501,MATCH($C343,links!$D$2:$D$501,0))="","",INDEX(links!$B$2:$B$501,MATCH($C343,links!$D$2:$D$501,0))),""))</f>
        <v>SAMPLE-O-005</v>
      </c>
      <c r="I343" s="30" t="str">
        <f aca="false">IF($C343="","",IFERROR(IF(INDEX(links!$C$2:$C$501,MATCH($C343,links!$D$2:$D$501,0))="","",INDEX(links!$C$2:$C$501,MATCH($C343,links!$D$2:$D$501,0))),""))</f>
        <v>post</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t="n">
        <v>46471</v>
      </c>
      <c r="B344" s="38" t="n">
        <v>0.729166666666667</v>
      </c>
      <c r="C344" s="10" t="s">
        <v>1230</v>
      </c>
      <c r="D344" s="10" t="s">
        <v>1121</v>
      </c>
      <c r="E344" s="0" t="n">
        <v>4</v>
      </c>
      <c r="G344" s="30" t="str">
        <f aca="false">IF($C344="","",IFERROR(IF(INDEX(links!$A$2:$A$501,MATCH($C344,links!$D$2:$D$501,0))="","",INDEX(links!$A$2:$A$501,MATCH($C344,links!$D$2:$D$501,0))),""))</f>
        <v>SAMPLE-CMP-007</v>
      </c>
      <c r="H344" s="30" t="str">
        <f aca="false">IF($C344="","",IFERROR(IF(INDEX(links!$B$2:$B$501,MATCH($C344,links!$D$2:$D$501,0))="","",INDEX(links!$B$2:$B$501,MATCH($C344,links!$D$2:$D$501,0))),""))</f>
        <v>SAMPLE-O-005</v>
      </c>
      <c r="I344" s="30" t="str">
        <f aca="false">IF($C344="","",IFERROR(IF(INDEX(links!$C$2:$C$501,MATCH($C344,links!$D$2:$D$501,0))="","",INDEX(links!$C$2:$C$501,MATCH($C344,links!$D$2:$D$501,0))),""))</f>
        <v>post</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t="n">
        <v>46475</v>
      </c>
      <c r="B345" s="38" t="n">
        <v>0.729166666666667</v>
      </c>
      <c r="C345" s="10" t="s">
        <v>1230</v>
      </c>
      <c r="D345" s="10" t="s">
        <v>1122</v>
      </c>
      <c r="E345" s="0" t="n">
        <v>8</v>
      </c>
      <c r="G345" s="30" t="str">
        <f aca="false">IF($C345="","",IFERROR(IF(INDEX(links!$A$2:$A$501,MATCH($C345,links!$D$2:$D$501,0))="","",INDEX(links!$A$2:$A$501,MATCH($C345,links!$D$2:$D$501,0))),""))</f>
        <v>SAMPLE-CMP-007</v>
      </c>
      <c r="H345" s="30" t="str">
        <f aca="false">IF($C345="","",IFERROR(IF(INDEX(links!$B$2:$B$501,MATCH($C345,links!$D$2:$D$501,0))="","",INDEX(links!$B$2:$B$501,MATCH($C345,links!$D$2:$D$501,0))),""))</f>
        <v>SAMPLE-O-005</v>
      </c>
      <c r="I345" s="30" t="str">
        <f aca="false">IF($C345="","",IFERROR(IF(INDEX(links!$C$2:$C$501,MATCH($C345,links!$D$2:$D$501,0))="","",INDEX(links!$C$2:$C$501,MATCH($C345,links!$D$2:$D$501,0))),""))</f>
        <v>post</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t="n">
        <v>46468</v>
      </c>
      <c r="B346" s="38" t="n">
        <v>0.729166666666667</v>
      </c>
      <c r="C346" s="10" t="s">
        <v>1231</v>
      </c>
      <c r="D346" s="10" t="s">
        <v>1120</v>
      </c>
      <c r="E346" s="0" t="n">
        <v>1</v>
      </c>
      <c r="G346" s="30" t="str">
        <f aca="false">IF($C346="","",IFERROR(IF(INDEX(links!$A$2:$A$501,MATCH($C346,links!$D$2:$D$501,0))="","",INDEX(links!$A$2:$A$501,MATCH($C346,links!$D$2:$D$501,0))),""))</f>
        <v>SAMPLE-CMP-007</v>
      </c>
      <c r="H346" s="30" t="str">
        <f aca="false">IF($C346="","",IFERROR(IF(INDEX(links!$B$2:$B$501,MATCH($C346,links!$D$2:$D$501,0))="","",INDEX(links!$B$2:$B$501,MATCH($C346,links!$D$2:$D$501,0))),""))</f>
        <v>SAMPLE-O-006</v>
      </c>
      <c r="I346" s="30" t="str">
        <f aca="false">IF($C346="","",IFERROR(IF(INDEX(links!$C$2:$C$501,MATCH($C346,links!$D$2:$D$501,0))="","",INDEX(links!$C$2:$C$501,MATCH($C346,links!$D$2:$D$501,0))),""))</f>
        <v>qr</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t="n">
        <v>46471</v>
      </c>
      <c r="B347" s="38" t="n">
        <v>0.729166666666667</v>
      </c>
      <c r="C347" s="10" t="s">
        <v>1231</v>
      </c>
      <c r="D347" s="10" t="s">
        <v>1121</v>
      </c>
      <c r="E347" s="0" t="n">
        <v>3</v>
      </c>
      <c r="G347" s="30" t="str">
        <f aca="false">IF($C347="","",IFERROR(IF(INDEX(links!$A$2:$A$501,MATCH($C347,links!$D$2:$D$501,0))="","",INDEX(links!$A$2:$A$501,MATCH($C347,links!$D$2:$D$501,0))),""))</f>
        <v>SAMPLE-CMP-007</v>
      </c>
      <c r="H347" s="30" t="str">
        <f aca="false">IF($C347="","",IFERROR(IF(INDEX(links!$B$2:$B$501,MATCH($C347,links!$D$2:$D$501,0))="","",INDEX(links!$B$2:$B$501,MATCH($C347,links!$D$2:$D$501,0))),""))</f>
        <v>SAMPLE-O-006</v>
      </c>
      <c r="I347" s="30" t="str">
        <f aca="false">IF($C347="","",IFERROR(IF(INDEX(links!$C$2:$C$501,MATCH($C347,links!$D$2:$D$501,0))="","",INDEX(links!$C$2:$C$501,MATCH($C347,links!$D$2:$D$501,0))),""))</f>
        <v>qr</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t="n">
        <v>46475</v>
      </c>
      <c r="B348" s="38" t="n">
        <v>0.729166666666667</v>
      </c>
      <c r="C348" s="10" t="s">
        <v>1231</v>
      </c>
      <c r="D348" s="10" t="s">
        <v>1122</v>
      </c>
      <c r="E348" s="0" t="n">
        <v>7</v>
      </c>
      <c r="G348" s="30" t="str">
        <f aca="false">IF($C348="","",IFERROR(IF(INDEX(links!$A$2:$A$501,MATCH($C348,links!$D$2:$D$501,0))="","",INDEX(links!$A$2:$A$501,MATCH($C348,links!$D$2:$D$501,0))),""))</f>
        <v>SAMPLE-CMP-007</v>
      </c>
      <c r="H348" s="30" t="str">
        <f aca="false">IF($C348="","",IFERROR(IF(INDEX(links!$B$2:$B$501,MATCH($C348,links!$D$2:$D$501,0))="","",INDEX(links!$B$2:$B$501,MATCH($C348,links!$D$2:$D$501,0))),""))</f>
        <v>SAMPLE-O-006</v>
      </c>
      <c r="I348" s="30" t="str">
        <f aca="false">IF($C348="","",IFERROR(IF(INDEX(links!$C$2:$C$501,MATCH($C348,links!$D$2:$D$501,0))="","",INDEX(links!$C$2:$C$501,MATCH($C348,links!$D$2:$D$501,0))),""))</f>
        <v>qr</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t="n">
        <v>46468</v>
      </c>
      <c r="B349" s="38" t="n">
        <v>0.729166666666667</v>
      </c>
      <c r="C349" s="10" t="s">
        <v>1232</v>
      </c>
      <c r="D349" s="10" t="s">
        <v>1120</v>
      </c>
      <c r="E349" s="0" t="n">
        <v>1</v>
      </c>
      <c r="G349" s="30" t="str">
        <f aca="false">IF($C349="","",IFERROR(IF(INDEX(links!$A$2:$A$501,MATCH($C349,links!$D$2:$D$501,0))="","",INDEX(links!$A$2:$A$501,MATCH($C349,links!$D$2:$D$501,0))),""))</f>
        <v>SAMPLE-CMP-007</v>
      </c>
      <c r="H349" s="30" t="str">
        <f aca="false">IF($C349="","",IFERROR(IF(INDEX(links!$B$2:$B$501,MATCH($C349,links!$D$2:$D$501,0))="","",INDEX(links!$B$2:$B$501,MATCH($C349,links!$D$2:$D$501,0))),""))</f>
        <v>SAMPLE-O-006</v>
      </c>
      <c r="I349" s="30" t="str">
        <f aca="false">IF($C349="","",IFERROR(IF(INDEX(links!$C$2:$C$501,MATCH($C349,links!$D$2:$D$501,0))="","",INDEX(links!$C$2:$C$501,MATCH($C349,links!$D$2:$D$501,0))),""))</f>
        <v>post</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t="n">
        <v>46471</v>
      </c>
      <c r="B350" s="38" t="n">
        <v>0.729166666666667</v>
      </c>
      <c r="C350" s="10" t="s">
        <v>1232</v>
      </c>
      <c r="D350" s="10" t="s">
        <v>1121</v>
      </c>
      <c r="E350" s="0" t="n">
        <v>5</v>
      </c>
      <c r="G350" s="30" t="str">
        <f aca="false">IF($C350="","",IFERROR(IF(INDEX(links!$A$2:$A$501,MATCH($C350,links!$D$2:$D$501,0))="","",INDEX(links!$A$2:$A$501,MATCH($C350,links!$D$2:$D$501,0))),""))</f>
        <v>SAMPLE-CMP-007</v>
      </c>
      <c r="H350" s="30" t="str">
        <f aca="false">IF($C350="","",IFERROR(IF(INDEX(links!$B$2:$B$501,MATCH($C350,links!$D$2:$D$501,0))="","",INDEX(links!$B$2:$B$501,MATCH($C350,links!$D$2:$D$501,0))),""))</f>
        <v>SAMPLE-O-006</v>
      </c>
      <c r="I350" s="30" t="str">
        <f aca="false">IF($C350="","",IFERROR(IF(INDEX(links!$C$2:$C$501,MATCH($C350,links!$D$2:$D$501,0))="","",INDEX(links!$C$2:$C$501,MATCH($C350,links!$D$2:$D$501,0))),""))</f>
        <v>post</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t="n">
        <v>46475</v>
      </c>
      <c r="B351" s="38" t="n">
        <v>0.729166666666667</v>
      </c>
      <c r="C351" s="10" t="s">
        <v>1232</v>
      </c>
      <c r="D351" s="10" t="s">
        <v>1122</v>
      </c>
      <c r="E351" s="0" t="n">
        <v>10</v>
      </c>
      <c r="G351" s="30" t="str">
        <f aca="false">IF($C351="","",IFERROR(IF(INDEX(links!$A$2:$A$501,MATCH($C351,links!$D$2:$D$501,0))="","",INDEX(links!$A$2:$A$501,MATCH($C351,links!$D$2:$D$501,0))),""))</f>
        <v>SAMPLE-CMP-007</v>
      </c>
      <c r="H351" s="30" t="str">
        <f aca="false">IF($C351="","",IFERROR(IF(INDEX(links!$B$2:$B$501,MATCH($C351,links!$D$2:$D$501,0))="","",INDEX(links!$B$2:$B$501,MATCH($C351,links!$D$2:$D$501,0))),""))</f>
        <v>SAMPLE-O-006</v>
      </c>
      <c r="I351" s="30" t="str">
        <f aca="false">IF($C351="","",IFERROR(IF(INDEX(links!$C$2:$C$501,MATCH($C351,links!$D$2:$D$501,0))="","",INDEX(links!$C$2:$C$501,MATCH($C351,links!$D$2:$D$501,0))),""))</f>
        <v>post</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t="n">
        <v>46468</v>
      </c>
      <c r="B352" s="38" t="n">
        <v>0.729166666666667</v>
      </c>
      <c r="C352" s="10" t="s">
        <v>1233</v>
      </c>
      <c r="D352" s="10" t="s">
        <v>1120</v>
      </c>
      <c r="E352" s="0" t="n">
        <v>1</v>
      </c>
      <c r="G352" s="30" t="str">
        <f aca="false">IF($C352="","",IFERROR(IF(INDEX(links!$A$2:$A$501,MATCH($C352,links!$D$2:$D$501,0))="","",INDEX(links!$A$2:$A$501,MATCH($C352,links!$D$2:$D$501,0))),""))</f>
        <v>SAMPLE-CMP-007</v>
      </c>
      <c r="H352" s="30" t="str">
        <f aca="false">IF($C352="","",IFERROR(IF(INDEX(links!$B$2:$B$501,MATCH($C352,links!$D$2:$D$501,0))="","",INDEX(links!$B$2:$B$501,MATCH($C352,links!$D$2:$D$501,0))),""))</f>
        <v>SAMPLE-O-007</v>
      </c>
      <c r="I352" s="30" t="str">
        <f aca="false">IF($C352="","",IFERROR(IF(INDEX(links!$C$2:$C$501,MATCH($C352,links!$D$2:$D$501,0))="","",INDEX(links!$C$2:$C$501,MATCH($C352,links!$D$2:$D$501,0))),""))</f>
        <v>qr</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t="n">
        <v>46471</v>
      </c>
      <c r="B353" s="38" t="n">
        <v>0.729166666666667</v>
      </c>
      <c r="C353" s="10" t="s">
        <v>1233</v>
      </c>
      <c r="D353" s="10" t="s">
        <v>1121</v>
      </c>
      <c r="E353" s="0" t="n">
        <v>4</v>
      </c>
      <c r="G353" s="30" t="str">
        <f aca="false">IF($C353="","",IFERROR(IF(INDEX(links!$A$2:$A$501,MATCH($C353,links!$D$2:$D$501,0))="","",INDEX(links!$A$2:$A$501,MATCH($C353,links!$D$2:$D$501,0))),""))</f>
        <v>SAMPLE-CMP-007</v>
      </c>
      <c r="H353" s="30" t="str">
        <f aca="false">IF($C353="","",IFERROR(IF(INDEX(links!$B$2:$B$501,MATCH($C353,links!$D$2:$D$501,0))="","",INDEX(links!$B$2:$B$501,MATCH($C353,links!$D$2:$D$501,0))),""))</f>
        <v>SAMPLE-O-007</v>
      </c>
      <c r="I353" s="30" t="str">
        <f aca="false">IF($C353="","",IFERROR(IF(INDEX(links!$C$2:$C$501,MATCH($C353,links!$D$2:$D$501,0))="","",INDEX(links!$C$2:$C$501,MATCH($C353,links!$D$2:$D$501,0))),""))</f>
        <v>qr</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t="n">
        <v>46475</v>
      </c>
      <c r="B354" s="38" t="n">
        <v>0.729166666666667</v>
      </c>
      <c r="C354" s="10" t="s">
        <v>1233</v>
      </c>
      <c r="D354" s="10" t="s">
        <v>1122</v>
      </c>
      <c r="E354" s="0" t="n">
        <v>9</v>
      </c>
      <c r="G354" s="30" t="str">
        <f aca="false">IF($C354="","",IFERROR(IF(INDEX(links!$A$2:$A$501,MATCH($C354,links!$D$2:$D$501,0))="","",INDEX(links!$A$2:$A$501,MATCH($C354,links!$D$2:$D$501,0))),""))</f>
        <v>SAMPLE-CMP-007</v>
      </c>
      <c r="H354" s="30" t="str">
        <f aca="false">IF($C354="","",IFERROR(IF(INDEX(links!$B$2:$B$501,MATCH($C354,links!$D$2:$D$501,0))="","",INDEX(links!$B$2:$B$501,MATCH($C354,links!$D$2:$D$501,0))),""))</f>
        <v>SAMPLE-O-007</v>
      </c>
      <c r="I354" s="30" t="str">
        <f aca="false">IF($C354="","",IFERROR(IF(INDEX(links!$C$2:$C$501,MATCH($C354,links!$D$2:$D$501,0))="","",INDEX(links!$C$2:$C$501,MATCH($C354,links!$D$2:$D$501,0))),""))</f>
        <v>qr</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t="n">
        <v>46468</v>
      </c>
      <c r="B355" s="38" t="n">
        <v>0.729166666666667</v>
      </c>
      <c r="C355" s="10" t="s">
        <v>1234</v>
      </c>
      <c r="D355" s="10" t="s">
        <v>1120</v>
      </c>
      <c r="E355" s="0" t="n">
        <v>1</v>
      </c>
      <c r="G355" s="30" t="str">
        <f aca="false">IF($C355="","",IFERROR(IF(INDEX(links!$A$2:$A$501,MATCH($C355,links!$D$2:$D$501,0))="","",INDEX(links!$A$2:$A$501,MATCH($C355,links!$D$2:$D$501,0))),""))</f>
        <v>SAMPLE-CMP-007</v>
      </c>
      <c r="H355" s="30" t="str">
        <f aca="false">IF($C355="","",IFERROR(IF(INDEX(links!$B$2:$B$501,MATCH($C355,links!$D$2:$D$501,0))="","",INDEX(links!$B$2:$B$501,MATCH($C355,links!$D$2:$D$501,0))),""))</f>
        <v>SAMPLE-O-007</v>
      </c>
      <c r="I355" s="30" t="str">
        <f aca="false">IF($C355="","",IFERROR(IF(INDEX(links!$C$2:$C$501,MATCH($C355,links!$D$2:$D$501,0))="","",INDEX(links!$C$2:$C$501,MATCH($C355,links!$D$2:$D$501,0))),""))</f>
        <v>post</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t="n">
        <v>46471</v>
      </c>
      <c r="B356" s="38" t="n">
        <v>0.729166666666667</v>
      </c>
      <c r="C356" s="10" t="s">
        <v>1234</v>
      </c>
      <c r="D356" s="10" t="s">
        <v>1121</v>
      </c>
      <c r="E356" s="0" t="n">
        <v>6</v>
      </c>
      <c r="G356" s="30" t="str">
        <f aca="false">IF($C356="","",IFERROR(IF(INDEX(links!$A$2:$A$501,MATCH($C356,links!$D$2:$D$501,0))="","",INDEX(links!$A$2:$A$501,MATCH($C356,links!$D$2:$D$501,0))),""))</f>
        <v>SAMPLE-CMP-007</v>
      </c>
      <c r="H356" s="30" t="str">
        <f aca="false">IF($C356="","",IFERROR(IF(INDEX(links!$B$2:$B$501,MATCH($C356,links!$D$2:$D$501,0))="","",INDEX(links!$B$2:$B$501,MATCH($C356,links!$D$2:$D$501,0))),""))</f>
        <v>SAMPLE-O-007</v>
      </c>
      <c r="I356" s="30" t="str">
        <f aca="false">IF($C356="","",IFERROR(IF(INDEX(links!$C$2:$C$501,MATCH($C356,links!$D$2:$D$501,0))="","",INDEX(links!$C$2:$C$501,MATCH($C356,links!$D$2:$D$501,0))),""))</f>
        <v>post</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t="n">
        <v>46475</v>
      </c>
      <c r="B357" s="38" t="n">
        <v>0.729166666666667</v>
      </c>
      <c r="C357" s="10" t="s">
        <v>1234</v>
      </c>
      <c r="D357" s="10" t="s">
        <v>1122</v>
      </c>
      <c r="E357" s="0" t="n">
        <v>12</v>
      </c>
      <c r="G357" s="30" t="str">
        <f aca="false">IF($C357="","",IFERROR(IF(INDEX(links!$A$2:$A$501,MATCH($C357,links!$D$2:$D$501,0))="","",INDEX(links!$A$2:$A$501,MATCH($C357,links!$D$2:$D$501,0))),""))</f>
        <v>SAMPLE-CMP-007</v>
      </c>
      <c r="H357" s="30" t="str">
        <f aca="false">IF($C357="","",IFERROR(IF(INDEX(links!$B$2:$B$501,MATCH($C357,links!$D$2:$D$501,0))="","",INDEX(links!$B$2:$B$501,MATCH($C357,links!$D$2:$D$501,0))),""))</f>
        <v>SAMPLE-O-007</v>
      </c>
      <c r="I357" s="30" t="str">
        <f aca="false">IF($C357="","",IFERROR(IF(INDEX(links!$C$2:$C$501,MATCH($C357,links!$D$2:$D$501,0))="","",INDEX(links!$C$2:$C$501,MATCH($C357,links!$D$2:$D$501,0))),""))</f>
        <v>post</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t="n">
        <v>46468</v>
      </c>
      <c r="B358" s="38" t="n">
        <v>0.729166666666667</v>
      </c>
      <c r="C358" s="10" t="s">
        <v>1235</v>
      </c>
      <c r="D358" s="10" t="s">
        <v>1120</v>
      </c>
      <c r="E358" s="0" t="n">
        <v>1</v>
      </c>
      <c r="G358" s="30" t="str">
        <f aca="false">IF($C358="","",IFERROR(IF(INDEX(links!$A$2:$A$501,MATCH($C358,links!$D$2:$D$501,0))="","",INDEX(links!$A$2:$A$501,MATCH($C358,links!$D$2:$D$501,0))),""))</f>
        <v>SAMPLE-CMP-007</v>
      </c>
      <c r="H358" s="30" t="str">
        <f aca="false">IF($C358="","",IFERROR(IF(INDEX(links!$B$2:$B$501,MATCH($C358,links!$D$2:$D$501,0))="","",INDEX(links!$B$2:$B$501,MATCH($C358,links!$D$2:$D$501,0))),""))</f>
        <v>SAMPLE-O-008</v>
      </c>
      <c r="I358" s="30" t="str">
        <f aca="false">IF($C358="","",IFERROR(IF(INDEX(links!$C$2:$C$501,MATCH($C358,links!$D$2:$D$501,0))="","",INDEX(links!$C$2:$C$501,MATCH($C358,links!$D$2:$D$501,0))),""))</f>
        <v>qr</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t="n">
        <v>46471</v>
      </c>
      <c r="B359" s="38" t="n">
        <v>0.729166666666667</v>
      </c>
      <c r="C359" s="10" t="s">
        <v>1235</v>
      </c>
      <c r="D359" s="10" t="s">
        <v>1121</v>
      </c>
      <c r="E359" s="0" t="n">
        <v>5</v>
      </c>
      <c r="G359" s="30" t="str">
        <f aca="false">IF($C359="","",IFERROR(IF(INDEX(links!$A$2:$A$501,MATCH($C359,links!$D$2:$D$501,0))="","",INDEX(links!$A$2:$A$501,MATCH($C359,links!$D$2:$D$501,0))),""))</f>
        <v>SAMPLE-CMP-007</v>
      </c>
      <c r="H359" s="30" t="str">
        <f aca="false">IF($C359="","",IFERROR(IF(INDEX(links!$B$2:$B$501,MATCH($C359,links!$D$2:$D$501,0))="","",INDEX(links!$B$2:$B$501,MATCH($C359,links!$D$2:$D$501,0))),""))</f>
        <v>SAMPLE-O-008</v>
      </c>
      <c r="I359" s="30" t="str">
        <f aca="false">IF($C359="","",IFERROR(IF(INDEX(links!$C$2:$C$501,MATCH($C359,links!$D$2:$D$501,0))="","",INDEX(links!$C$2:$C$501,MATCH($C359,links!$D$2:$D$501,0))),""))</f>
        <v>qr</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t="n">
        <v>46475</v>
      </c>
      <c r="B360" s="38" t="n">
        <v>0.729166666666667</v>
      </c>
      <c r="C360" s="10" t="s">
        <v>1235</v>
      </c>
      <c r="D360" s="10" t="s">
        <v>1122</v>
      </c>
      <c r="E360" s="0" t="n">
        <v>11</v>
      </c>
      <c r="G360" s="30" t="str">
        <f aca="false">IF($C360="","",IFERROR(IF(INDEX(links!$A$2:$A$501,MATCH($C360,links!$D$2:$D$501,0))="","",INDEX(links!$A$2:$A$501,MATCH($C360,links!$D$2:$D$501,0))),""))</f>
        <v>SAMPLE-CMP-007</v>
      </c>
      <c r="H360" s="30" t="str">
        <f aca="false">IF($C360="","",IFERROR(IF(INDEX(links!$B$2:$B$501,MATCH($C360,links!$D$2:$D$501,0))="","",INDEX(links!$B$2:$B$501,MATCH($C360,links!$D$2:$D$501,0))),""))</f>
        <v>SAMPLE-O-008</v>
      </c>
      <c r="I360" s="30" t="str">
        <f aca="false">IF($C360="","",IFERROR(IF(INDEX(links!$C$2:$C$501,MATCH($C360,links!$D$2:$D$501,0))="","",INDEX(links!$C$2:$C$501,MATCH($C360,links!$D$2:$D$501,0))),""))</f>
        <v>qr</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t="n">
        <v>46468</v>
      </c>
      <c r="B361" s="38" t="n">
        <v>0.729166666666667</v>
      </c>
      <c r="C361" s="10" t="s">
        <v>1236</v>
      </c>
      <c r="D361" s="10" t="s">
        <v>1120</v>
      </c>
      <c r="E361" s="0" t="n">
        <v>1</v>
      </c>
      <c r="G361" s="30" t="str">
        <f aca="false">IF($C361="","",IFERROR(IF(INDEX(links!$A$2:$A$501,MATCH($C361,links!$D$2:$D$501,0))="","",INDEX(links!$A$2:$A$501,MATCH($C361,links!$D$2:$D$501,0))),""))</f>
        <v>SAMPLE-CMP-007</v>
      </c>
      <c r="H361" s="30" t="str">
        <f aca="false">IF($C361="","",IFERROR(IF(INDEX(links!$B$2:$B$501,MATCH($C361,links!$D$2:$D$501,0))="","",INDEX(links!$B$2:$B$501,MATCH($C361,links!$D$2:$D$501,0))),""))</f>
        <v>SAMPLE-O-008</v>
      </c>
      <c r="I361" s="30" t="str">
        <f aca="false">IF($C361="","",IFERROR(IF(INDEX(links!$C$2:$C$501,MATCH($C361,links!$D$2:$D$501,0))="","",INDEX(links!$C$2:$C$501,MATCH($C361,links!$D$2:$D$501,0))),""))</f>
        <v>post</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t="n">
        <v>46471</v>
      </c>
      <c r="B362" s="38" t="n">
        <v>0.729166666666667</v>
      </c>
      <c r="C362" s="10" t="s">
        <v>1236</v>
      </c>
      <c r="D362" s="10" t="s">
        <v>1121</v>
      </c>
      <c r="E362" s="0" t="n">
        <v>2</v>
      </c>
      <c r="G362" s="30" t="str">
        <f aca="false">IF($C362="","",IFERROR(IF(INDEX(links!$A$2:$A$501,MATCH($C362,links!$D$2:$D$501,0))="","",INDEX(links!$A$2:$A$501,MATCH($C362,links!$D$2:$D$501,0))),""))</f>
        <v>SAMPLE-CMP-007</v>
      </c>
      <c r="H362" s="30" t="str">
        <f aca="false">IF($C362="","",IFERROR(IF(INDEX(links!$B$2:$B$501,MATCH($C362,links!$D$2:$D$501,0))="","",INDEX(links!$B$2:$B$501,MATCH($C362,links!$D$2:$D$501,0))),""))</f>
        <v>SAMPLE-O-008</v>
      </c>
      <c r="I362" s="30" t="str">
        <f aca="false">IF($C362="","",IFERROR(IF(INDEX(links!$C$2:$C$501,MATCH($C362,links!$D$2:$D$501,0))="","",INDEX(links!$C$2:$C$501,MATCH($C362,links!$D$2:$D$501,0))),""))</f>
        <v>post</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t="n">
        <v>46475</v>
      </c>
      <c r="B363" s="38" t="n">
        <v>0.729166666666667</v>
      </c>
      <c r="C363" s="10" t="s">
        <v>1236</v>
      </c>
      <c r="D363" s="10" t="s">
        <v>1122</v>
      </c>
      <c r="E363" s="0" t="n">
        <v>4</v>
      </c>
      <c r="G363" s="30" t="str">
        <f aca="false">IF($C363="","",IFERROR(IF(INDEX(links!$A$2:$A$501,MATCH($C363,links!$D$2:$D$501,0))="","",INDEX(links!$A$2:$A$501,MATCH($C363,links!$D$2:$D$501,0))),""))</f>
        <v>SAMPLE-CMP-007</v>
      </c>
      <c r="H363" s="30" t="str">
        <f aca="false">IF($C363="","",IFERROR(IF(INDEX(links!$B$2:$B$501,MATCH($C363,links!$D$2:$D$501,0))="","",INDEX(links!$B$2:$B$501,MATCH($C363,links!$D$2:$D$501,0))),""))</f>
        <v>SAMPLE-O-008</v>
      </c>
      <c r="I363" s="30" t="str">
        <f aca="false">IF($C363="","",IFERROR(IF(INDEX(links!$C$2:$C$501,MATCH($C363,links!$D$2:$D$501,0))="","",INDEX(links!$C$2:$C$501,MATCH($C363,links!$D$2:$D$501,0))),""))</f>
        <v>post</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t="n">
        <v>46468</v>
      </c>
      <c r="B364" s="38" t="n">
        <v>0.729166666666667</v>
      </c>
      <c r="C364" s="10" t="s">
        <v>1237</v>
      </c>
      <c r="D364" s="10" t="s">
        <v>1120</v>
      </c>
      <c r="E364" s="0" t="n">
        <v>1</v>
      </c>
      <c r="G364" s="30" t="str">
        <f aca="false">IF($C364="","",IFERROR(IF(INDEX(links!$A$2:$A$501,MATCH($C364,links!$D$2:$D$501,0))="","",INDEX(links!$A$2:$A$501,MATCH($C364,links!$D$2:$D$501,0))),""))</f>
        <v>SAMPLE-CMP-007</v>
      </c>
      <c r="H364" s="30" t="str">
        <f aca="false">IF($C364="","",IFERROR(IF(INDEX(links!$B$2:$B$501,MATCH($C364,links!$D$2:$D$501,0))="","",INDEX(links!$B$2:$B$501,MATCH($C364,links!$D$2:$D$501,0))),""))</f>
        <v>SAMPLE-O-009</v>
      </c>
      <c r="I364" s="30" t="str">
        <f aca="false">IF($C364="","",IFERROR(IF(INDEX(links!$C$2:$C$501,MATCH($C364,links!$D$2:$D$501,0))="","",INDEX(links!$C$2:$C$501,MATCH($C364,links!$D$2:$D$501,0))),""))</f>
        <v>qr</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t="n">
        <v>46471</v>
      </c>
      <c r="B365" s="38" t="n">
        <v>0.729166666666667</v>
      </c>
      <c r="C365" s="10" t="s">
        <v>1237</v>
      </c>
      <c r="D365" s="10" t="s">
        <v>1121</v>
      </c>
      <c r="E365" s="0" t="n">
        <v>6</v>
      </c>
      <c r="G365" s="30" t="str">
        <f aca="false">IF($C365="","",IFERROR(IF(INDEX(links!$A$2:$A$501,MATCH($C365,links!$D$2:$D$501,0))="","",INDEX(links!$A$2:$A$501,MATCH($C365,links!$D$2:$D$501,0))),""))</f>
        <v>SAMPLE-CMP-007</v>
      </c>
      <c r="H365" s="30" t="str">
        <f aca="false">IF($C365="","",IFERROR(IF(INDEX(links!$B$2:$B$501,MATCH($C365,links!$D$2:$D$501,0))="","",INDEX(links!$B$2:$B$501,MATCH($C365,links!$D$2:$D$501,0))),""))</f>
        <v>SAMPLE-O-009</v>
      </c>
      <c r="I365" s="30" t="str">
        <f aca="false">IF($C365="","",IFERROR(IF(INDEX(links!$C$2:$C$501,MATCH($C365,links!$D$2:$D$501,0))="","",INDEX(links!$C$2:$C$501,MATCH($C365,links!$D$2:$D$501,0))),""))</f>
        <v>qr</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t="n">
        <v>46475</v>
      </c>
      <c r="B366" s="38" t="n">
        <v>0.729166666666667</v>
      </c>
      <c r="C366" s="10" t="s">
        <v>1237</v>
      </c>
      <c r="D366" s="10" t="s">
        <v>1122</v>
      </c>
      <c r="E366" s="0" t="n">
        <v>13</v>
      </c>
      <c r="G366" s="30" t="str">
        <f aca="false">IF($C366="","",IFERROR(IF(INDEX(links!$A$2:$A$501,MATCH($C366,links!$D$2:$D$501,0))="","",INDEX(links!$A$2:$A$501,MATCH($C366,links!$D$2:$D$501,0))),""))</f>
        <v>SAMPLE-CMP-007</v>
      </c>
      <c r="H366" s="30" t="str">
        <f aca="false">IF($C366="","",IFERROR(IF(INDEX(links!$B$2:$B$501,MATCH($C366,links!$D$2:$D$501,0))="","",INDEX(links!$B$2:$B$501,MATCH($C366,links!$D$2:$D$501,0))),""))</f>
        <v>SAMPLE-O-009</v>
      </c>
      <c r="I366" s="30" t="str">
        <f aca="false">IF($C366="","",IFERROR(IF(INDEX(links!$C$2:$C$501,MATCH($C366,links!$D$2:$D$501,0))="","",INDEX(links!$C$2:$C$501,MATCH($C366,links!$D$2:$D$501,0))),""))</f>
        <v>qr</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t="n">
        <v>46468</v>
      </c>
      <c r="B367" s="38" t="n">
        <v>0.729166666666667</v>
      </c>
      <c r="C367" s="10" t="s">
        <v>1238</v>
      </c>
      <c r="D367" s="10" t="s">
        <v>1120</v>
      </c>
      <c r="E367" s="0" t="n">
        <v>1</v>
      </c>
      <c r="G367" s="30" t="str">
        <f aca="false">IF($C367="","",IFERROR(IF(INDEX(links!$A$2:$A$501,MATCH($C367,links!$D$2:$D$501,0))="","",INDEX(links!$A$2:$A$501,MATCH($C367,links!$D$2:$D$501,0))),""))</f>
        <v>SAMPLE-CMP-007</v>
      </c>
      <c r="H367" s="30" t="str">
        <f aca="false">IF($C367="","",IFERROR(IF(INDEX(links!$B$2:$B$501,MATCH($C367,links!$D$2:$D$501,0))="","",INDEX(links!$B$2:$B$501,MATCH($C367,links!$D$2:$D$501,0))),""))</f>
        <v>SAMPLE-O-009</v>
      </c>
      <c r="I367" s="30" t="str">
        <f aca="false">IF($C367="","",IFERROR(IF(INDEX(links!$C$2:$C$501,MATCH($C367,links!$D$2:$D$501,0))="","",INDEX(links!$C$2:$C$501,MATCH($C367,links!$D$2:$D$501,0))),""))</f>
        <v>post</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t="n">
        <v>46471</v>
      </c>
      <c r="B368" s="38" t="n">
        <v>0.729166666666667</v>
      </c>
      <c r="C368" s="10" t="s">
        <v>1238</v>
      </c>
      <c r="D368" s="10" t="s">
        <v>1121</v>
      </c>
      <c r="E368" s="0" t="n">
        <v>3</v>
      </c>
      <c r="G368" s="30" t="str">
        <f aca="false">IF($C368="","",IFERROR(IF(INDEX(links!$A$2:$A$501,MATCH($C368,links!$D$2:$D$501,0))="","",INDEX(links!$A$2:$A$501,MATCH($C368,links!$D$2:$D$501,0))),""))</f>
        <v>SAMPLE-CMP-007</v>
      </c>
      <c r="H368" s="30" t="str">
        <f aca="false">IF($C368="","",IFERROR(IF(INDEX(links!$B$2:$B$501,MATCH($C368,links!$D$2:$D$501,0))="","",INDEX(links!$B$2:$B$501,MATCH($C368,links!$D$2:$D$501,0))),""))</f>
        <v>SAMPLE-O-009</v>
      </c>
      <c r="I368" s="30" t="str">
        <f aca="false">IF($C368="","",IFERROR(IF(INDEX(links!$C$2:$C$501,MATCH($C368,links!$D$2:$D$501,0))="","",INDEX(links!$C$2:$C$501,MATCH($C368,links!$D$2:$D$501,0))),""))</f>
        <v>post</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t="n">
        <v>46475</v>
      </c>
      <c r="B369" s="38" t="n">
        <v>0.729166666666667</v>
      </c>
      <c r="C369" s="10" t="s">
        <v>1238</v>
      </c>
      <c r="D369" s="10" t="s">
        <v>1122</v>
      </c>
      <c r="E369" s="0" t="n">
        <v>6</v>
      </c>
      <c r="G369" s="30" t="str">
        <f aca="false">IF($C369="","",IFERROR(IF(INDEX(links!$A$2:$A$501,MATCH($C369,links!$D$2:$D$501,0))="","",INDEX(links!$A$2:$A$501,MATCH($C369,links!$D$2:$D$501,0))),""))</f>
        <v>SAMPLE-CMP-007</v>
      </c>
      <c r="H369" s="30" t="str">
        <f aca="false">IF($C369="","",IFERROR(IF(INDEX(links!$B$2:$B$501,MATCH($C369,links!$D$2:$D$501,0))="","",INDEX(links!$B$2:$B$501,MATCH($C369,links!$D$2:$D$501,0))),""))</f>
        <v>SAMPLE-O-009</v>
      </c>
      <c r="I369" s="30" t="str">
        <f aca="false">IF($C369="","",IFERROR(IF(INDEX(links!$C$2:$C$501,MATCH($C369,links!$D$2:$D$501,0))="","",INDEX(links!$C$2:$C$501,MATCH($C369,links!$D$2:$D$501,0))),""))</f>
        <v>post</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t="n">
        <v>46468</v>
      </c>
      <c r="B370" s="38" t="n">
        <v>0.729166666666667</v>
      </c>
      <c r="C370" s="10" t="s">
        <v>1239</v>
      </c>
      <c r="D370" s="10" t="s">
        <v>1120</v>
      </c>
      <c r="E370" s="0" t="n">
        <v>1</v>
      </c>
      <c r="G370" s="30" t="str">
        <f aca="false">IF($C370="","",IFERROR(IF(INDEX(links!$A$2:$A$501,MATCH($C370,links!$D$2:$D$501,0))="","",INDEX(links!$A$2:$A$501,MATCH($C370,links!$D$2:$D$501,0))),""))</f>
        <v>SAMPLE-CMP-007</v>
      </c>
      <c r="H370" s="30" t="str">
        <f aca="false">IF($C370="","",IFERROR(IF(INDEX(links!$B$2:$B$501,MATCH($C370,links!$D$2:$D$501,0))="","",INDEX(links!$B$2:$B$501,MATCH($C370,links!$D$2:$D$501,0))),""))</f>
        <v>SAMPLE-O-010</v>
      </c>
      <c r="I370" s="30" t="str">
        <f aca="false">IF($C370="","",IFERROR(IF(INDEX(links!$C$2:$C$501,MATCH($C370,links!$D$2:$D$501,0))="","",INDEX(links!$C$2:$C$501,MATCH($C370,links!$D$2:$D$501,0))),""))</f>
        <v>qr</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t="n">
        <v>46471</v>
      </c>
      <c r="B371" s="38" t="n">
        <v>0.729166666666667</v>
      </c>
      <c r="C371" s="10" t="s">
        <v>1239</v>
      </c>
      <c r="D371" s="10" t="s">
        <v>1121</v>
      </c>
      <c r="E371" s="0" t="n">
        <v>3</v>
      </c>
      <c r="G371" s="30" t="str">
        <f aca="false">IF($C371="","",IFERROR(IF(INDEX(links!$A$2:$A$501,MATCH($C371,links!$D$2:$D$501,0))="","",INDEX(links!$A$2:$A$501,MATCH($C371,links!$D$2:$D$501,0))),""))</f>
        <v>SAMPLE-CMP-007</v>
      </c>
      <c r="H371" s="30" t="str">
        <f aca="false">IF($C371="","",IFERROR(IF(INDEX(links!$B$2:$B$501,MATCH($C371,links!$D$2:$D$501,0))="","",INDEX(links!$B$2:$B$501,MATCH($C371,links!$D$2:$D$501,0))),""))</f>
        <v>SAMPLE-O-010</v>
      </c>
      <c r="I371" s="30" t="str">
        <f aca="false">IF($C371="","",IFERROR(IF(INDEX(links!$C$2:$C$501,MATCH($C371,links!$D$2:$D$501,0))="","",INDEX(links!$C$2:$C$501,MATCH($C371,links!$D$2:$D$501,0))),""))</f>
        <v>qr</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t="n">
        <v>46475</v>
      </c>
      <c r="B372" s="38" t="n">
        <v>0.729166666666667</v>
      </c>
      <c r="C372" s="10" t="s">
        <v>1239</v>
      </c>
      <c r="D372" s="10" t="s">
        <v>1122</v>
      </c>
      <c r="E372" s="0" t="n">
        <v>6</v>
      </c>
      <c r="G372" s="30" t="str">
        <f aca="false">IF($C372="","",IFERROR(IF(INDEX(links!$A$2:$A$501,MATCH($C372,links!$D$2:$D$501,0))="","",INDEX(links!$A$2:$A$501,MATCH($C372,links!$D$2:$D$501,0))),""))</f>
        <v>SAMPLE-CMP-007</v>
      </c>
      <c r="H372" s="30" t="str">
        <f aca="false">IF($C372="","",IFERROR(IF(INDEX(links!$B$2:$B$501,MATCH($C372,links!$D$2:$D$501,0))="","",INDEX(links!$B$2:$B$501,MATCH($C372,links!$D$2:$D$501,0))),""))</f>
        <v>SAMPLE-O-010</v>
      </c>
      <c r="I372" s="30" t="str">
        <f aca="false">IF($C372="","",IFERROR(IF(INDEX(links!$C$2:$C$501,MATCH($C372,links!$D$2:$D$501,0))="","",INDEX(links!$C$2:$C$501,MATCH($C372,links!$D$2:$D$501,0))),""))</f>
        <v>qr</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t="n">
        <v>46468</v>
      </c>
      <c r="B373" s="38" t="n">
        <v>0.729166666666667</v>
      </c>
      <c r="C373" s="10" t="s">
        <v>1240</v>
      </c>
      <c r="D373" s="10" t="s">
        <v>1120</v>
      </c>
      <c r="E373" s="0" t="n">
        <v>1</v>
      </c>
      <c r="G373" s="30" t="str">
        <f aca="false">IF($C373="","",IFERROR(IF(INDEX(links!$A$2:$A$501,MATCH($C373,links!$D$2:$D$501,0))="","",INDEX(links!$A$2:$A$501,MATCH($C373,links!$D$2:$D$501,0))),""))</f>
        <v>SAMPLE-CMP-007</v>
      </c>
      <c r="H373" s="30" t="str">
        <f aca="false">IF($C373="","",IFERROR(IF(INDEX(links!$B$2:$B$501,MATCH($C373,links!$D$2:$D$501,0))="","",INDEX(links!$B$2:$B$501,MATCH($C373,links!$D$2:$D$501,0))),""))</f>
        <v>SAMPLE-O-010</v>
      </c>
      <c r="I373" s="30" t="str">
        <f aca="false">IF($C373="","",IFERROR(IF(INDEX(links!$C$2:$C$501,MATCH($C373,links!$D$2:$D$501,0))="","",INDEX(links!$C$2:$C$501,MATCH($C373,links!$D$2:$D$501,0))),""))</f>
        <v>post</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t="n">
        <v>46471</v>
      </c>
      <c r="B374" s="38" t="n">
        <v>0.729166666666667</v>
      </c>
      <c r="C374" s="10" t="s">
        <v>1240</v>
      </c>
      <c r="D374" s="10" t="s">
        <v>1121</v>
      </c>
      <c r="E374" s="0" t="n">
        <v>4</v>
      </c>
      <c r="G374" s="30" t="str">
        <f aca="false">IF($C374="","",IFERROR(IF(INDEX(links!$A$2:$A$501,MATCH($C374,links!$D$2:$D$501,0))="","",INDEX(links!$A$2:$A$501,MATCH($C374,links!$D$2:$D$501,0))),""))</f>
        <v>SAMPLE-CMP-007</v>
      </c>
      <c r="H374" s="30" t="str">
        <f aca="false">IF($C374="","",IFERROR(IF(INDEX(links!$B$2:$B$501,MATCH($C374,links!$D$2:$D$501,0))="","",INDEX(links!$B$2:$B$501,MATCH($C374,links!$D$2:$D$501,0))),""))</f>
        <v>SAMPLE-O-010</v>
      </c>
      <c r="I374" s="30" t="str">
        <f aca="false">IF($C374="","",IFERROR(IF(INDEX(links!$C$2:$C$501,MATCH($C374,links!$D$2:$D$501,0))="","",INDEX(links!$C$2:$C$501,MATCH($C374,links!$D$2:$D$501,0))),""))</f>
        <v>post</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t="n">
        <v>46475</v>
      </c>
      <c r="B375" s="38" t="n">
        <v>0.729166666666667</v>
      </c>
      <c r="C375" s="10" t="s">
        <v>1240</v>
      </c>
      <c r="D375" s="10" t="s">
        <v>1122</v>
      </c>
      <c r="E375" s="0" t="n">
        <v>9</v>
      </c>
      <c r="G375" s="30" t="str">
        <f aca="false">IF($C375="","",IFERROR(IF(INDEX(links!$A$2:$A$501,MATCH($C375,links!$D$2:$D$501,0))="","",INDEX(links!$A$2:$A$501,MATCH($C375,links!$D$2:$D$501,0))),""))</f>
        <v>SAMPLE-CMP-007</v>
      </c>
      <c r="H375" s="30" t="str">
        <f aca="false">IF($C375="","",IFERROR(IF(INDEX(links!$B$2:$B$501,MATCH($C375,links!$D$2:$D$501,0))="","",INDEX(links!$B$2:$B$501,MATCH($C375,links!$D$2:$D$501,0))),""))</f>
        <v>SAMPLE-O-010</v>
      </c>
      <c r="I375" s="30" t="str">
        <f aca="false">IF($C375="","",IFERROR(IF(INDEX(links!$C$2:$C$501,MATCH($C375,links!$D$2:$D$501,0))="","",INDEX(links!$C$2:$C$501,MATCH($C375,links!$D$2:$D$501,0))),""))</f>
        <v>post</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t="n">
        <v>46468</v>
      </c>
      <c r="B376" s="38" t="n">
        <v>0.729166666666667</v>
      </c>
      <c r="C376" s="10" t="s">
        <v>1241</v>
      </c>
      <c r="D376" s="10" t="s">
        <v>1120</v>
      </c>
      <c r="E376" s="0" t="n">
        <v>1</v>
      </c>
      <c r="G376" s="30" t="str">
        <f aca="false">IF($C376="","",IFERROR(IF(INDEX(links!$A$2:$A$501,MATCH($C376,links!$D$2:$D$501,0))="","",INDEX(links!$A$2:$A$501,MATCH($C376,links!$D$2:$D$501,0))),""))</f>
        <v>SAMPLE-CMP-008</v>
      </c>
      <c r="H376" s="30" t="str">
        <f aca="false">IF($C376="","",IFERROR(IF(INDEX(links!$B$2:$B$501,MATCH($C376,links!$D$2:$D$501,0))="","",INDEX(links!$B$2:$B$501,MATCH($C376,links!$D$2:$D$501,0))),""))</f>
        <v>SAMPLE-O-001</v>
      </c>
      <c r="I376" s="30" t="str">
        <f aca="false">IF($C376="","",IFERROR(IF(INDEX(links!$C$2:$C$501,MATCH($C376,links!$D$2:$D$501,0))="","",INDEX(links!$C$2:$C$501,MATCH($C376,links!$D$2:$D$501,0))),""))</f>
        <v>qr</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t="n">
        <v>46471</v>
      </c>
      <c r="B377" s="38" t="n">
        <v>0.729166666666667</v>
      </c>
      <c r="C377" s="10" t="s">
        <v>1241</v>
      </c>
      <c r="D377" s="10" t="s">
        <v>1121</v>
      </c>
      <c r="E377" s="0" t="n">
        <v>6</v>
      </c>
      <c r="G377" s="30" t="str">
        <f aca="false">IF($C377="","",IFERROR(IF(INDEX(links!$A$2:$A$501,MATCH($C377,links!$D$2:$D$501,0))="","",INDEX(links!$A$2:$A$501,MATCH($C377,links!$D$2:$D$501,0))),""))</f>
        <v>SAMPLE-CMP-008</v>
      </c>
      <c r="H377" s="30" t="str">
        <f aca="false">IF($C377="","",IFERROR(IF(INDEX(links!$B$2:$B$501,MATCH($C377,links!$D$2:$D$501,0))="","",INDEX(links!$B$2:$B$501,MATCH($C377,links!$D$2:$D$501,0))),""))</f>
        <v>SAMPLE-O-001</v>
      </c>
      <c r="I377" s="30" t="str">
        <f aca="false">IF($C377="","",IFERROR(IF(INDEX(links!$C$2:$C$501,MATCH($C377,links!$D$2:$D$501,0))="","",INDEX(links!$C$2:$C$501,MATCH($C377,links!$D$2:$D$501,0))),""))</f>
        <v>qr</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t="n">
        <v>46475</v>
      </c>
      <c r="B378" s="38" t="n">
        <v>0.729166666666667</v>
      </c>
      <c r="C378" s="10" t="s">
        <v>1241</v>
      </c>
      <c r="D378" s="10" t="s">
        <v>1122</v>
      </c>
      <c r="E378" s="0" t="n">
        <v>13</v>
      </c>
      <c r="G378" s="30" t="str">
        <f aca="false">IF($C378="","",IFERROR(IF(INDEX(links!$A$2:$A$501,MATCH($C378,links!$D$2:$D$501,0))="","",INDEX(links!$A$2:$A$501,MATCH($C378,links!$D$2:$D$501,0))),""))</f>
        <v>SAMPLE-CMP-008</v>
      </c>
      <c r="H378" s="30" t="str">
        <f aca="false">IF($C378="","",IFERROR(IF(INDEX(links!$B$2:$B$501,MATCH($C378,links!$D$2:$D$501,0))="","",INDEX(links!$B$2:$B$501,MATCH($C378,links!$D$2:$D$501,0))),""))</f>
        <v>SAMPLE-O-001</v>
      </c>
      <c r="I378" s="30" t="str">
        <f aca="false">IF($C378="","",IFERROR(IF(INDEX(links!$C$2:$C$501,MATCH($C378,links!$D$2:$D$501,0))="","",INDEX(links!$C$2:$C$501,MATCH($C378,links!$D$2:$D$501,0))),""))</f>
        <v>qr</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t="n">
        <v>46468</v>
      </c>
      <c r="B379" s="38" t="n">
        <v>0.729166666666667</v>
      </c>
      <c r="C379" s="10" t="s">
        <v>1242</v>
      </c>
      <c r="D379" s="10" t="s">
        <v>1120</v>
      </c>
      <c r="E379" s="0" t="n">
        <v>1</v>
      </c>
      <c r="G379" s="30" t="str">
        <f aca="false">IF($C379="","",IFERROR(IF(INDEX(links!$A$2:$A$501,MATCH($C379,links!$D$2:$D$501,0))="","",INDEX(links!$A$2:$A$501,MATCH($C379,links!$D$2:$D$501,0))),""))</f>
        <v>SAMPLE-CMP-008</v>
      </c>
      <c r="H379" s="30" t="str">
        <f aca="false">IF($C379="","",IFERROR(IF(INDEX(links!$B$2:$B$501,MATCH($C379,links!$D$2:$D$501,0))="","",INDEX(links!$B$2:$B$501,MATCH($C379,links!$D$2:$D$501,0))),""))</f>
        <v>SAMPLE-O-001</v>
      </c>
      <c r="I379" s="30" t="str">
        <f aca="false">IF($C379="","",IFERROR(IF(INDEX(links!$C$2:$C$501,MATCH($C379,links!$D$2:$D$501,0))="","",INDEX(links!$C$2:$C$501,MATCH($C379,links!$D$2:$D$501,0))),""))</f>
        <v>post</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t="n">
        <v>46471</v>
      </c>
      <c r="B380" s="38" t="n">
        <v>0.729166666666667</v>
      </c>
      <c r="C380" s="10" t="s">
        <v>1242</v>
      </c>
      <c r="D380" s="10" t="s">
        <v>1121</v>
      </c>
      <c r="E380" s="0" t="n">
        <v>3</v>
      </c>
      <c r="G380" s="30" t="str">
        <f aca="false">IF($C380="","",IFERROR(IF(INDEX(links!$A$2:$A$501,MATCH($C380,links!$D$2:$D$501,0))="","",INDEX(links!$A$2:$A$501,MATCH($C380,links!$D$2:$D$501,0))),""))</f>
        <v>SAMPLE-CMP-008</v>
      </c>
      <c r="H380" s="30" t="str">
        <f aca="false">IF($C380="","",IFERROR(IF(INDEX(links!$B$2:$B$501,MATCH($C380,links!$D$2:$D$501,0))="","",INDEX(links!$B$2:$B$501,MATCH($C380,links!$D$2:$D$501,0))),""))</f>
        <v>SAMPLE-O-001</v>
      </c>
      <c r="I380" s="30" t="str">
        <f aca="false">IF($C380="","",IFERROR(IF(INDEX(links!$C$2:$C$501,MATCH($C380,links!$D$2:$D$501,0))="","",INDEX(links!$C$2:$C$501,MATCH($C380,links!$D$2:$D$501,0))),""))</f>
        <v>post</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t="n">
        <v>46475</v>
      </c>
      <c r="B381" s="38" t="n">
        <v>0.729166666666667</v>
      </c>
      <c r="C381" s="10" t="s">
        <v>1242</v>
      </c>
      <c r="D381" s="10" t="s">
        <v>1122</v>
      </c>
      <c r="E381" s="0" t="n">
        <v>6</v>
      </c>
      <c r="G381" s="30" t="str">
        <f aca="false">IF($C381="","",IFERROR(IF(INDEX(links!$A$2:$A$501,MATCH($C381,links!$D$2:$D$501,0))="","",INDEX(links!$A$2:$A$501,MATCH($C381,links!$D$2:$D$501,0))),""))</f>
        <v>SAMPLE-CMP-008</v>
      </c>
      <c r="H381" s="30" t="str">
        <f aca="false">IF($C381="","",IFERROR(IF(INDEX(links!$B$2:$B$501,MATCH($C381,links!$D$2:$D$501,0))="","",INDEX(links!$B$2:$B$501,MATCH($C381,links!$D$2:$D$501,0))),""))</f>
        <v>SAMPLE-O-001</v>
      </c>
      <c r="I381" s="30" t="str">
        <f aca="false">IF($C381="","",IFERROR(IF(INDEX(links!$C$2:$C$501,MATCH($C381,links!$D$2:$D$501,0))="","",INDEX(links!$C$2:$C$501,MATCH($C381,links!$D$2:$D$501,0))),""))</f>
        <v>post</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t="n">
        <v>46468</v>
      </c>
      <c r="B382" s="38" t="n">
        <v>0.729166666666667</v>
      </c>
      <c r="C382" s="10" t="s">
        <v>1243</v>
      </c>
      <c r="D382" s="10" t="s">
        <v>1120</v>
      </c>
      <c r="E382" s="0" t="n">
        <v>1</v>
      </c>
      <c r="G382" s="30" t="str">
        <f aca="false">IF($C382="","",IFERROR(IF(INDEX(links!$A$2:$A$501,MATCH($C382,links!$D$2:$D$501,0))="","",INDEX(links!$A$2:$A$501,MATCH($C382,links!$D$2:$D$501,0))),""))</f>
        <v>SAMPLE-CMP-008</v>
      </c>
      <c r="H382" s="30" t="str">
        <f aca="false">IF($C382="","",IFERROR(IF(INDEX(links!$B$2:$B$501,MATCH($C382,links!$D$2:$D$501,0))="","",INDEX(links!$B$2:$B$501,MATCH($C382,links!$D$2:$D$501,0))),""))</f>
        <v>SAMPLE-O-002</v>
      </c>
      <c r="I382" s="30" t="str">
        <f aca="false">IF($C382="","",IFERROR(IF(INDEX(links!$C$2:$C$501,MATCH($C382,links!$D$2:$D$501,0))="","",INDEX(links!$C$2:$C$501,MATCH($C382,links!$D$2:$D$501,0))),""))</f>
        <v>qr</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t="n">
        <v>46471</v>
      </c>
      <c r="B383" s="38" t="n">
        <v>0.729166666666667</v>
      </c>
      <c r="C383" s="10" t="s">
        <v>1243</v>
      </c>
      <c r="D383" s="10" t="s">
        <v>1121</v>
      </c>
      <c r="E383" s="0" t="n">
        <v>2</v>
      </c>
      <c r="G383" s="30" t="str">
        <f aca="false">IF($C383="","",IFERROR(IF(INDEX(links!$A$2:$A$501,MATCH($C383,links!$D$2:$D$501,0))="","",INDEX(links!$A$2:$A$501,MATCH($C383,links!$D$2:$D$501,0))),""))</f>
        <v>SAMPLE-CMP-008</v>
      </c>
      <c r="H383" s="30" t="str">
        <f aca="false">IF($C383="","",IFERROR(IF(INDEX(links!$B$2:$B$501,MATCH($C383,links!$D$2:$D$501,0))="","",INDEX(links!$B$2:$B$501,MATCH($C383,links!$D$2:$D$501,0))),""))</f>
        <v>SAMPLE-O-002</v>
      </c>
      <c r="I383" s="30" t="str">
        <f aca="false">IF($C383="","",IFERROR(IF(INDEX(links!$C$2:$C$501,MATCH($C383,links!$D$2:$D$501,0))="","",INDEX(links!$C$2:$C$501,MATCH($C383,links!$D$2:$D$501,0))),""))</f>
        <v>qr</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t="n">
        <v>46475</v>
      </c>
      <c r="B384" s="38" t="n">
        <v>0.729166666666667</v>
      </c>
      <c r="C384" s="10" t="s">
        <v>1243</v>
      </c>
      <c r="D384" s="10" t="s">
        <v>1122</v>
      </c>
      <c r="E384" s="0" t="n">
        <v>5</v>
      </c>
      <c r="G384" s="30" t="str">
        <f aca="false">IF($C384="","",IFERROR(IF(INDEX(links!$A$2:$A$501,MATCH($C384,links!$D$2:$D$501,0))="","",INDEX(links!$A$2:$A$501,MATCH($C384,links!$D$2:$D$501,0))),""))</f>
        <v>SAMPLE-CMP-008</v>
      </c>
      <c r="H384" s="30" t="str">
        <f aca="false">IF($C384="","",IFERROR(IF(INDEX(links!$B$2:$B$501,MATCH($C384,links!$D$2:$D$501,0))="","",INDEX(links!$B$2:$B$501,MATCH($C384,links!$D$2:$D$501,0))),""))</f>
        <v>SAMPLE-O-002</v>
      </c>
      <c r="I384" s="30" t="str">
        <f aca="false">IF($C384="","",IFERROR(IF(INDEX(links!$C$2:$C$501,MATCH($C384,links!$D$2:$D$501,0))="","",INDEX(links!$C$2:$C$501,MATCH($C384,links!$D$2:$D$501,0))),""))</f>
        <v>qr</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t="n">
        <v>46468</v>
      </c>
      <c r="B385" s="38" t="n">
        <v>0.729166666666667</v>
      </c>
      <c r="C385" s="10" t="s">
        <v>1244</v>
      </c>
      <c r="D385" s="10" t="s">
        <v>1120</v>
      </c>
      <c r="E385" s="0" t="n">
        <v>1</v>
      </c>
      <c r="G385" s="30" t="str">
        <f aca="false">IF($C385="","",IFERROR(IF(INDEX(links!$A$2:$A$501,MATCH($C385,links!$D$2:$D$501,0))="","",INDEX(links!$A$2:$A$501,MATCH($C385,links!$D$2:$D$501,0))),""))</f>
        <v>SAMPLE-CMP-008</v>
      </c>
      <c r="H385" s="30" t="str">
        <f aca="false">IF($C385="","",IFERROR(IF(INDEX(links!$B$2:$B$501,MATCH($C385,links!$D$2:$D$501,0))="","",INDEX(links!$B$2:$B$501,MATCH($C385,links!$D$2:$D$501,0))),""))</f>
        <v>SAMPLE-O-002</v>
      </c>
      <c r="I385" s="30" t="str">
        <f aca="false">IF($C385="","",IFERROR(IF(INDEX(links!$C$2:$C$501,MATCH($C385,links!$D$2:$D$501,0))="","",INDEX(links!$C$2:$C$501,MATCH($C385,links!$D$2:$D$501,0))),""))</f>
        <v>post</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t="n">
        <v>46471</v>
      </c>
      <c r="B386" s="38" t="n">
        <v>0.729166666666667</v>
      </c>
      <c r="C386" s="10" t="s">
        <v>1244</v>
      </c>
      <c r="D386" s="10" t="s">
        <v>1121</v>
      </c>
      <c r="E386" s="0" t="n">
        <v>4</v>
      </c>
      <c r="G386" s="30" t="str">
        <f aca="false">IF($C386="","",IFERROR(IF(INDEX(links!$A$2:$A$501,MATCH($C386,links!$D$2:$D$501,0))="","",INDEX(links!$A$2:$A$501,MATCH($C386,links!$D$2:$D$501,0))),""))</f>
        <v>SAMPLE-CMP-008</v>
      </c>
      <c r="H386" s="30" t="str">
        <f aca="false">IF($C386="","",IFERROR(IF(INDEX(links!$B$2:$B$501,MATCH($C386,links!$D$2:$D$501,0))="","",INDEX(links!$B$2:$B$501,MATCH($C386,links!$D$2:$D$501,0))),""))</f>
        <v>SAMPLE-O-002</v>
      </c>
      <c r="I386" s="30" t="str">
        <f aca="false">IF($C386="","",IFERROR(IF(INDEX(links!$C$2:$C$501,MATCH($C386,links!$D$2:$D$501,0))="","",INDEX(links!$C$2:$C$501,MATCH($C386,links!$D$2:$D$501,0))),""))</f>
        <v>post</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t="n">
        <v>46475</v>
      </c>
      <c r="B387" s="38" t="n">
        <v>0.729166666666667</v>
      </c>
      <c r="C387" s="10" t="s">
        <v>1244</v>
      </c>
      <c r="D387" s="10" t="s">
        <v>1122</v>
      </c>
      <c r="E387" s="0" t="n">
        <v>8</v>
      </c>
      <c r="G387" s="30" t="str">
        <f aca="false">IF($C387="","",IFERROR(IF(INDEX(links!$A$2:$A$501,MATCH($C387,links!$D$2:$D$501,0))="","",INDEX(links!$A$2:$A$501,MATCH($C387,links!$D$2:$D$501,0))),""))</f>
        <v>SAMPLE-CMP-008</v>
      </c>
      <c r="H387" s="30" t="str">
        <f aca="false">IF($C387="","",IFERROR(IF(INDEX(links!$B$2:$B$501,MATCH($C387,links!$D$2:$D$501,0))="","",INDEX(links!$B$2:$B$501,MATCH($C387,links!$D$2:$D$501,0))),""))</f>
        <v>SAMPLE-O-002</v>
      </c>
      <c r="I387" s="30" t="str">
        <f aca="false">IF($C387="","",IFERROR(IF(INDEX(links!$C$2:$C$501,MATCH($C387,links!$D$2:$D$501,0))="","",INDEX(links!$C$2:$C$501,MATCH($C387,links!$D$2:$D$501,0))),""))</f>
        <v>post</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t="n">
        <v>46468</v>
      </c>
      <c r="B388" s="38" t="n">
        <v>0.729166666666667</v>
      </c>
      <c r="C388" s="10" t="s">
        <v>1245</v>
      </c>
      <c r="D388" s="10" t="s">
        <v>1120</v>
      </c>
      <c r="E388" s="0" t="n">
        <v>1</v>
      </c>
      <c r="G388" s="30" t="str">
        <f aca="false">IF($C388="","",IFERROR(IF(INDEX(links!$A$2:$A$501,MATCH($C388,links!$D$2:$D$501,0))="","",INDEX(links!$A$2:$A$501,MATCH($C388,links!$D$2:$D$501,0))),""))</f>
        <v>SAMPLE-CMP-008</v>
      </c>
      <c r="H388" s="30" t="str">
        <f aca="false">IF($C388="","",IFERROR(IF(INDEX(links!$B$2:$B$501,MATCH($C388,links!$D$2:$D$501,0))="","",INDEX(links!$B$2:$B$501,MATCH($C388,links!$D$2:$D$501,0))),""))</f>
        <v>SAMPLE-O-003</v>
      </c>
      <c r="I388" s="30" t="str">
        <f aca="false">IF($C388="","",IFERROR(IF(INDEX(links!$C$2:$C$501,MATCH($C388,links!$D$2:$D$501,0))="","",INDEX(links!$C$2:$C$501,MATCH($C388,links!$D$2:$D$501,0))),""))</f>
        <v>qr</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t="n">
        <v>46471</v>
      </c>
      <c r="B389" s="38" t="n">
        <v>0.729166666666667</v>
      </c>
      <c r="C389" s="10" t="s">
        <v>1245</v>
      </c>
      <c r="D389" s="10" t="s">
        <v>1121</v>
      </c>
      <c r="E389" s="0" t="n">
        <v>3</v>
      </c>
      <c r="G389" s="30" t="str">
        <f aca="false">IF($C389="","",IFERROR(IF(INDEX(links!$A$2:$A$501,MATCH($C389,links!$D$2:$D$501,0))="","",INDEX(links!$A$2:$A$501,MATCH($C389,links!$D$2:$D$501,0))),""))</f>
        <v>SAMPLE-CMP-008</v>
      </c>
      <c r="H389" s="30" t="str">
        <f aca="false">IF($C389="","",IFERROR(IF(INDEX(links!$B$2:$B$501,MATCH($C389,links!$D$2:$D$501,0))="","",INDEX(links!$B$2:$B$501,MATCH($C389,links!$D$2:$D$501,0))),""))</f>
        <v>SAMPLE-O-003</v>
      </c>
      <c r="I389" s="30" t="str">
        <f aca="false">IF($C389="","",IFERROR(IF(INDEX(links!$C$2:$C$501,MATCH($C389,links!$D$2:$D$501,0))="","",INDEX(links!$C$2:$C$501,MATCH($C389,links!$D$2:$D$501,0))),""))</f>
        <v>qr</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t="n">
        <v>46475</v>
      </c>
      <c r="B390" s="38" t="n">
        <v>0.729166666666667</v>
      </c>
      <c r="C390" s="10" t="s">
        <v>1245</v>
      </c>
      <c r="D390" s="10" t="s">
        <v>1122</v>
      </c>
      <c r="E390" s="0" t="n">
        <v>7</v>
      </c>
      <c r="G390" s="30" t="str">
        <f aca="false">IF($C390="","",IFERROR(IF(INDEX(links!$A$2:$A$501,MATCH($C390,links!$D$2:$D$501,0))="","",INDEX(links!$A$2:$A$501,MATCH($C390,links!$D$2:$D$501,0))),""))</f>
        <v>SAMPLE-CMP-008</v>
      </c>
      <c r="H390" s="30" t="str">
        <f aca="false">IF($C390="","",IFERROR(IF(INDEX(links!$B$2:$B$501,MATCH($C390,links!$D$2:$D$501,0))="","",INDEX(links!$B$2:$B$501,MATCH($C390,links!$D$2:$D$501,0))),""))</f>
        <v>SAMPLE-O-003</v>
      </c>
      <c r="I390" s="30" t="str">
        <f aca="false">IF($C390="","",IFERROR(IF(INDEX(links!$C$2:$C$501,MATCH($C390,links!$D$2:$D$501,0))="","",INDEX(links!$C$2:$C$501,MATCH($C390,links!$D$2:$D$501,0))),""))</f>
        <v>qr</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t="n">
        <v>46468</v>
      </c>
      <c r="B391" s="38" t="n">
        <v>0.729166666666667</v>
      </c>
      <c r="C391" s="10" t="s">
        <v>1246</v>
      </c>
      <c r="D391" s="10" t="s">
        <v>1120</v>
      </c>
      <c r="E391" s="0" t="n">
        <v>1</v>
      </c>
      <c r="G391" s="30" t="str">
        <f aca="false">IF($C391="","",IFERROR(IF(INDEX(links!$A$2:$A$501,MATCH($C391,links!$D$2:$D$501,0))="","",INDEX(links!$A$2:$A$501,MATCH($C391,links!$D$2:$D$501,0))),""))</f>
        <v>SAMPLE-CMP-008</v>
      </c>
      <c r="H391" s="30" t="str">
        <f aca="false">IF($C391="","",IFERROR(IF(INDEX(links!$B$2:$B$501,MATCH($C391,links!$D$2:$D$501,0))="","",INDEX(links!$B$2:$B$501,MATCH($C391,links!$D$2:$D$501,0))),""))</f>
        <v>SAMPLE-O-003</v>
      </c>
      <c r="I391" s="30" t="str">
        <f aca="false">IF($C391="","",IFERROR(IF(INDEX(links!$C$2:$C$501,MATCH($C391,links!$D$2:$D$501,0))="","",INDEX(links!$C$2:$C$501,MATCH($C391,links!$D$2:$D$501,0))),""))</f>
        <v>post</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t="n">
        <v>46471</v>
      </c>
      <c r="B392" s="38" t="n">
        <v>0.729166666666667</v>
      </c>
      <c r="C392" s="10" t="s">
        <v>1246</v>
      </c>
      <c r="D392" s="10" t="s">
        <v>1121</v>
      </c>
      <c r="E392" s="0" t="n">
        <v>5</v>
      </c>
      <c r="G392" s="30" t="str">
        <f aca="false">IF($C392="","",IFERROR(IF(INDEX(links!$A$2:$A$501,MATCH($C392,links!$D$2:$D$501,0))="","",INDEX(links!$A$2:$A$501,MATCH($C392,links!$D$2:$D$501,0))),""))</f>
        <v>SAMPLE-CMP-008</v>
      </c>
      <c r="H392" s="30" t="str">
        <f aca="false">IF($C392="","",IFERROR(IF(INDEX(links!$B$2:$B$501,MATCH($C392,links!$D$2:$D$501,0))="","",INDEX(links!$B$2:$B$501,MATCH($C392,links!$D$2:$D$501,0))),""))</f>
        <v>SAMPLE-O-003</v>
      </c>
      <c r="I392" s="30" t="str">
        <f aca="false">IF($C392="","",IFERROR(IF(INDEX(links!$C$2:$C$501,MATCH($C392,links!$D$2:$D$501,0))="","",INDEX(links!$C$2:$C$501,MATCH($C392,links!$D$2:$D$501,0))),""))</f>
        <v>post</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t="n">
        <v>46475</v>
      </c>
      <c r="B393" s="38" t="n">
        <v>0.729166666666667</v>
      </c>
      <c r="C393" s="10" t="s">
        <v>1246</v>
      </c>
      <c r="D393" s="10" t="s">
        <v>1122</v>
      </c>
      <c r="E393" s="0" t="n">
        <v>10</v>
      </c>
      <c r="G393" s="30" t="str">
        <f aca="false">IF($C393="","",IFERROR(IF(INDEX(links!$A$2:$A$501,MATCH($C393,links!$D$2:$D$501,0))="","",INDEX(links!$A$2:$A$501,MATCH($C393,links!$D$2:$D$501,0))),""))</f>
        <v>SAMPLE-CMP-008</v>
      </c>
      <c r="H393" s="30" t="str">
        <f aca="false">IF($C393="","",IFERROR(IF(INDEX(links!$B$2:$B$501,MATCH($C393,links!$D$2:$D$501,0))="","",INDEX(links!$B$2:$B$501,MATCH($C393,links!$D$2:$D$501,0))),""))</f>
        <v>SAMPLE-O-003</v>
      </c>
      <c r="I393" s="30" t="str">
        <f aca="false">IF($C393="","",IFERROR(IF(INDEX(links!$C$2:$C$501,MATCH($C393,links!$D$2:$D$501,0))="","",INDEX(links!$C$2:$C$501,MATCH($C393,links!$D$2:$D$501,0))),""))</f>
        <v>post</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t="n">
        <v>46468</v>
      </c>
      <c r="B394" s="38" t="n">
        <v>0.729166666666667</v>
      </c>
      <c r="C394" s="10" t="s">
        <v>1247</v>
      </c>
      <c r="D394" s="10" t="s">
        <v>1120</v>
      </c>
      <c r="E394" s="0" t="n">
        <v>1</v>
      </c>
      <c r="G394" s="30" t="str">
        <f aca="false">IF($C394="","",IFERROR(IF(INDEX(links!$A$2:$A$501,MATCH($C394,links!$D$2:$D$501,0))="","",INDEX(links!$A$2:$A$501,MATCH($C394,links!$D$2:$D$501,0))),""))</f>
        <v>SAMPLE-CMP-008</v>
      </c>
      <c r="H394" s="30" t="str">
        <f aca="false">IF($C394="","",IFERROR(IF(INDEX(links!$B$2:$B$501,MATCH($C394,links!$D$2:$D$501,0))="","",INDEX(links!$B$2:$B$501,MATCH($C394,links!$D$2:$D$501,0))),""))</f>
        <v>SAMPLE-O-004</v>
      </c>
      <c r="I394" s="30" t="str">
        <f aca="false">IF($C394="","",IFERROR(IF(INDEX(links!$C$2:$C$501,MATCH($C394,links!$D$2:$D$501,0))="","",INDEX(links!$C$2:$C$501,MATCH($C394,links!$D$2:$D$501,0))),""))</f>
        <v>qr</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t="n">
        <v>46471</v>
      </c>
      <c r="B395" s="38" t="n">
        <v>0.729166666666667</v>
      </c>
      <c r="C395" s="10" t="s">
        <v>1247</v>
      </c>
      <c r="D395" s="10" t="s">
        <v>1121</v>
      </c>
      <c r="E395" s="0" t="n">
        <v>4</v>
      </c>
      <c r="G395" s="30" t="str">
        <f aca="false">IF($C395="","",IFERROR(IF(INDEX(links!$A$2:$A$501,MATCH($C395,links!$D$2:$D$501,0))="","",INDEX(links!$A$2:$A$501,MATCH($C395,links!$D$2:$D$501,0))),""))</f>
        <v>SAMPLE-CMP-008</v>
      </c>
      <c r="H395" s="30" t="str">
        <f aca="false">IF($C395="","",IFERROR(IF(INDEX(links!$B$2:$B$501,MATCH($C395,links!$D$2:$D$501,0))="","",INDEX(links!$B$2:$B$501,MATCH($C395,links!$D$2:$D$501,0))),""))</f>
        <v>SAMPLE-O-004</v>
      </c>
      <c r="I395" s="30" t="str">
        <f aca="false">IF($C395="","",IFERROR(IF(INDEX(links!$C$2:$C$501,MATCH($C395,links!$D$2:$D$501,0))="","",INDEX(links!$C$2:$C$501,MATCH($C395,links!$D$2:$D$501,0))),""))</f>
        <v>qr</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t="n">
        <v>46475</v>
      </c>
      <c r="B396" s="38" t="n">
        <v>0.729166666666667</v>
      </c>
      <c r="C396" s="10" t="s">
        <v>1247</v>
      </c>
      <c r="D396" s="10" t="s">
        <v>1122</v>
      </c>
      <c r="E396" s="0" t="n">
        <v>9</v>
      </c>
      <c r="G396" s="30" t="str">
        <f aca="false">IF($C396="","",IFERROR(IF(INDEX(links!$A$2:$A$501,MATCH($C396,links!$D$2:$D$501,0))="","",INDEX(links!$A$2:$A$501,MATCH($C396,links!$D$2:$D$501,0))),""))</f>
        <v>SAMPLE-CMP-008</v>
      </c>
      <c r="H396" s="30" t="str">
        <f aca="false">IF($C396="","",IFERROR(IF(INDEX(links!$B$2:$B$501,MATCH($C396,links!$D$2:$D$501,0))="","",INDEX(links!$B$2:$B$501,MATCH($C396,links!$D$2:$D$501,0))),""))</f>
        <v>SAMPLE-O-004</v>
      </c>
      <c r="I396" s="30" t="str">
        <f aca="false">IF($C396="","",IFERROR(IF(INDEX(links!$C$2:$C$501,MATCH($C396,links!$D$2:$D$501,0))="","",INDEX(links!$C$2:$C$501,MATCH($C396,links!$D$2:$D$501,0))),""))</f>
        <v>qr</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t="n">
        <v>46468</v>
      </c>
      <c r="B397" s="38" t="n">
        <v>0.729166666666667</v>
      </c>
      <c r="C397" s="10" t="s">
        <v>1248</v>
      </c>
      <c r="D397" s="10" t="s">
        <v>1120</v>
      </c>
      <c r="E397" s="0" t="n">
        <v>1</v>
      </c>
      <c r="G397" s="30" t="str">
        <f aca="false">IF($C397="","",IFERROR(IF(INDEX(links!$A$2:$A$501,MATCH($C397,links!$D$2:$D$501,0))="","",INDEX(links!$A$2:$A$501,MATCH($C397,links!$D$2:$D$501,0))),""))</f>
        <v>SAMPLE-CMP-008</v>
      </c>
      <c r="H397" s="30" t="str">
        <f aca="false">IF($C397="","",IFERROR(IF(INDEX(links!$B$2:$B$501,MATCH($C397,links!$D$2:$D$501,0))="","",INDEX(links!$B$2:$B$501,MATCH($C397,links!$D$2:$D$501,0))),""))</f>
        <v>SAMPLE-O-004</v>
      </c>
      <c r="I397" s="30" t="str">
        <f aca="false">IF($C397="","",IFERROR(IF(INDEX(links!$C$2:$C$501,MATCH($C397,links!$D$2:$D$501,0))="","",INDEX(links!$C$2:$C$501,MATCH($C397,links!$D$2:$D$501,0))),""))</f>
        <v>post</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t="n">
        <v>46471</v>
      </c>
      <c r="B398" s="38" t="n">
        <v>0.729166666666667</v>
      </c>
      <c r="C398" s="10" t="s">
        <v>1248</v>
      </c>
      <c r="D398" s="10" t="s">
        <v>1121</v>
      </c>
      <c r="E398" s="0" t="n">
        <v>6</v>
      </c>
      <c r="G398" s="30" t="str">
        <f aca="false">IF($C398="","",IFERROR(IF(INDEX(links!$A$2:$A$501,MATCH($C398,links!$D$2:$D$501,0))="","",INDEX(links!$A$2:$A$501,MATCH($C398,links!$D$2:$D$501,0))),""))</f>
        <v>SAMPLE-CMP-008</v>
      </c>
      <c r="H398" s="30" t="str">
        <f aca="false">IF($C398="","",IFERROR(IF(INDEX(links!$B$2:$B$501,MATCH($C398,links!$D$2:$D$501,0))="","",INDEX(links!$B$2:$B$501,MATCH($C398,links!$D$2:$D$501,0))),""))</f>
        <v>SAMPLE-O-004</v>
      </c>
      <c r="I398" s="30" t="str">
        <f aca="false">IF($C398="","",IFERROR(IF(INDEX(links!$C$2:$C$501,MATCH($C398,links!$D$2:$D$501,0))="","",INDEX(links!$C$2:$C$501,MATCH($C398,links!$D$2:$D$501,0))),""))</f>
        <v>post</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t="n">
        <v>46475</v>
      </c>
      <c r="B399" s="38" t="n">
        <v>0.729166666666667</v>
      </c>
      <c r="C399" s="10" t="s">
        <v>1248</v>
      </c>
      <c r="D399" s="10" t="s">
        <v>1122</v>
      </c>
      <c r="E399" s="0" t="n">
        <v>12</v>
      </c>
      <c r="G399" s="30" t="str">
        <f aca="false">IF($C399="","",IFERROR(IF(INDEX(links!$A$2:$A$501,MATCH($C399,links!$D$2:$D$501,0))="","",INDEX(links!$A$2:$A$501,MATCH($C399,links!$D$2:$D$501,0))),""))</f>
        <v>SAMPLE-CMP-008</v>
      </c>
      <c r="H399" s="30" t="str">
        <f aca="false">IF($C399="","",IFERROR(IF(INDEX(links!$B$2:$B$501,MATCH($C399,links!$D$2:$D$501,0))="","",INDEX(links!$B$2:$B$501,MATCH($C399,links!$D$2:$D$501,0))),""))</f>
        <v>SAMPLE-O-004</v>
      </c>
      <c r="I399" s="30" t="str">
        <f aca="false">IF($C399="","",IFERROR(IF(INDEX(links!$C$2:$C$501,MATCH($C399,links!$D$2:$D$501,0))="","",INDEX(links!$C$2:$C$501,MATCH($C399,links!$D$2:$D$501,0))),""))</f>
        <v>post</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t="n">
        <v>46468</v>
      </c>
      <c r="B400" s="38" t="n">
        <v>0.729166666666667</v>
      </c>
      <c r="C400" s="10" t="s">
        <v>1249</v>
      </c>
      <c r="D400" s="10" t="s">
        <v>1120</v>
      </c>
      <c r="E400" s="0" t="n">
        <v>1</v>
      </c>
      <c r="G400" s="30" t="str">
        <f aca="false">IF($C400="","",IFERROR(IF(INDEX(links!$A$2:$A$501,MATCH($C400,links!$D$2:$D$501,0))="","",INDEX(links!$A$2:$A$501,MATCH($C400,links!$D$2:$D$501,0))),""))</f>
        <v>SAMPLE-CMP-008</v>
      </c>
      <c r="H400" s="30" t="str">
        <f aca="false">IF($C400="","",IFERROR(IF(INDEX(links!$B$2:$B$501,MATCH($C400,links!$D$2:$D$501,0))="","",INDEX(links!$B$2:$B$501,MATCH($C400,links!$D$2:$D$501,0))),""))</f>
        <v>SAMPLE-O-005</v>
      </c>
      <c r="I400" s="30" t="str">
        <f aca="false">IF($C400="","",IFERROR(IF(INDEX(links!$C$2:$C$501,MATCH($C400,links!$D$2:$D$501,0))="","",INDEX(links!$C$2:$C$501,MATCH($C400,links!$D$2:$D$501,0))),""))</f>
        <v>qr</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t="n">
        <v>46471</v>
      </c>
      <c r="B401" s="38" t="n">
        <v>0.729166666666667</v>
      </c>
      <c r="C401" s="10" t="s">
        <v>1249</v>
      </c>
      <c r="D401" s="10" t="s">
        <v>1121</v>
      </c>
      <c r="E401" s="0" t="n">
        <v>5</v>
      </c>
      <c r="G401" s="30" t="str">
        <f aca="false">IF($C401="","",IFERROR(IF(INDEX(links!$A$2:$A$501,MATCH($C401,links!$D$2:$D$501,0))="","",INDEX(links!$A$2:$A$501,MATCH($C401,links!$D$2:$D$501,0))),""))</f>
        <v>SAMPLE-CMP-008</v>
      </c>
      <c r="H401" s="30" t="str">
        <f aca="false">IF($C401="","",IFERROR(IF(INDEX(links!$B$2:$B$501,MATCH($C401,links!$D$2:$D$501,0))="","",INDEX(links!$B$2:$B$501,MATCH($C401,links!$D$2:$D$501,0))),""))</f>
        <v>SAMPLE-O-005</v>
      </c>
      <c r="I401" s="30" t="str">
        <f aca="false">IF($C401="","",IFERROR(IF(INDEX(links!$C$2:$C$501,MATCH($C401,links!$D$2:$D$501,0))="","",INDEX(links!$C$2:$C$501,MATCH($C401,links!$D$2:$D$501,0))),""))</f>
        <v>qr</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t="n">
        <v>46475</v>
      </c>
      <c r="B402" s="38" t="n">
        <v>0.729166666666667</v>
      </c>
      <c r="C402" s="10" t="s">
        <v>1249</v>
      </c>
      <c r="D402" s="10" t="s">
        <v>1122</v>
      </c>
      <c r="E402" s="0" t="n">
        <v>11</v>
      </c>
      <c r="G402" s="30" t="str">
        <f aca="false">IF($C402="","",IFERROR(IF(INDEX(links!$A$2:$A$501,MATCH($C402,links!$D$2:$D$501,0))="","",INDEX(links!$A$2:$A$501,MATCH($C402,links!$D$2:$D$501,0))),""))</f>
        <v>SAMPLE-CMP-008</v>
      </c>
      <c r="H402" s="30" t="str">
        <f aca="false">IF($C402="","",IFERROR(IF(INDEX(links!$B$2:$B$501,MATCH($C402,links!$D$2:$D$501,0))="","",INDEX(links!$B$2:$B$501,MATCH($C402,links!$D$2:$D$501,0))),""))</f>
        <v>SAMPLE-O-005</v>
      </c>
      <c r="I402" s="30" t="str">
        <f aca="false">IF($C402="","",IFERROR(IF(INDEX(links!$C$2:$C$501,MATCH($C402,links!$D$2:$D$501,0))="","",INDEX(links!$C$2:$C$501,MATCH($C402,links!$D$2:$D$501,0))),""))</f>
        <v>qr</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t="n">
        <v>46468</v>
      </c>
      <c r="B403" s="38" t="n">
        <v>0.729166666666667</v>
      </c>
      <c r="C403" s="10" t="s">
        <v>1250</v>
      </c>
      <c r="D403" s="10" t="s">
        <v>1120</v>
      </c>
      <c r="E403" s="0" t="n">
        <v>1</v>
      </c>
      <c r="G403" s="30" t="str">
        <f aca="false">IF($C403="","",IFERROR(IF(INDEX(links!$A$2:$A$501,MATCH($C403,links!$D$2:$D$501,0))="","",INDEX(links!$A$2:$A$501,MATCH($C403,links!$D$2:$D$501,0))),""))</f>
        <v>SAMPLE-CMP-008</v>
      </c>
      <c r="H403" s="30" t="str">
        <f aca="false">IF($C403="","",IFERROR(IF(INDEX(links!$B$2:$B$501,MATCH($C403,links!$D$2:$D$501,0))="","",INDEX(links!$B$2:$B$501,MATCH($C403,links!$D$2:$D$501,0))),""))</f>
        <v>SAMPLE-O-005</v>
      </c>
      <c r="I403" s="30" t="str">
        <f aca="false">IF($C403="","",IFERROR(IF(INDEX(links!$C$2:$C$501,MATCH($C403,links!$D$2:$D$501,0))="","",INDEX(links!$C$2:$C$501,MATCH($C403,links!$D$2:$D$501,0))),""))</f>
        <v>post</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t="n">
        <v>46471</v>
      </c>
      <c r="B404" s="38" t="n">
        <v>0.729166666666667</v>
      </c>
      <c r="C404" s="10" t="s">
        <v>1250</v>
      </c>
      <c r="D404" s="10" t="s">
        <v>1121</v>
      </c>
      <c r="E404" s="0" t="n">
        <v>2</v>
      </c>
      <c r="G404" s="30" t="str">
        <f aca="false">IF($C404="","",IFERROR(IF(INDEX(links!$A$2:$A$501,MATCH($C404,links!$D$2:$D$501,0))="","",INDEX(links!$A$2:$A$501,MATCH($C404,links!$D$2:$D$501,0))),""))</f>
        <v>SAMPLE-CMP-008</v>
      </c>
      <c r="H404" s="30" t="str">
        <f aca="false">IF($C404="","",IFERROR(IF(INDEX(links!$B$2:$B$501,MATCH($C404,links!$D$2:$D$501,0))="","",INDEX(links!$B$2:$B$501,MATCH($C404,links!$D$2:$D$501,0))),""))</f>
        <v>SAMPLE-O-005</v>
      </c>
      <c r="I404" s="30" t="str">
        <f aca="false">IF($C404="","",IFERROR(IF(INDEX(links!$C$2:$C$501,MATCH($C404,links!$D$2:$D$501,0))="","",INDEX(links!$C$2:$C$501,MATCH($C404,links!$D$2:$D$501,0))),""))</f>
        <v>post</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t="n">
        <v>46475</v>
      </c>
      <c r="B405" s="38" t="n">
        <v>0.729166666666667</v>
      </c>
      <c r="C405" s="10" t="s">
        <v>1250</v>
      </c>
      <c r="D405" s="10" t="s">
        <v>1122</v>
      </c>
      <c r="E405" s="0" t="n">
        <v>4</v>
      </c>
      <c r="G405" s="30" t="str">
        <f aca="false">IF($C405="","",IFERROR(IF(INDEX(links!$A$2:$A$501,MATCH($C405,links!$D$2:$D$501,0))="","",INDEX(links!$A$2:$A$501,MATCH($C405,links!$D$2:$D$501,0))),""))</f>
        <v>SAMPLE-CMP-008</v>
      </c>
      <c r="H405" s="30" t="str">
        <f aca="false">IF($C405="","",IFERROR(IF(INDEX(links!$B$2:$B$501,MATCH($C405,links!$D$2:$D$501,0))="","",INDEX(links!$B$2:$B$501,MATCH($C405,links!$D$2:$D$501,0))),""))</f>
        <v>SAMPLE-O-005</v>
      </c>
      <c r="I405" s="30" t="str">
        <f aca="false">IF($C405="","",IFERROR(IF(INDEX(links!$C$2:$C$501,MATCH($C405,links!$D$2:$D$501,0))="","",INDEX(links!$C$2:$C$501,MATCH($C405,links!$D$2:$D$501,0))),""))</f>
        <v>post</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t="n">
        <v>46468</v>
      </c>
      <c r="B406" s="38" t="n">
        <v>0.729166666666667</v>
      </c>
      <c r="C406" s="10" t="s">
        <v>1251</v>
      </c>
      <c r="D406" s="10" t="s">
        <v>1120</v>
      </c>
      <c r="E406" s="0" t="n">
        <v>1</v>
      </c>
      <c r="G406" s="30" t="str">
        <f aca="false">IF($C406="","",IFERROR(IF(INDEX(links!$A$2:$A$501,MATCH($C406,links!$D$2:$D$501,0))="","",INDEX(links!$A$2:$A$501,MATCH($C406,links!$D$2:$D$501,0))),""))</f>
        <v>SAMPLE-CMP-008</v>
      </c>
      <c r="H406" s="30" t="str">
        <f aca="false">IF($C406="","",IFERROR(IF(INDEX(links!$B$2:$B$501,MATCH($C406,links!$D$2:$D$501,0))="","",INDEX(links!$B$2:$B$501,MATCH($C406,links!$D$2:$D$501,0))),""))</f>
        <v>SAMPLE-O-006</v>
      </c>
      <c r="I406" s="30" t="str">
        <f aca="false">IF($C406="","",IFERROR(IF(INDEX(links!$C$2:$C$501,MATCH($C406,links!$D$2:$D$501,0))="","",INDEX(links!$C$2:$C$501,MATCH($C406,links!$D$2:$D$501,0))),""))</f>
        <v>qr</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t="n">
        <v>46471</v>
      </c>
      <c r="B407" s="38" t="n">
        <v>0.729166666666667</v>
      </c>
      <c r="C407" s="10" t="s">
        <v>1251</v>
      </c>
      <c r="D407" s="10" t="s">
        <v>1121</v>
      </c>
      <c r="E407" s="0" t="n">
        <v>6</v>
      </c>
      <c r="G407" s="30" t="str">
        <f aca="false">IF($C407="","",IFERROR(IF(INDEX(links!$A$2:$A$501,MATCH($C407,links!$D$2:$D$501,0))="","",INDEX(links!$A$2:$A$501,MATCH($C407,links!$D$2:$D$501,0))),""))</f>
        <v>SAMPLE-CMP-008</v>
      </c>
      <c r="H407" s="30" t="str">
        <f aca="false">IF($C407="","",IFERROR(IF(INDEX(links!$B$2:$B$501,MATCH($C407,links!$D$2:$D$501,0))="","",INDEX(links!$B$2:$B$501,MATCH($C407,links!$D$2:$D$501,0))),""))</f>
        <v>SAMPLE-O-006</v>
      </c>
      <c r="I407" s="30" t="str">
        <f aca="false">IF($C407="","",IFERROR(IF(INDEX(links!$C$2:$C$501,MATCH($C407,links!$D$2:$D$501,0))="","",INDEX(links!$C$2:$C$501,MATCH($C407,links!$D$2:$D$501,0))),""))</f>
        <v>qr</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t="n">
        <v>46475</v>
      </c>
      <c r="B408" s="38" t="n">
        <v>0.729166666666667</v>
      </c>
      <c r="C408" s="10" t="s">
        <v>1251</v>
      </c>
      <c r="D408" s="10" t="s">
        <v>1122</v>
      </c>
      <c r="E408" s="0" t="n">
        <v>13</v>
      </c>
      <c r="G408" s="30" t="str">
        <f aca="false">IF($C408="","",IFERROR(IF(INDEX(links!$A$2:$A$501,MATCH($C408,links!$D$2:$D$501,0))="","",INDEX(links!$A$2:$A$501,MATCH($C408,links!$D$2:$D$501,0))),""))</f>
        <v>SAMPLE-CMP-008</v>
      </c>
      <c r="H408" s="30" t="str">
        <f aca="false">IF($C408="","",IFERROR(IF(INDEX(links!$B$2:$B$501,MATCH($C408,links!$D$2:$D$501,0))="","",INDEX(links!$B$2:$B$501,MATCH($C408,links!$D$2:$D$501,0))),""))</f>
        <v>SAMPLE-O-006</v>
      </c>
      <c r="I408" s="30" t="str">
        <f aca="false">IF($C408="","",IFERROR(IF(INDEX(links!$C$2:$C$501,MATCH($C408,links!$D$2:$D$501,0))="","",INDEX(links!$C$2:$C$501,MATCH($C408,links!$D$2:$D$501,0))),""))</f>
        <v>qr</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t="n">
        <v>46468</v>
      </c>
      <c r="B409" s="38" t="n">
        <v>0.729166666666667</v>
      </c>
      <c r="C409" s="10" t="s">
        <v>1252</v>
      </c>
      <c r="D409" s="10" t="s">
        <v>1120</v>
      </c>
      <c r="E409" s="0" t="n">
        <v>1</v>
      </c>
      <c r="G409" s="30" t="str">
        <f aca="false">IF($C409="","",IFERROR(IF(INDEX(links!$A$2:$A$501,MATCH($C409,links!$D$2:$D$501,0))="","",INDEX(links!$A$2:$A$501,MATCH($C409,links!$D$2:$D$501,0))),""))</f>
        <v>SAMPLE-CMP-008</v>
      </c>
      <c r="H409" s="30" t="str">
        <f aca="false">IF($C409="","",IFERROR(IF(INDEX(links!$B$2:$B$501,MATCH($C409,links!$D$2:$D$501,0))="","",INDEX(links!$B$2:$B$501,MATCH($C409,links!$D$2:$D$501,0))),""))</f>
        <v>SAMPLE-O-006</v>
      </c>
      <c r="I409" s="30" t="str">
        <f aca="false">IF($C409="","",IFERROR(IF(INDEX(links!$C$2:$C$501,MATCH($C409,links!$D$2:$D$501,0))="","",INDEX(links!$C$2:$C$501,MATCH($C409,links!$D$2:$D$501,0))),""))</f>
        <v>post</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t="n">
        <v>46471</v>
      </c>
      <c r="B410" s="38" t="n">
        <v>0.729166666666667</v>
      </c>
      <c r="C410" s="10" t="s">
        <v>1252</v>
      </c>
      <c r="D410" s="10" t="s">
        <v>1121</v>
      </c>
      <c r="E410" s="0" t="n">
        <v>3</v>
      </c>
      <c r="G410" s="30" t="str">
        <f aca="false">IF($C410="","",IFERROR(IF(INDEX(links!$A$2:$A$501,MATCH($C410,links!$D$2:$D$501,0))="","",INDEX(links!$A$2:$A$501,MATCH($C410,links!$D$2:$D$501,0))),""))</f>
        <v>SAMPLE-CMP-008</v>
      </c>
      <c r="H410" s="30" t="str">
        <f aca="false">IF($C410="","",IFERROR(IF(INDEX(links!$B$2:$B$501,MATCH($C410,links!$D$2:$D$501,0))="","",INDEX(links!$B$2:$B$501,MATCH($C410,links!$D$2:$D$501,0))),""))</f>
        <v>SAMPLE-O-006</v>
      </c>
      <c r="I410" s="30" t="str">
        <f aca="false">IF($C410="","",IFERROR(IF(INDEX(links!$C$2:$C$501,MATCH($C410,links!$D$2:$D$501,0))="","",INDEX(links!$C$2:$C$501,MATCH($C410,links!$D$2:$D$501,0))),""))</f>
        <v>post</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t="n">
        <v>46475</v>
      </c>
      <c r="B411" s="38" t="n">
        <v>0.729166666666667</v>
      </c>
      <c r="C411" s="10" t="s">
        <v>1252</v>
      </c>
      <c r="D411" s="10" t="s">
        <v>1122</v>
      </c>
      <c r="E411" s="0" t="n">
        <v>6</v>
      </c>
      <c r="G411" s="30" t="str">
        <f aca="false">IF($C411="","",IFERROR(IF(INDEX(links!$A$2:$A$501,MATCH($C411,links!$D$2:$D$501,0))="","",INDEX(links!$A$2:$A$501,MATCH($C411,links!$D$2:$D$501,0))),""))</f>
        <v>SAMPLE-CMP-008</v>
      </c>
      <c r="H411" s="30" t="str">
        <f aca="false">IF($C411="","",IFERROR(IF(INDEX(links!$B$2:$B$501,MATCH($C411,links!$D$2:$D$501,0))="","",INDEX(links!$B$2:$B$501,MATCH($C411,links!$D$2:$D$501,0))),""))</f>
        <v>SAMPLE-O-006</v>
      </c>
      <c r="I411" s="30" t="str">
        <f aca="false">IF($C411="","",IFERROR(IF(INDEX(links!$C$2:$C$501,MATCH($C411,links!$D$2:$D$501,0))="","",INDEX(links!$C$2:$C$501,MATCH($C411,links!$D$2:$D$501,0))),""))</f>
        <v>post</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t="n">
        <v>46468</v>
      </c>
      <c r="B412" s="38" t="n">
        <v>0.729166666666667</v>
      </c>
      <c r="C412" s="10" t="s">
        <v>1253</v>
      </c>
      <c r="D412" s="10" t="s">
        <v>1120</v>
      </c>
      <c r="E412" s="0" t="n">
        <v>1</v>
      </c>
      <c r="G412" s="30" t="str">
        <f aca="false">IF($C412="","",IFERROR(IF(INDEX(links!$A$2:$A$501,MATCH($C412,links!$D$2:$D$501,0))="","",INDEX(links!$A$2:$A$501,MATCH($C412,links!$D$2:$D$501,0))),""))</f>
        <v>SAMPLE-CMP-008</v>
      </c>
      <c r="H412" s="30" t="str">
        <f aca="false">IF($C412="","",IFERROR(IF(INDEX(links!$B$2:$B$501,MATCH($C412,links!$D$2:$D$501,0))="","",INDEX(links!$B$2:$B$501,MATCH($C412,links!$D$2:$D$501,0))),""))</f>
        <v>SAMPLE-O-007</v>
      </c>
      <c r="I412" s="30" t="str">
        <f aca="false">IF($C412="","",IFERROR(IF(INDEX(links!$C$2:$C$501,MATCH($C412,links!$D$2:$D$501,0))="","",INDEX(links!$C$2:$C$501,MATCH($C412,links!$D$2:$D$501,0))),""))</f>
        <v>qr</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t="n">
        <v>46471</v>
      </c>
      <c r="B413" s="38" t="n">
        <v>0.729166666666667</v>
      </c>
      <c r="C413" s="10" t="s">
        <v>1253</v>
      </c>
      <c r="D413" s="10" t="s">
        <v>1121</v>
      </c>
      <c r="E413" s="0" t="n">
        <v>2</v>
      </c>
      <c r="G413" s="30" t="str">
        <f aca="false">IF($C413="","",IFERROR(IF(INDEX(links!$A$2:$A$501,MATCH($C413,links!$D$2:$D$501,0))="","",INDEX(links!$A$2:$A$501,MATCH($C413,links!$D$2:$D$501,0))),""))</f>
        <v>SAMPLE-CMP-008</v>
      </c>
      <c r="H413" s="30" t="str">
        <f aca="false">IF($C413="","",IFERROR(IF(INDEX(links!$B$2:$B$501,MATCH($C413,links!$D$2:$D$501,0))="","",INDEX(links!$B$2:$B$501,MATCH($C413,links!$D$2:$D$501,0))),""))</f>
        <v>SAMPLE-O-007</v>
      </c>
      <c r="I413" s="30" t="str">
        <f aca="false">IF($C413="","",IFERROR(IF(INDEX(links!$C$2:$C$501,MATCH($C413,links!$D$2:$D$501,0))="","",INDEX(links!$C$2:$C$501,MATCH($C413,links!$D$2:$D$501,0))),""))</f>
        <v>qr</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t="n">
        <v>46475</v>
      </c>
      <c r="B414" s="38" t="n">
        <v>0.729166666666667</v>
      </c>
      <c r="C414" s="10" t="s">
        <v>1253</v>
      </c>
      <c r="D414" s="10" t="s">
        <v>1122</v>
      </c>
      <c r="E414" s="0" t="n">
        <v>5</v>
      </c>
      <c r="G414" s="30" t="str">
        <f aca="false">IF($C414="","",IFERROR(IF(INDEX(links!$A$2:$A$501,MATCH($C414,links!$D$2:$D$501,0))="","",INDEX(links!$A$2:$A$501,MATCH($C414,links!$D$2:$D$501,0))),""))</f>
        <v>SAMPLE-CMP-008</v>
      </c>
      <c r="H414" s="30" t="str">
        <f aca="false">IF($C414="","",IFERROR(IF(INDEX(links!$B$2:$B$501,MATCH($C414,links!$D$2:$D$501,0))="","",INDEX(links!$B$2:$B$501,MATCH($C414,links!$D$2:$D$501,0))),""))</f>
        <v>SAMPLE-O-007</v>
      </c>
      <c r="I414" s="30" t="str">
        <f aca="false">IF($C414="","",IFERROR(IF(INDEX(links!$C$2:$C$501,MATCH($C414,links!$D$2:$D$501,0))="","",INDEX(links!$C$2:$C$501,MATCH($C414,links!$D$2:$D$501,0))),""))</f>
        <v>qr</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t="n">
        <v>46468</v>
      </c>
      <c r="B415" s="38" t="n">
        <v>0.729166666666667</v>
      </c>
      <c r="C415" s="10" t="s">
        <v>1254</v>
      </c>
      <c r="D415" s="10" t="s">
        <v>1120</v>
      </c>
      <c r="E415" s="0" t="n">
        <v>1</v>
      </c>
      <c r="G415" s="30" t="str">
        <f aca="false">IF($C415="","",IFERROR(IF(INDEX(links!$A$2:$A$501,MATCH($C415,links!$D$2:$D$501,0))="","",INDEX(links!$A$2:$A$501,MATCH($C415,links!$D$2:$D$501,0))),""))</f>
        <v>SAMPLE-CMP-008</v>
      </c>
      <c r="H415" s="30" t="str">
        <f aca="false">IF($C415="","",IFERROR(IF(INDEX(links!$B$2:$B$501,MATCH($C415,links!$D$2:$D$501,0))="","",INDEX(links!$B$2:$B$501,MATCH($C415,links!$D$2:$D$501,0))),""))</f>
        <v>SAMPLE-O-007</v>
      </c>
      <c r="I415" s="30" t="str">
        <f aca="false">IF($C415="","",IFERROR(IF(INDEX(links!$C$2:$C$501,MATCH($C415,links!$D$2:$D$501,0))="","",INDEX(links!$C$2:$C$501,MATCH($C415,links!$D$2:$D$501,0))),""))</f>
        <v>post</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t="n">
        <v>46471</v>
      </c>
      <c r="B416" s="38" t="n">
        <v>0.729166666666667</v>
      </c>
      <c r="C416" s="10" t="s">
        <v>1254</v>
      </c>
      <c r="D416" s="10" t="s">
        <v>1121</v>
      </c>
      <c r="E416" s="0" t="n">
        <v>4</v>
      </c>
      <c r="G416" s="30" t="str">
        <f aca="false">IF($C416="","",IFERROR(IF(INDEX(links!$A$2:$A$501,MATCH($C416,links!$D$2:$D$501,0))="","",INDEX(links!$A$2:$A$501,MATCH($C416,links!$D$2:$D$501,0))),""))</f>
        <v>SAMPLE-CMP-008</v>
      </c>
      <c r="H416" s="30" t="str">
        <f aca="false">IF($C416="","",IFERROR(IF(INDEX(links!$B$2:$B$501,MATCH($C416,links!$D$2:$D$501,0))="","",INDEX(links!$B$2:$B$501,MATCH($C416,links!$D$2:$D$501,0))),""))</f>
        <v>SAMPLE-O-007</v>
      </c>
      <c r="I416" s="30" t="str">
        <f aca="false">IF($C416="","",IFERROR(IF(INDEX(links!$C$2:$C$501,MATCH($C416,links!$D$2:$D$501,0))="","",INDEX(links!$C$2:$C$501,MATCH($C416,links!$D$2:$D$501,0))),""))</f>
        <v>post</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t="n">
        <v>46475</v>
      </c>
      <c r="B417" s="38" t="n">
        <v>0.729166666666667</v>
      </c>
      <c r="C417" s="10" t="s">
        <v>1254</v>
      </c>
      <c r="D417" s="10" t="s">
        <v>1122</v>
      </c>
      <c r="E417" s="0" t="n">
        <v>8</v>
      </c>
      <c r="G417" s="30" t="str">
        <f aca="false">IF($C417="","",IFERROR(IF(INDEX(links!$A$2:$A$501,MATCH($C417,links!$D$2:$D$501,0))="","",INDEX(links!$A$2:$A$501,MATCH($C417,links!$D$2:$D$501,0))),""))</f>
        <v>SAMPLE-CMP-008</v>
      </c>
      <c r="H417" s="30" t="str">
        <f aca="false">IF($C417="","",IFERROR(IF(INDEX(links!$B$2:$B$501,MATCH($C417,links!$D$2:$D$501,0))="","",INDEX(links!$B$2:$B$501,MATCH($C417,links!$D$2:$D$501,0))),""))</f>
        <v>SAMPLE-O-007</v>
      </c>
      <c r="I417" s="30" t="str">
        <f aca="false">IF($C417="","",IFERROR(IF(INDEX(links!$C$2:$C$501,MATCH($C417,links!$D$2:$D$501,0))="","",INDEX(links!$C$2:$C$501,MATCH($C417,links!$D$2:$D$501,0))),""))</f>
        <v>post</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t="n">
        <v>46468</v>
      </c>
      <c r="B418" s="38" t="n">
        <v>0.729166666666667</v>
      </c>
      <c r="C418" s="10" t="s">
        <v>1255</v>
      </c>
      <c r="D418" s="10" t="s">
        <v>1120</v>
      </c>
      <c r="E418" s="0" t="n">
        <v>1</v>
      </c>
      <c r="G418" s="30" t="str">
        <f aca="false">IF($C418="","",IFERROR(IF(INDEX(links!$A$2:$A$501,MATCH($C418,links!$D$2:$D$501,0))="","",INDEX(links!$A$2:$A$501,MATCH($C418,links!$D$2:$D$501,0))),""))</f>
        <v>SAMPLE-CMP-008</v>
      </c>
      <c r="H418" s="30" t="str">
        <f aca="false">IF($C418="","",IFERROR(IF(INDEX(links!$B$2:$B$501,MATCH($C418,links!$D$2:$D$501,0))="","",INDEX(links!$B$2:$B$501,MATCH($C418,links!$D$2:$D$501,0))),""))</f>
        <v>SAMPLE-O-008</v>
      </c>
      <c r="I418" s="30" t="str">
        <f aca="false">IF($C418="","",IFERROR(IF(INDEX(links!$C$2:$C$501,MATCH($C418,links!$D$2:$D$501,0))="","",INDEX(links!$C$2:$C$501,MATCH($C418,links!$D$2:$D$501,0))),""))</f>
        <v>qr</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t="n">
        <v>46471</v>
      </c>
      <c r="B419" s="38" t="n">
        <v>0.729166666666667</v>
      </c>
      <c r="C419" s="10" t="s">
        <v>1255</v>
      </c>
      <c r="D419" s="10" t="s">
        <v>1121</v>
      </c>
      <c r="E419" s="0" t="n">
        <v>1</v>
      </c>
      <c r="G419" s="30" t="str">
        <f aca="false">IF($C419="","",IFERROR(IF(INDEX(links!$A$2:$A$501,MATCH($C419,links!$D$2:$D$501,0))="","",INDEX(links!$A$2:$A$501,MATCH($C419,links!$D$2:$D$501,0))),""))</f>
        <v>SAMPLE-CMP-008</v>
      </c>
      <c r="H419" s="30" t="str">
        <f aca="false">IF($C419="","",IFERROR(IF(INDEX(links!$B$2:$B$501,MATCH($C419,links!$D$2:$D$501,0))="","",INDEX(links!$B$2:$B$501,MATCH($C419,links!$D$2:$D$501,0))),""))</f>
        <v>SAMPLE-O-008</v>
      </c>
      <c r="I419" s="30" t="str">
        <f aca="false">IF($C419="","",IFERROR(IF(INDEX(links!$C$2:$C$501,MATCH($C419,links!$D$2:$D$501,0))="","",INDEX(links!$C$2:$C$501,MATCH($C419,links!$D$2:$D$501,0))),""))</f>
        <v>qr</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t="n">
        <v>46475</v>
      </c>
      <c r="B420" s="38" t="n">
        <v>0.729166666666667</v>
      </c>
      <c r="C420" s="10" t="s">
        <v>1255</v>
      </c>
      <c r="D420" s="10" t="s">
        <v>1122</v>
      </c>
      <c r="E420" s="0" t="n">
        <v>1</v>
      </c>
      <c r="G420" s="30" t="str">
        <f aca="false">IF($C420="","",IFERROR(IF(INDEX(links!$A$2:$A$501,MATCH($C420,links!$D$2:$D$501,0))="","",INDEX(links!$A$2:$A$501,MATCH($C420,links!$D$2:$D$501,0))),""))</f>
        <v>SAMPLE-CMP-008</v>
      </c>
      <c r="H420" s="30" t="str">
        <f aca="false">IF($C420="","",IFERROR(IF(INDEX(links!$B$2:$B$501,MATCH($C420,links!$D$2:$D$501,0))="","",INDEX(links!$B$2:$B$501,MATCH($C420,links!$D$2:$D$501,0))),""))</f>
        <v>SAMPLE-O-008</v>
      </c>
      <c r="I420" s="30" t="str">
        <f aca="false">IF($C420="","",IFERROR(IF(INDEX(links!$C$2:$C$501,MATCH($C420,links!$D$2:$D$501,0))="","",INDEX(links!$C$2:$C$501,MATCH($C420,links!$D$2:$D$501,0))),""))</f>
        <v>qr</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t="n">
        <v>46468</v>
      </c>
      <c r="B421" s="38" t="n">
        <v>0.729166666666667</v>
      </c>
      <c r="C421" s="10" t="s">
        <v>1256</v>
      </c>
      <c r="D421" s="10" t="s">
        <v>1120</v>
      </c>
      <c r="E421" s="0" t="n">
        <v>1</v>
      </c>
      <c r="G421" s="30" t="str">
        <f aca="false">IF($C421="","",IFERROR(IF(INDEX(links!$A$2:$A$501,MATCH($C421,links!$D$2:$D$501,0))="","",INDEX(links!$A$2:$A$501,MATCH($C421,links!$D$2:$D$501,0))),""))</f>
        <v>SAMPLE-CMP-008</v>
      </c>
      <c r="H421" s="30" t="str">
        <f aca="false">IF($C421="","",IFERROR(IF(INDEX(links!$B$2:$B$501,MATCH($C421,links!$D$2:$D$501,0))="","",INDEX(links!$B$2:$B$501,MATCH($C421,links!$D$2:$D$501,0))),""))</f>
        <v>SAMPLE-O-008</v>
      </c>
      <c r="I421" s="30" t="str">
        <f aca="false">IF($C421="","",IFERROR(IF(INDEX(links!$C$2:$C$501,MATCH($C421,links!$D$2:$D$501,0))="","",INDEX(links!$C$2:$C$501,MATCH($C421,links!$D$2:$D$501,0))),""))</f>
        <v>post</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t="n">
        <v>46471</v>
      </c>
      <c r="B422" s="38" t="n">
        <v>0.729166666666667</v>
      </c>
      <c r="C422" s="10" t="s">
        <v>1256</v>
      </c>
      <c r="D422" s="10" t="s">
        <v>1121</v>
      </c>
      <c r="E422" s="0" t="n">
        <v>2</v>
      </c>
      <c r="G422" s="30" t="str">
        <f aca="false">IF($C422="","",IFERROR(IF(INDEX(links!$A$2:$A$501,MATCH($C422,links!$D$2:$D$501,0))="","",INDEX(links!$A$2:$A$501,MATCH($C422,links!$D$2:$D$501,0))),""))</f>
        <v>SAMPLE-CMP-008</v>
      </c>
      <c r="H422" s="30" t="str">
        <f aca="false">IF($C422="","",IFERROR(IF(INDEX(links!$B$2:$B$501,MATCH($C422,links!$D$2:$D$501,0))="","",INDEX(links!$B$2:$B$501,MATCH($C422,links!$D$2:$D$501,0))),""))</f>
        <v>SAMPLE-O-008</v>
      </c>
      <c r="I422" s="30" t="str">
        <f aca="false">IF($C422="","",IFERROR(IF(INDEX(links!$C$2:$C$501,MATCH($C422,links!$D$2:$D$501,0))="","",INDEX(links!$C$2:$C$501,MATCH($C422,links!$D$2:$D$501,0))),""))</f>
        <v>post</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t="n">
        <v>46475</v>
      </c>
      <c r="B423" s="38" t="n">
        <v>0.729166666666667</v>
      </c>
      <c r="C423" s="10" t="s">
        <v>1256</v>
      </c>
      <c r="D423" s="10" t="s">
        <v>1122</v>
      </c>
      <c r="E423" s="0" t="n">
        <v>4</v>
      </c>
      <c r="G423" s="30" t="str">
        <f aca="false">IF($C423="","",IFERROR(IF(INDEX(links!$A$2:$A$501,MATCH($C423,links!$D$2:$D$501,0))="","",INDEX(links!$A$2:$A$501,MATCH($C423,links!$D$2:$D$501,0))),""))</f>
        <v>SAMPLE-CMP-008</v>
      </c>
      <c r="H423" s="30" t="str">
        <f aca="false">IF($C423="","",IFERROR(IF(INDEX(links!$B$2:$B$501,MATCH($C423,links!$D$2:$D$501,0))="","",INDEX(links!$B$2:$B$501,MATCH($C423,links!$D$2:$D$501,0))),""))</f>
        <v>SAMPLE-O-008</v>
      </c>
      <c r="I423" s="30" t="str">
        <f aca="false">IF($C423="","",IFERROR(IF(INDEX(links!$C$2:$C$501,MATCH($C423,links!$D$2:$D$501,0))="","",INDEX(links!$C$2:$C$501,MATCH($C423,links!$D$2:$D$501,0))),""))</f>
        <v>post</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t="n">
        <v>46468</v>
      </c>
      <c r="B424" s="38" t="n">
        <v>0.729166666666667</v>
      </c>
      <c r="C424" s="10" t="s">
        <v>1257</v>
      </c>
      <c r="D424" s="10" t="s">
        <v>1120</v>
      </c>
      <c r="E424" s="0" t="n">
        <v>1</v>
      </c>
      <c r="G424" s="30" t="str">
        <f aca="false">IF($C424="","",IFERROR(IF(INDEX(links!$A$2:$A$501,MATCH($C424,links!$D$2:$D$501,0))="","",INDEX(links!$A$2:$A$501,MATCH($C424,links!$D$2:$D$501,0))),""))</f>
        <v>SAMPLE-CMP-008</v>
      </c>
      <c r="H424" s="30" t="str">
        <f aca="false">IF($C424="","",IFERROR(IF(INDEX(links!$B$2:$B$501,MATCH($C424,links!$D$2:$D$501,0))="","",INDEX(links!$B$2:$B$501,MATCH($C424,links!$D$2:$D$501,0))),""))</f>
        <v>SAMPLE-O-009</v>
      </c>
      <c r="I424" s="30" t="str">
        <f aca="false">IF($C424="","",IFERROR(IF(INDEX(links!$C$2:$C$501,MATCH($C424,links!$D$2:$D$501,0))="","",INDEX(links!$C$2:$C$501,MATCH($C424,links!$D$2:$D$501,0))),""))</f>
        <v>qr</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t="n">
        <v>46471</v>
      </c>
      <c r="B425" s="38" t="n">
        <v>0.729166666666667</v>
      </c>
      <c r="C425" s="10" t="s">
        <v>1257</v>
      </c>
      <c r="D425" s="10" t="s">
        <v>1121</v>
      </c>
      <c r="E425" s="0" t="n">
        <v>4</v>
      </c>
      <c r="G425" s="30" t="str">
        <f aca="false">IF($C425="","",IFERROR(IF(INDEX(links!$A$2:$A$501,MATCH($C425,links!$D$2:$D$501,0))="","",INDEX(links!$A$2:$A$501,MATCH($C425,links!$D$2:$D$501,0))),""))</f>
        <v>SAMPLE-CMP-008</v>
      </c>
      <c r="H425" s="30" t="str">
        <f aca="false">IF($C425="","",IFERROR(IF(INDEX(links!$B$2:$B$501,MATCH($C425,links!$D$2:$D$501,0))="","",INDEX(links!$B$2:$B$501,MATCH($C425,links!$D$2:$D$501,0))),""))</f>
        <v>SAMPLE-O-009</v>
      </c>
      <c r="I425" s="30" t="str">
        <f aca="false">IF($C425="","",IFERROR(IF(INDEX(links!$C$2:$C$501,MATCH($C425,links!$D$2:$D$501,0))="","",INDEX(links!$C$2:$C$501,MATCH($C425,links!$D$2:$D$501,0))),""))</f>
        <v>qr</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t="n">
        <v>46475</v>
      </c>
      <c r="B426" s="38" t="n">
        <v>0.729166666666667</v>
      </c>
      <c r="C426" s="10" t="s">
        <v>1257</v>
      </c>
      <c r="D426" s="10" t="s">
        <v>1122</v>
      </c>
      <c r="E426" s="0" t="n">
        <v>9</v>
      </c>
      <c r="G426" s="30" t="str">
        <f aca="false">IF($C426="","",IFERROR(IF(INDEX(links!$A$2:$A$501,MATCH($C426,links!$D$2:$D$501,0))="","",INDEX(links!$A$2:$A$501,MATCH($C426,links!$D$2:$D$501,0))),""))</f>
        <v>SAMPLE-CMP-008</v>
      </c>
      <c r="H426" s="30" t="str">
        <f aca="false">IF($C426="","",IFERROR(IF(INDEX(links!$B$2:$B$501,MATCH($C426,links!$D$2:$D$501,0))="","",INDEX(links!$B$2:$B$501,MATCH($C426,links!$D$2:$D$501,0))),""))</f>
        <v>SAMPLE-O-009</v>
      </c>
      <c r="I426" s="30" t="str">
        <f aca="false">IF($C426="","",IFERROR(IF(INDEX(links!$C$2:$C$501,MATCH($C426,links!$D$2:$D$501,0))="","",INDEX(links!$C$2:$C$501,MATCH($C426,links!$D$2:$D$501,0))),""))</f>
        <v>qr</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t="n">
        <v>46468</v>
      </c>
      <c r="B427" s="38" t="n">
        <v>0.729166666666667</v>
      </c>
      <c r="C427" s="10" t="s">
        <v>1258</v>
      </c>
      <c r="D427" s="10" t="s">
        <v>1120</v>
      </c>
      <c r="E427" s="0" t="n">
        <v>1</v>
      </c>
      <c r="G427" s="30" t="str">
        <f aca="false">IF($C427="","",IFERROR(IF(INDEX(links!$A$2:$A$501,MATCH($C427,links!$D$2:$D$501,0))="","",INDEX(links!$A$2:$A$501,MATCH($C427,links!$D$2:$D$501,0))),""))</f>
        <v>SAMPLE-CMP-008</v>
      </c>
      <c r="H427" s="30" t="str">
        <f aca="false">IF($C427="","",IFERROR(IF(INDEX(links!$B$2:$B$501,MATCH($C427,links!$D$2:$D$501,0))="","",INDEX(links!$B$2:$B$501,MATCH($C427,links!$D$2:$D$501,0))),""))</f>
        <v>SAMPLE-O-009</v>
      </c>
      <c r="I427" s="30" t="str">
        <f aca="false">IF($C427="","",IFERROR(IF(INDEX(links!$C$2:$C$501,MATCH($C427,links!$D$2:$D$501,0))="","",INDEX(links!$C$2:$C$501,MATCH($C427,links!$D$2:$D$501,0))),""))</f>
        <v>post</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t="n">
        <v>46471</v>
      </c>
      <c r="B428" s="38" t="n">
        <v>0.729166666666667</v>
      </c>
      <c r="C428" s="10" t="s">
        <v>1258</v>
      </c>
      <c r="D428" s="10" t="s">
        <v>1121</v>
      </c>
      <c r="E428" s="0" t="n">
        <v>6</v>
      </c>
      <c r="G428" s="30" t="str">
        <f aca="false">IF($C428="","",IFERROR(IF(INDEX(links!$A$2:$A$501,MATCH($C428,links!$D$2:$D$501,0))="","",INDEX(links!$A$2:$A$501,MATCH($C428,links!$D$2:$D$501,0))),""))</f>
        <v>SAMPLE-CMP-008</v>
      </c>
      <c r="H428" s="30" t="str">
        <f aca="false">IF($C428="","",IFERROR(IF(INDEX(links!$B$2:$B$501,MATCH($C428,links!$D$2:$D$501,0))="","",INDEX(links!$B$2:$B$501,MATCH($C428,links!$D$2:$D$501,0))),""))</f>
        <v>SAMPLE-O-009</v>
      </c>
      <c r="I428" s="30" t="str">
        <f aca="false">IF($C428="","",IFERROR(IF(INDEX(links!$C$2:$C$501,MATCH($C428,links!$D$2:$D$501,0))="","",INDEX(links!$C$2:$C$501,MATCH($C428,links!$D$2:$D$501,0))),""))</f>
        <v>post</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t="n">
        <v>46475</v>
      </c>
      <c r="B429" s="38" t="n">
        <v>0.729166666666667</v>
      </c>
      <c r="C429" s="10" t="s">
        <v>1258</v>
      </c>
      <c r="D429" s="10" t="s">
        <v>1122</v>
      </c>
      <c r="E429" s="0" t="n">
        <v>12</v>
      </c>
      <c r="G429" s="30" t="str">
        <f aca="false">IF($C429="","",IFERROR(IF(INDEX(links!$A$2:$A$501,MATCH($C429,links!$D$2:$D$501,0))="","",INDEX(links!$A$2:$A$501,MATCH($C429,links!$D$2:$D$501,0))),""))</f>
        <v>SAMPLE-CMP-008</v>
      </c>
      <c r="H429" s="30" t="str">
        <f aca="false">IF($C429="","",IFERROR(IF(INDEX(links!$B$2:$B$501,MATCH($C429,links!$D$2:$D$501,0))="","",INDEX(links!$B$2:$B$501,MATCH($C429,links!$D$2:$D$501,0))),""))</f>
        <v>SAMPLE-O-009</v>
      </c>
      <c r="I429" s="30" t="str">
        <f aca="false">IF($C429="","",IFERROR(IF(INDEX(links!$C$2:$C$501,MATCH($C429,links!$D$2:$D$501,0))="","",INDEX(links!$C$2:$C$501,MATCH($C429,links!$D$2:$D$501,0))),""))</f>
        <v>post</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t="n">
        <v>46468</v>
      </c>
      <c r="B430" s="38" t="n">
        <v>0.729166666666667</v>
      </c>
      <c r="C430" s="10" t="s">
        <v>1259</v>
      </c>
      <c r="D430" s="10" t="s">
        <v>1120</v>
      </c>
      <c r="E430" s="0" t="n">
        <v>1</v>
      </c>
      <c r="G430" s="30" t="str">
        <f aca="false">IF($C430="","",IFERROR(IF(INDEX(links!$A$2:$A$501,MATCH($C430,links!$D$2:$D$501,0))="","",INDEX(links!$A$2:$A$501,MATCH($C430,links!$D$2:$D$501,0))),""))</f>
        <v>SAMPLE-CMP-008</v>
      </c>
      <c r="H430" s="30" t="str">
        <f aca="false">IF($C430="","",IFERROR(IF(INDEX(links!$B$2:$B$501,MATCH($C430,links!$D$2:$D$501,0))="","",INDEX(links!$B$2:$B$501,MATCH($C430,links!$D$2:$D$501,0))),""))</f>
        <v>SAMPLE-O-010</v>
      </c>
      <c r="I430" s="30" t="str">
        <f aca="false">IF($C430="","",IFERROR(IF(INDEX(links!$C$2:$C$501,MATCH($C430,links!$D$2:$D$501,0))="","",INDEX(links!$C$2:$C$501,MATCH($C430,links!$D$2:$D$501,0))),""))</f>
        <v>qr</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t="n">
        <v>46471</v>
      </c>
      <c r="B431" s="38" t="n">
        <v>0.729166666666667</v>
      </c>
      <c r="C431" s="10" t="s">
        <v>1259</v>
      </c>
      <c r="D431" s="10" t="s">
        <v>1121</v>
      </c>
      <c r="E431" s="0" t="n">
        <v>6</v>
      </c>
      <c r="G431" s="30" t="str">
        <f aca="false">IF($C431="","",IFERROR(IF(INDEX(links!$A$2:$A$501,MATCH($C431,links!$D$2:$D$501,0))="","",INDEX(links!$A$2:$A$501,MATCH($C431,links!$D$2:$D$501,0))),""))</f>
        <v>SAMPLE-CMP-008</v>
      </c>
      <c r="H431" s="30" t="str">
        <f aca="false">IF($C431="","",IFERROR(IF(INDEX(links!$B$2:$B$501,MATCH($C431,links!$D$2:$D$501,0))="","",INDEX(links!$B$2:$B$501,MATCH($C431,links!$D$2:$D$501,0))),""))</f>
        <v>SAMPLE-O-010</v>
      </c>
      <c r="I431" s="30" t="str">
        <f aca="false">IF($C431="","",IFERROR(IF(INDEX(links!$C$2:$C$501,MATCH($C431,links!$D$2:$D$501,0))="","",INDEX(links!$C$2:$C$501,MATCH($C431,links!$D$2:$D$501,0))),""))</f>
        <v>qr</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t="n">
        <v>46475</v>
      </c>
      <c r="B432" s="38" t="n">
        <v>0.729166666666667</v>
      </c>
      <c r="C432" s="10" t="s">
        <v>1259</v>
      </c>
      <c r="D432" s="10" t="s">
        <v>1122</v>
      </c>
      <c r="E432" s="0" t="n">
        <v>12</v>
      </c>
      <c r="G432" s="30" t="str">
        <f aca="false">IF($C432="","",IFERROR(IF(INDEX(links!$A$2:$A$501,MATCH($C432,links!$D$2:$D$501,0))="","",INDEX(links!$A$2:$A$501,MATCH($C432,links!$D$2:$D$501,0))),""))</f>
        <v>SAMPLE-CMP-008</v>
      </c>
      <c r="H432" s="30" t="str">
        <f aca="false">IF($C432="","",IFERROR(IF(INDEX(links!$B$2:$B$501,MATCH($C432,links!$D$2:$D$501,0))="","",INDEX(links!$B$2:$B$501,MATCH($C432,links!$D$2:$D$501,0))),""))</f>
        <v>SAMPLE-O-010</v>
      </c>
      <c r="I432" s="30" t="str">
        <f aca="false">IF($C432="","",IFERROR(IF(INDEX(links!$C$2:$C$501,MATCH($C432,links!$D$2:$D$501,0))="","",INDEX(links!$C$2:$C$501,MATCH($C432,links!$D$2:$D$501,0))),""))</f>
        <v>qr</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t="n">
        <v>46468</v>
      </c>
      <c r="B433" s="38" t="n">
        <v>0.729166666666667</v>
      </c>
      <c r="C433" s="10" t="s">
        <v>1260</v>
      </c>
      <c r="D433" s="10" t="s">
        <v>1120</v>
      </c>
      <c r="E433" s="0" t="n">
        <v>1</v>
      </c>
      <c r="G433" s="30" t="str">
        <f aca="false">IF($C433="","",IFERROR(IF(INDEX(links!$A$2:$A$501,MATCH($C433,links!$D$2:$D$501,0))="","",INDEX(links!$A$2:$A$501,MATCH($C433,links!$D$2:$D$501,0))),""))</f>
        <v>SAMPLE-CMP-008</v>
      </c>
      <c r="H433" s="30" t="str">
        <f aca="false">IF($C433="","",IFERROR(IF(INDEX(links!$B$2:$B$501,MATCH($C433,links!$D$2:$D$501,0))="","",INDEX(links!$B$2:$B$501,MATCH($C433,links!$D$2:$D$501,0))),""))</f>
        <v>SAMPLE-O-010</v>
      </c>
      <c r="I433" s="30" t="str">
        <f aca="false">IF($C433="","",IFERROR(IF(INDEX(links!$C$2:$C$501,MATCH($C433,links!$D$2:$D$501,0))="","",INDEX(links!$C$2:$C$501,MATCH($C433,links!$D$2:$D$501,0))),""))</f>
        <v>post</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t="n">
        <v>46471</v>
      </c>
      <c r="B434" s="38" t="n">
        <v>0.729166666666667</v>
      </c>
      <c r="C434" s="10" t="s">
        <v>1260</v>
      </c>
      <c r="D434" s="10" t="s">
        <v>1121</v>
      </c>
      <c r="E434" s="0" t="n">
        <v>2</v>
      </c>
      <c r="G434" s="30" t="str">
        <f aca="false">IF($C434="","",IFERROR(IF(INDEX(links!$A$2:$A$501,MATCH($C434,links!$D$2:$D$501,0))="","",INDEX(links!$A$2:$A$501,MATCH($C434,links!$D$2:$D$501,0))),""))</f>
        <v>SAMPLE-CMP-008</v>
      </c>
      <c r="H434" s="30" t="str">
        <f aca="false">IF($C434="","",IFERROR(IF(INDEX(links!$B$2:$B$501,MATCH($C434,links!$D$2:$D$501,0))="","",INDEX(links!$B$2:$B$501,MATCH($C434,links!$D$2:$D$501,0))),""))</f>
        <v>SAMPLE-O-010</v>
      </c>
      <c r="I434" s="30" t="str">
        <f aca="false">IF($C434="","",IFERROR(IF(INDEX(links!$C$2:$C$501,MATCH($C434,links!$D$2:$D$501,0))="","",INDEX(links!$C$2:$C$501,MATCH($C434,links!$D$2:$D$501,0))),""))</f>
        <v>post</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t="n">
        <v>46475</v>
      </c>
      <c r="B435" s="38" t="n">
        <v>0.729166666666667</v>
      </c>
      <c r="C435" s="10" t="s">
        <v>1260</v>
      </c>
      <c r="D435" s="10" t="s">
        <v>1122</v>
      </c>
      <c r="E435" s="0" t="n">
        <v>5</v>
      </c>
      <c r="G435" s="30" t="str">
        <f aca="false">IF($C435="","",IFERROR(IF(INDEX(links!$A$2:$A$501,MATCH($C435,links!$D$2:$D$501,0))="","",INDEX(links!$A$2:$A$501,MATCH($C435,links!$D$2:$D$501,0))),""))</f>
        <v>SAMPLE-CMP-008</v>
      </c>
      <c r="H435" s="30" t="str">
        <f aca="false">IF($C435="","",IFERROR(IF(INDEX(links!$B$2:$B$501,MATCH($C435,links!$D$2:$D$501,0))="","",INDEX(links!$B$2:$B$501,MATCH($C435,links!$D$2:$D$501,0))),""))</f>
        <v>SAMPLE-O-010</v>
      </c>
      <c r="I435" s="30" t="str">
        <f aca="false">IF($C435="","",IFERROR(IF(INDEX(links!$C$2:$C$501,MATCH($C435,links!$D$2:$D$501,0))="","",INDEX(links!$C$2:$C$501,MATCH($C435,links!$D$2:$D$501,0))),""))</f>
        <v>post</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358</v>
      </c>
      <c r="B1" s="28" t="s">
        <v>1261</v>
      </c>
      <c r="C1" s="28" t="s">
        <v>1262</v>
      </c>
      <c r="D1" s="28" t="s">
        <v>1263</v>
      </c>
      <c r="E1" s="28" t="s">
        <v>1264</v>
      </c>
      <c r="F1" s="28" t="s">
        <v>178</v>
      </c>
      <c r="G1" s="29" t="s">
        <v>1265</v>
      </c>
      <c r="H1" s="29" t="s">
        <v>1266</v>
      </c>
    </row>
    <row r="2" customFormat="false" ht="15" hidden="false" customHeight="false" outlineLevel="0" collapsed="false">
      <c r="A2" s="0" t="s">
        <v>472</v>
      </c>
      <c r="B2" s="11" t="n">
        <v>46408</v>
      </c>
      <c r="C2" s="0" t="n">
        <v>6</v>
      </c>
      <c r="D2" s="11" t="n">
        <v>46408</v>
      </c>
      <c r="E2" s="10" t="s">
        <v>1267</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498</v>
      </c>
      <c r="B3" s="11" t="n">
        <v>46408</v>
      </c>
      <c r="C3" s="0" t="n">
        <v>2</v>
      </c>
      <c r="D3" s="11" t="n">
        <v>46408</v>
      </c>
      <c r="E3" s="10" t="s">
        <v>1267</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472</v>
      </c>
      <c r="B4" s="11" t="n">
        <v>46429</v>
      </c>
      <c r="C4" s="0" t="n">
        <v>11</v>
      </c>
      <c r="D4" s="11" t="n">
        <v>46429</v>
      </c>
      <c r="E4" s="10" t="s">
        <v>1267</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498</v>
      </c>
      <c r="B5" s="11" t="n">
        <v>46430</v>
      </c>
      <c r="C5" s="0" t="n">
        <v>4</v>
      </c>
      <c r="D5" s="11" t="n">
        <v>46430</v>
      </c>
      <c r="E5" s="10" t="s">
        <v>1267</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516</v>
      </c>
      <c r="B6" s="11" t="n">
        <v>46436</v>
      </c>
      <c r="C6" s="0" t="n">
        <v>9</v>
      </c>
      <c r="D6" s="11" t="n">
        <v>46436</v>
      </c>
      <c r="E6" s="10" t="s">
        <v>1268</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532</v>
      </c>
      <c r="B7" s="11" t="n">
        <v>46436</v>
      </c>
      <c r="C7" s="0" t="n">
        <v>5</v>
      </c>
      <c r="D7" s="11" t="n">
        <v>46436</v>
      </c>
      <c r="E7" s="10" t="s">
        <v>1268</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549</v>
      </c>
      <c r="B8" s="11" t="n">
        <v>46436</v>
      </c>
      <c r="C8" s="0" t="n">
        <v>12</v>
      </c>
      <c r="D8" s="11" t="n">
        <v>46436</v>
      </c>
      <c r="E8" s="10" t="s">
        <v>1268</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516</v>
      </c>
      <c r="B9" s="11" t="n">
        <v>46457</v>
      </c>
      <c r="C9" s="0" t="n">
        <v>17</v>
      </c>
      <c r="D9" s="11" t="n">
        <v>46457</v>
      </c>
      <c r="E9" s="10" t="s">
        <v>1268</v>
      </c>
      <c r="G9" s="39" t="n">
        <f aca="false">IF(OR($A9="",$B9="",IFERROR(IF(INDEX(campaigns!$BG$2:$BG$51,MATCH($A9,campaigns!$A$2:$A$51,0))="","",INDEX(campaigns!$BG$2:$BG$51,MATCH($A9,campaigns!$A$2:$A$51,0))),"")=""),"",$B9-N(IFERROR(IF(INDEX(campaigns!$BG$2:$BG$51,MATCH($A9,campaigns!$A$2:$A$51,0))="","",INDEX(campaigns!$BG$2:$BG$51,MATCH($A9,campaigns!$A$2:$A$51,0))),"")))</f>
        <v>30</v>
      </c>
      <c r="H9" s="30" t="str">
        <f aca="false">IF($G9="","",IF($G9&gt;=30,"Y","N"))</f>
        <v>Y</v>
      </c>
    </row>
    <row r="10" customFormat="false" ht="15" hidden="false" customHeight="false" outlineLevel="0" collapsed="false">
      <c r="A10" s="0" t="s">
        <v>532</v>
      </c>
      <c r="B10" s="11" t="n">
        <v>46457</v>
      </c>
      <c r="C10" s="0" t="n">
        <v>8</v>
      </c>
      <c r="D10" s="11" t="n">
        <v>46457</v>
      </c>
      <c r="E10" s="10" t="s">
        <v>1268</v>
      </c>
      <c r="G10" s="39" t="n">
        <f aca="false">IF(OR($A10="",$B10="",IFERROR(IF(INDEX(campaigns!$BG$2:$BG$51,MATCH($A10,campaigns!$A$2:$A$51,0))="","",INDEX(campaigns!$BG$2:$BG$51,MATCH($A10,campaigns!$A$2:$A$51,0))),"")=""),"",$B10-N(IFERROR(IF(INDEX(campaigns!$BG$2:$BG$51,MATCH($A10,campaigns!$A$2:$A$51,0))="","",INDEX(campaigns!$BG$2:$BG$51,MATCH($A10,campaigns!$A$2:$A$51,0))),"")))</f>
        <v>30</v>
      </c>
      <c r="H10" s="30" t="str">
        <f aca="false">IF($G10="","",IF($G10&gt;=30,"Y","N"))</f>
        <v>Y</v>
      </c>
    </row>
    <row r="11" customFormat="false" ht="15" hidden="false" customHeight="false" outlineLevel="0" collapsed="false">
      <c r="A11" s="0" t="s">
        <v>549</v>
      </c>
      <c r="B11" s="11" t="n">
        <v>46457</v>
      </c>
      <c r="C11" s="0" t="n">
        <v>21</v>
      </c>
      <c r="D11" s="11" t="n">
        <v>46457</v>
      </c>
      <c r="E11" s="10" t="s">
        <v>1268</v>
      </c>
      <c r="G11" s="39" t="n">
        <f aca="false">IF(OR($A11="",$B11="",IFERROR(IF(INDEX(campaigns!$BG$2:$BG$51,MATCH($A11,campaigns!$A$2:$A$51,0))="","",INDEX(campaigns!$BG$2:$BG$51,MATCH($A11,campaigns!$A$2:$A$51,0))),"")=""),"",$B11-N(IFERROR(IF(INDEX(campaigns!$BG$2:$BG$51,MATCH($A11,campaigns!$A$2:$A$51,0))="","",INDEX(campaigns!$BG$2:$BG$51,MATCH($A11,campaigns!$A$2:$A$51,0))),"")))</f>
        <v>30</v>
      </c>
      <c r="H11" s="30" t="str">
        <f aca="false">IF($G11="","",IF($G11&gt;=30,"Y","N"))</f>
        <v>Y</v>
      </c>
    </row>
    <row r="12" customFormat="false" ht="15" hidden="false" customHeight="false" outlineLevel="0" collapsed="false">
      <c r="A12" s="0" t="s">
        <v>563</v>
      </c>
      <c r="B12" s="11" t="n">
        <v>46449</v>
      </c>
      <c r="C12" s="0" t="n">
        <v>7</v>
      </c>
      <c r="D12" s="11" t="n">
        <v>46449</v>
      </c>
      <c r="E12" s="10" t="s">
        <v>1267</v>
      </c>
      <c r="G12" s="39" t="n">
        <f aca="false">IF(OR($A12="",$B12="",IFERROR(IF(INDEX(campaigns!$BG$2:$BG$51,MATCH($A12,campaigns!$A$2:$A$51,0))="","",INDEX(campaigns!$BG$2:$BG$51,MATCH($A12,campaigns!$A$2:$A$51,0))),"")=""),"",$B12-N(IFERROR(IF(INDEX(campaigns!$BG$2:$BG$51,MATCH($A12,campaigns!$A$2:$A$51,0))="","",INDEX(campaigns!$BG$2:$BG$51,MATCH($A12,campaigns!$A$2:$A$51,0))),"")))</f>
        <v>8</v>
      </c>
      <c r="H12" s="30" t="str">
        <f aca="false">IF($G12="","",IF($G12&gt;=30,"Y","N"))</f>
        <v>N</v>
      </c>
    </row>
    <row r="13" customFormat="false" ht="15" hidden="false" customHeight="false" outlineLevel="0" collapsed="false">
      <c r="A13" s="0" t="s">
        <v>563</v>
      </c>
      <c r="B13" s="11" t="n">
        <v>46471</v>
      </c>
      <c r="C13" s="0" t="n">
        <v>13</v>
      </c>
      <c r="D13" s="11" t="n">
        <v>46471</v>
      </c>
      <c r="E13" s="10" t="s">
        <v>1267</v>
      </c>
      <c r="G13" s="39" t="n">
        <f aca="false">IF(OR($A13="",$B13="",IFERROR(IF(INDEX(campaigns!$BG$2:$BG$51,MATCH($A13,campaigns!$A$2:$A$51,0))="","",INDEX(campaigns!$BG$2:$BG$51,MATCH($A13,campaigns!$A$2:$A$51,0))),"")=""),"",$B13-N(IFERROR(IF(INDEX(campaigns!$BG$2:$BG$51,MATCH($A13,campaigns!$A$2:$A$51,0))="","",INDEX(campaigns!$BG$2:$BG$51,MATCH($A13,campaigns!$A$2:$A$51,0))),"")))</f>
        <v>30</v>
      </c>
      <c r="H13" s="30" t="str">
        <f aca="false">IF($G13="","",IF($G13&gt;=30,"Y","N"))</f>
        <v>Y</v>
      </c>
    </row>
    <row r="14" customFormat="false" ht="15" hidden="false" customHeight="false" outlineLevel="0" collapsed="false">
      <c r="A14" s="0" t="s">
        <v>576</v>
      </c>
      <c r="B14" s="11" t="n">
        <v>46477</v>
      </c>
      <c r="C14" s="0" t="n">
        <v>5</v>
      </c>
      <c r="D14" s="11" t="n">
        <v>46477</v>
      </c>
      <c r="E14" s="10" t="s">
        <v>1267</v>
      </c>
      <c r="G14" s="39" t="n">
        <f aca="false">IF(OR($A14="",$B14="",IFERROR(IF(INDEX(campaigns!$BG$2:$BG$51,MATCH($A14,campaigns!$A$2:$A$51,0))="","",INDEX(campaigns!$BG$2:$BG$51,MATCH($A14,campaigns!$A$2:$A$51,0))),"")=""),"",$B14-N(IFERROR(IF(INDEX(campaigns!$BG$2:$BG$51,MATCH($A14,campaigns!$A$2:$A$51,0))="","",INDEX(campaigns!$BG$2:$BG$51,MATCH($A14,campaigns!$A$2:$A$51,0))),"")))</f>
        <v>8</v>
      </c>
      <c r="H14" s="30" t="str">
        <f aca="false">IF($G14="","",IF($G14&gt;=30,"Y","N"))</f>
        <v>N</v>
      </c>
    </row>
    <row r="15" customFormat="false" ht="15" hidden="false" customHeight="false" outlineLevel="0" collapsed="false">
      <c r="A15" s="0" t="s">
        <v>584</v>
      </c>
      <c r="B15" s="11" t="n">
        <v>46477</v>
      </c>
      <c r="C15" s="0" t="n">
        <v>7</v>
      </c>
      <c r="D15" s="11" t="n">
        <v>46477</v>
      </c>
      <c r="E15" s="10" t="s">
        <v>1267</v>
      </c>
      <c r="G15" s="39" t="n">
        <f aca="false">IF(OR($A15="",$B15="",IFERROR(IF(INDEX(campaigns!$BG$2:$BG$51,MATCH($A15,campaigns!$A$2:$A$51,0))="","",INDEX(campaigns!$BG$2:$BG$51,MATCH($A15,campaigns!$A$2:$A$51,0))),"")=""),"",$B15-N(IFERROR(IF(INDEX(campaigns!$BG$2:$BG$51,MATCH($A15,campaigns!$A$2:$A$51,0))="","",INDEX(campaigns!$BG$2:$BG$51,MATCH($A15,campaigns!$A$2:$A$51,0))),"")))</f>
        <v>8</v>
      </c>
      <c r="H15" s="30" t="str">
        <f aca="false">IF($G15="","",IF($G15&gt;=30,"Y","N"))</f>
        <v>N</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1269</v>
      </c>
      <c r="B1" s="28" t="s">
        <v>77</v>
      </c>
      <c r="C1" s="28" t="s">
        <v>780</v>
      </c>
      <c r="D1" s="28" t="s">
        <v>299</v>
      </c>
      <c r="E1" s="28" t="s">
        <v>358</v>
      </c>
      <c r="F1" s="28" t="s">
        <v>642</v>
      </c>
      <c r="G1" s="28" t="s">
        <v>1270</v>
      </c>
      <c r="H1" s="28" t="s">
        <v>1271</v>
      </c>
      <c r="I1" s="28" t="s">
        <v>1272</v>
      </c>
      <c r="J1" s="28" t="s">
        <v>1273</v>
      </c>
      <c r="K1" s="28" t="s">
        <v>1274</v>
      </c>
      <c r="L1" s="28" t="s">
        <v>1275</v>
      </c>
      <c r="M1" s="28" t="s">
        <v>178</v>
      </c>
      <c r="N1" s="29" t="s">
        <v>1276</v>
      </c>
      <c r="O1" s="29" t="s">
        <v>120</v>
      </c>
    </row>
    <row r="2" customFormat="false" ht="15" hidden="false" customHeight="false" outlineLevel="0" collapsed="false">
      <c r="A2" s="0" t="s">
        <v>1277</v>
      </c>
      <c r="B2" s="11" t="n">
        <v>46386</v>
      </c>
      <c r="C2" s="38" t="n">
        <v>0.479166666666667</v>
      </c>
      <c r="D2" s="10" t="s">
        <v>337</v>
      </c>
      <c r="E2" s="10" t="s">
        <v>498</v>
      </c>
      <c r="G2" s="10" t="s">
        <v>1278</v>
      </c>
      <c r="H2" s="10" t="s">
        <v>1279</v>
      </c>
      <c r="I2" s="10" t="s">
        <v>1280</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1281</v>
      </c>
      <c r="B3" s="11" t="n">
        <v>46399</v>
      </c>
      <c r="C3" s="38" t="n">
        <v>0.452777777777778</v>
      </c>
      <c r="D3" s="10" t="s">
        <v>337</v>
      </c>
      <c r="F3" s="10" t="s">
        <v>686</v>
      </c>
      <c r="G3" s="10" t="s">
        <v>1282</v>
      </c>
      <c r="H3" s="10" t="s">
        <v>1283</v>
      </c>
      <c r="I3" s="10" t="s">
        <v>1284</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1285</v>
      </c>
      <c r="B4" s="11" t="n">
        <v>46400</v>
      </c>
      <c r="C4" s="38" t="n">
        <v>0.708333333333333</v>
      </c>
      <c r="D4" s="10" t="s">
        <v>337</v>
      </c>
      <c r="E4" s="10" t="s">
        <v>472</v>
      </c>
      <c r="F4" s="10" t="s">
        <v>686</v>
      </c>
      <c r="G4" s="10" t="s">
        <v>1286</v>
      </c>
      <c r="H4" s="10" t="s">
        <v>1287</v>
      </c>
      <c r="I4" s="10" t="s">
        <v>1288</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1289</v>
      </c>
      <c r="B5" s="11" t="n">
        <v>46416</v>
      </c>
      <c r="C5" s="38" t="n">
        <v>0.604166666666667</v>
      </c>
      <c r="D5" s="10" t="s">
        <v>344</v>
      </c>
      <c r="E5" s="10" t="s">
        <v>516</v>
      </c>
      <c r="G5" s="10" t="s">
        <v>1290</v>
      </c>
      <c r="H5" s="10" t="s">
        <v>1291</v>
      </c>
      <c r="I5" s="10" t="s">
        <v>1292</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1293</v>
      </c>
      <c r="B6" s="11" t="n">
        <v>46395</v>
      </c>
      <c r="C6" s="38" t="n">
        <v>0.416666666666667</v>
      </c>
      <c r="D6" s="10" t="s">
        <v>344</v>
      </c>
      <c r="E6" s="10" t="s">
        <v>532</v>
      </c>
      <c r="F6" s="10" t="s">
        <v>692</v>
      </c>
      <c r="G6" s="10" t="s">
        <v>1294</v>
      </c>
      <c r="H6" s="10" t="s">
        <v>1295</v>
      </c>
      <c r="I6" s="10" t="s">
        <v>1296</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1297</v>
      </c>
      <c r="B7" s="11" t="n">
        <v>46427</v>
      </c>
      <c r="C7" s="38" t="n">
        <v>0.460416666666667</v>
      </c>
      <c r="D7" s="10" t="s">
        <v>344</v>
      </c>
      <c r="F7" s="10" t="s">
        <v>696</v>
      </c>
      <c r="G7" s="10" t="s">
        <v>1282</v>
      </c>
      <c r="H7" s="10" t="s">
        <v>1298</v>
      </c>
      <c r="I7" s="10" t="s">
        <v>1299</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1300</v>
      </c>
      <c r="B8" s="11" t="n">
        <v>46430</v>
      </c>
      <c r="C8" s="38" t="n">
        <v>0.604166666666667</v>
      </c>
      <c r="D8" s="10" t="s">
        <v>349</v>
      </c>
      <c r="E8" s="10" t="s">
        <v>563</v>
      </c>
      <c r="G8" s="10" t="s">
        <v>1290</v>
      </c>
      <c r="H8" s="10" t="s">
        <v>1301</v>
      </c>
      <c r="I8" s="10" t="s">
        <v>1302</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1303</v>
      </c>
      <c r="B9" s="11" t="n">
        <v>46441</v>
      </c>
      <c r="C9" s="38" t="n">
        <v>0.349305555555556</v>
      </c>
      <c r="D9" s="10" t="s">
        <v>349</v>
      </c>
      <c r="E9" s="10" t="s">
        <v>563</v>
      </c>
      <c r="F9" s="10" t="s">
        <v>690</v>
      </c>
      <c r="G9" s="10" t="s">
        <v>1304</v>
      </c>
      <c r="H9" s="10" t="s">
        <v>1305</v>
      </c>
      <c r="I9" s="10" t="s">
        <v>1306</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A10" s="0" t="s">
        <v>1307</v>
      </c>
      <c r="B10" s="11" t="n">
        <v>46469</v>
      </c>
      <c r="C10" s="38" t="n">
        <v>0.5625</v>
      </c>
      <c r="D10" s="10" t="s">
        <v>353</v>
      </c>
      <c r="E10" s="10" t="s">
        <v>576</v>
      </c>
      <c r="F10" s="10" t="s">
        <v>683</v>
      </c>
      <c r="G10" s="10" t="s">
        <v>1290</v>
      </c>
      <c r="H10" s="10" t="s">
        <v>1308</v>
      </c>
      <c r="I10" s="10" t="s">
        <v>1309</v>
      </c>
      <c r="J10" s="11" t="n">
        <v>46469</v>
      </c>
      <c r="K10" s="11" t="n">
        <v>46469</v>
      </c>
      <c r="L10" s="11" t="n">
        <v>46471</v>
      </c>
      <c r="N10" s="30" t="n">
        <f aca="true">IF($B10="","",IF($L10="",IF(config!$B$37&lt;&gt;"",config!$B$37,TODAY())-$B10,$L10-$B10))</f>
        <v>2</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A11" s="0" t="s">
        <v>1310</v>
      </c>
      <c r="B11" s="11" t="n">
        <v>46469</v>
      </c>
      <c r="C11" s="38" t="n">
        <v>0.430555555555556</v>
      </c>
      <c r="D11" s="10" t="s">
        <v>353</v>
      </c>
      <c r="E11" s="10" t="s">
        <v>584</v>
      </c>
      <c r="F11" s="10" t="s">
        <v>694</v>
      </c>
      <c r="G11" s="10" t="s">
        <v>1304</v>
      </c>
      <c r="H11" s="10" t="s">
        <v>1311</v>
      </c>
      <c r="I11" s="10" t="s">
        <v>1312</v>
      </c>
      <c r="J11" s="11" t="n">
        <v>46469</v>
      </c>
      <c r="K11" s="11" t="n">
        <v>46469</v>
      </c>
      <c r="L11" s="11" t="n">
        <v>46470</v>
      </c>
      <c r="N11" s="30" t="n">
        <f aca="true">IF($B11="","",IF($L11="",IF(config!$B$37&lt;&gt;"",config!$B$37,TODAY())-$B11,$L11-$B11))</f>
        <v>1</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358</v>
      </c>
      <c r="D1" s="28" t="s">
        <v>123</v>
      </c>
      <c r="E1" s="28" t="s">
        <v>331</v>
      </c>
      <c r="F1" s="28" t="s">
        <v>178</v>
      </c>
      <c r="G1" s="29" t="s">
        <v>120</v>
      </c>
    </row>
    <row r="2" customFormat="false" ht="15" hidden="false" customHeight="false" outlineLevel="0" collapsed="false">
      <c r="A2" s="11" t="n">
        <v>46322</v>
      </c>
      <c r="D2" s="10" t="s">
        <v>127</v>
      </c>
      <c r="E2" s="12" t="n">
        <v>1.5</v>
      </c>
      <c r="F2" s="10" t="s">
        <v>1313</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1313</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1313</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1313</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1313</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1313</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1313</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1313</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1313</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1313</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472</v>
      </c>
      <c r="D12" s="10" t="s">
        <v>126</v>
      </c>
      <c r="E12" s="12" t="n">
        <v>2</v>
      </c>
      <c r="F12" s="10" t="s">
        <v>1314</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498</v>
      </c>
      <c r="D13" s="10" t="s">
        <v>126</v>
      </c>
      <c r="E13" s="12" t="n">
        <v>2</v>
      </c>
      <c r="F13" s="10" t="s">
        <v>1314</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472</v>
      </c>
      <c r="D14" s="10" t="s">
        <v>126</v>
      </c>
      <c r="E14" s="12" t="n">
        <v>2</v>
      </c>
      <c r="F14" s="10" t="s">
        <v>1314</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498</v>
      </c>
      <c r="D15" s="10" t="s">
        <v>126</v>
      </c>
      <c r="E15" s="12" t="n">
        <v>2</v>
      </c>
      <c r="F15" s="10" t="s">
        <v>1314</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472</v>
      </c>
      <c r="D16" s="10" t="s">
        <v>126</v>
      </c>
      <c r="E16" s="12" t="n">
        <v>2</v>
      </c>
      <c r="F16" s="10" t="s">
        <v>1314</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498</v>
      </c>
      <c r="D17" s="10" t="s">
        <v>126</v>
      </c>
      <c r="E17" s="12" t="n">
        <v>2</v>
      </c>
      <c r="F17" s="10" t="s">
        <v>1314</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472</v>
      </c>
      <c r="D18" s="10" t="s">
        <v>126</v>
      </c>
      <c r="E18" s="12" t="n">
        <v>2</v>
      </c>
      <c r="F18" s="10" t="s">
        <v>1314</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498</v>
      </c>
      <c r="D19" s="10" t="s">
        <v>126</v>
      </c>
      <c r="E19" s="12" t="n">
        <v>2</v>
      </c>
      <c r="F19" s="10" t="s">
        <v>1314</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472</v>
      </c>
      <c r="D20" s="10" t="s">
        <v>126</v>
      </c>
      <c r="E20" s="12" t="n">
        <v>2</v>
      </c>
      <c r="F20" s="10" t="s">
        <v>1314</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498</v>
      </c>
      <c r="D21" s="10" t="s">
        <v>126</v>
      </c>
      <c r="E21" s="12" t="n">
        <v>2</v>
      </c>
      <c r="F21" s="10" t="s">
        <v>1314</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1315</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1315</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1315</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1315</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1315</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1316</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1317</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1318</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1319</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1320</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1321</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472</v>
      </c>
      <c r="D33" s="10" t="s">
        <v>131</v>
      </c>
      <c r="E33" s="12" t="n">
        <v>1.5</v>
      </c>
      <c r="F33" s="10" t="s">
        <v>1322</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498</v>
      </c>
      <c r="D34" s="10" t="s">
        <v>131</v>
      </c>
      <c r="E34" s="12" t="n">
        <v>1.5</v>
      </c>
      <c r="F34" s="10" t="s">
        <v>1322</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472</v>
      </c>
      <c r="D35" s="10" t="s">
        <v>131</v>
      </c>
      <c r="E35" s="12" t="n">
        <v>0.5</v>
      </c>
      <c r="F35" s="10" t="s">
        <v>1323</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498</v>
      </c>
      <c r="D36" s="10" t="s">
        <v>131</v>
      </c>
      <c r="E36" s="12" t="n">
        <v>0.5</v>
      </c>
      <c r="F36" s="10" t="s">
        <v>1323</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1324</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1325</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516</v>
      </c>
      <c r="D39" s="10" t="s">
        <v>126</v>
      </c>
      <c r="E39" s="12" t="n">
        <v>2</v>
      </c>
      <c r="F39" s="10" t="s">
        <v>1326</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516</v>
      </c>
      <c r="D40" s="10" t="s">
        <v>126</v>
      </c>
      <c r="E40" s="12" t="n">
        <v>2</v>
      </c>
      <c r="F40" s="10" t="s">
        <v>1326</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516</v>
      </c>
      <c r="D41" s="10" t="s">
        <v>126</v>
      </c>
      <c r="E41" s="12" t="n">
        <v>2</v>
      </c>
      <c r="F41" s="10" t="s">
        <v>1326</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516</v>
      </c>
      <c r="D42" s="10" t="s">
        <v>131</v>
      </c>
      <c r="E42" s="12" t="n">
        <v>1.5</v>
      </c>
      <c r="F42" s="10" t="s">
        <v>1322</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516</v>
      </c>
      <c r="D43" s="10" t="s">
        <v>131</v>
      </c>
      <c r="E43" s="12" t="n">
        <v>0.5</v>
      </c>
      <c r="F43" s="10" t="s">
        <v>1327</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532</v>
      </c>
      <c r="D44" s="10" t="s">
        <v>126</v>
      </c>
      <c r="E44" s="12" t="n">
        <v>2</v>
      </c>
      <c r="F44" s="10" t="s">
        <v>1326</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532</v>
      </c>
      <c r="D45" s="10" t="s">
        <v>126</v>
      </c>
      <c r="E45" s="12" t="n">
        <v>2</v>
      </c>
      <c r="F45" s="10" t="s">
        <v>1326</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532</v>
      </c>
      <c r="D46" s="10" t="s">
        <v>126</v>
      </c>
      <c r="E46" s="12" t="n">
        <v>2</v>
      </c>
      <c r="F46" s="10" t="s">
        <v>1326</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532</v>
      </c>
      <c r="D47" s="10" t="s">
        <v>131</v>
      </c>
      <c r="E47" s="12" t="n">
        <v>1.5</v>
      </c>
      <c r="F47" s="10" t="s">
        <v>1322</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532</v>
      </c>
      <c r="D48" s="10" t="s">
        <v>131</v>
      </c>
      <c r="E48" s="12" t="n">
        <v>0.5</v>
      </c>
      <c r="F48" s="10" t="s">
        <v>1327</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549</v>
      </c>
      <c r="D49" s="10" t="s">
        <v>126</v>
      </c>
      <c r="E49" s="12" t="n">
        <v>2</v>
      </c>
      <c r="F49" s="10" t="s">
        <v>1326</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549</v>
      </c>
      <c r="D50" s="10" t="s">
        <v>126</v>
      </c>
      <c r="E50" s="12" t="n">
        <v>2</v>
      </c>
      <c r="F50" s="10" t="s">
        <v>1326</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549</v>
      </c>
      <c r="D51" s="10" t="s">
        <v>126</v>
      </c>
      <c r="E51" s="12" t="n">
        <v>2</v>
      </c>
      <c r="F51" s="10" t="s">
        <v>1326</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549</v>
      </c>
      <c r="D52" s="10" t="s">
        <v>131</v>
      </c>
      <c r="E52" s="12" t="n">
        <v>1.5</v>
      </c>
      <c r="F52" s="10" t="s">
        <v>1322</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549</v>
      </c>
      <c r="D53" s="10" t="s">
        <v>131</v>
      </c>
      <c r="E53" s="12" t="n">
        <v>0.5</v>
      </c>
      <c r="F53" s="10" t="s">
        <v>1327</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1328</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1328</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1328</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1328</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1328</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1329</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1329</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1330</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1331</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563</v>
      </c>
      <c r="D70" s="10" t="s">
        <v>126</v>
      </c>
      <c r="E70" s="12" t="n">
        <v>2</v>
      </c>
      <c r="F70" s="10" t="s">
        <v>1326</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563</v>
      </c>
      <c r="D71" s="10" t="s">
        <v>126</v>
      </c>
      <c r="E71" s="12" t="n">
        <v>2</v>
      </c>
      <c r="F71" s="10" t="s">
        <v>1326</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563</v>
      </c>
      <c r="D72" s="10" t="s">
        <v>126</v>
      </c>
      <c r="E72" s="12" t="n">
        <v>2</v>
      </c>
      <c r="F72" s="10" t="s">
        <v>1326</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1332</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1333</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1318</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1334</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46443</v>
      </c>
      <c r="B77" s="10" t="s">
        <v>349</v>
      </c>
      <c r="D77" s="10" t="s">
        <v>130</v>
      </c>
      <c r="E77" s="12" t="n">
        <v>1.5</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t="n">
        <v>46447</v>
      </c>
      <c r="B78" s="10" t="s">
        <v>349</v>
      </c>
      <c r="D78" s="10" t="s">
        <v>130</v>
      </c>
      <c r="E78" s="12" t="n">
        <v>1.5</v>
      </c>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t="n">
        <v>46450</v>
      </c>
      <c r="B79" s="10" t="s">
        <v>349</v>
      </c>
      <c r="C79" s="10" t="s">
        <v>563</v>
      </c>
      <c r="D79" s="10" t="s">
        <v>131</v>
      </c>
      <c r="E79" s="12" t="n">
        <v>1.5</v>
      </c>
      <c r="F79" s="10" t="s">
        <v>1322</v>
      </c>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t="n">
        <v>46455</v>
      </c>
      <c r="B80" s="10" t="s">
        <v>349</v>
      </c>
      <c r="C80" s="10" t="s">
        <v>563</v>
      </c>
      <c r="D80" s="10" t="s">
        <v>131</v>
      </c>
      <c r="E80" s="12" t="n">
        <v>0.5</v>
      </c>
      <c r="F80" s="10" t="s">
        <v>1335</v>
      </c>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t="n">
        <v>46442</v>
      </c>
      <c r="B81" s="10" t="s">
        <v>349</v>
      </c>
      <c r="D81" s="10" t="s">
        <v>132</v>
      </c>
      <c r="E81" s="12" t="n">
        <v>1</v>
      </c>
      <c r="F81" s="10" t="s">
        <v>1336</v>
      </c>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t="n">
        <v>46440</v>
      </c>
      <c r="B82" s="10" t="s">
        <v>353</v>
      </c>
      <c r="C82" s="10" t="s">
        <v>576</v>
      </c>
      <c r="D82" s="10" t="s">
        <v>126</v>
      </c>
      <c r="E82" s="12" t="n">
        <v>2</v>
      </c>
      <c r="F82" s="10" t="s">
        <v>1337</v>
      </c>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t="n">
        <v>46478</v>
      </c>
      <c r="B83" s="10" t="s">
        <v>353</v>
      </c>
      <c r="C83" s="10" t="s">
        <v>576</v>
      </c>
      <c r="D83" s="10" t="s">
        <v>131</v>
      </c>
      <c r="E83" s="12" t="n">
        <v>1.5</v>
      </c>
      <c r="F83" s="10" t="s">
        <v>1322</v>
      </c>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t="n">
        <v>46440</v>
      </c>
      <c r="B84" s="10" t="s">
        <v>353</v>
      </c>
      <c r="C84" s="10" t="s">
        <v>584</v>
      </c>
      <c r="D84" s="10" t="s">
        <v>126</v>
      </c>
      <c r="E84" s="12" t="n">
        <v>2</v>
      </c>
      <c r="F84" s="10" t="s">
        <v>1337</v>
      </c>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t="n">
        <v>46478</v>
      </c>
      <c r="B85" s="10" t="s">
        <v>353</v>
      </c>
      <c r="C85" s="10" t="s">
        <v>584</v>
      </c>
      <c r="D85" s="10" t="s">
        <v>131</v>
      </c>
      <c r="E85" s="12" t="n">
        <v>1.5</v>
      </c>
      <c r="F85" s="10" t="s">
        <v>1322</v>
      </c>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t="n">
        <v>46443</v>
      </c>
      <c r="B86" s="10" t="s">
        <v>353</v>
      </c>
      <c r="D86" s="10" t="s">
        <v>127</v>
      </c>
      <c r="E86" s="12" t="n">
        <v>1.5</v>
      </c>
      <c r="F86" s="10" t="s">
        <v>1332</v>
      </c>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t="n">
        <v>46462</v>
      </c>
      <c r="B87" s="10" t="s">
        <v>353</v>
      </c>
      <c r="D87" s="10" t="s">
        <v>128</v>
      </c>
      <c r="E87" s="12" t="n">
        <v>1</v>
      </c>
      <c r="F87" s="10" t="s">
        <v>1338</v>
      </c>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t="n">
        <v>46464</v>
      </c>
      <c r="B88" s="10" t="s">
        <v>353</v>
      </c>
      <c r="D88" s="10" t="s">
        <v>128</v>
      </c>
      <c r="E88" s="12" t="n">
        <v>1.5</v>
      </c>
      <c r="F88" s="10" t="s">
        <v>1339</v>
      </c>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t="n">
        <v>46469</v>
      </c>
      <c r="B89" s="10" t="s">
        <v>353</v>
      </c>
      <c r="D89" s="10" t="s">
        <v>129</v>
      </c>
      <c r="E89" s="12" t="n">
        <v>2</v>
      </c>
      <c r="F89" s="10" t="s">
        <v>1340</v>
      </c>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t="n">
        <v>46471</v>
      </c>
      <c r="B90" s="10" t="s">
        <v>353</v>
      </c>
      <c r="D90" s="10" t="s">
        <v>130</v>
      </c>
      <c r="E90" s="12" t="n">
        <v>1.5</v>
      </c>
      <c r="F90" s="10" t="s">
        <v>1341</v>
      </c>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t="n">
        <v>46475</v>
      </c>
      <c r="B91" s="10" t="s">
        <v>353</v>
      </c>
      <c r="D91" s="10" t="s">
        <v>130</v>
      </c>
      <c r="E91" s="12" t="n">
        <v>1</v>
      </c>
      <c r="F91" s="10" t="s">
        <v>1342</v>
      </c>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t="n">
        <v>46470</v>
      </c>
      <c r="B92" s="10" t="s">
        <v>353</v>
      </c>
      <c r="D92" s="10" t="s">
        <v>132</v>
      </c>
      <c r="E92" s="12" t="n">
        <v>1</v>
      </c>
      <c r="F92" s="10" t="s">
        <v>1336</v>
      </c>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358</v>
      </c>
      <c r="D1" s="28" t="s">
        <v>1343</v>
      </c>
      <c r="E1" s="28" t="s">
        <v>1344</v>
      </c>
      <c r="F1" s="28" t="s">
        <v>1345</v>
      </c>
      <c r="G1" s="28" t="s">
        <v>1346</v>
      </c>
      <c r="H1" s="28" t="s">
        <v>178</v>
      </c>
      <c r="I1" s="29" t="s">
        <v>120</v>
      </c>
    </row>
    <row r="2" customFormat="false" ht="15" hidden="false" customHeight="false" outlineLevel="0" collapsed="false">
      <c r="A2" s="11" t="n">
        <v>46394</v>
      </c>
      <c r="B2" s="10" t="s">
        <v>337</v>
      </c>
      <c r="C2" s="10" t="s">
        <v>472</v>
      </c>
      <c r="D2" s="10" t="s">
        <v>1347</v>
      </c>
      <c r="E2" s="12" t="n">
        <v>40</v>
      </c>
      <c r="F2" s="10" t="s">
        <v>1348</v>
      </c>
      <c r="H2" s="10" t="s">
        <v>1349</v>
      </c>
      <c r="I2" s="30" t="str">
        <f aca="false">IF($A2="","",IF(COUNTIF(drops!$A$2:$A$21,$B2)=0,"drop_id not on drops; ","")&amp;IF(N($E2)&lt;=0,"amount?; ","")&amp;IF($D2="","cost type?; ",""))</f>
        <v/>
      </c>
    </row>
    <row r="3" customFormat="false" ht="15" hidden="false" customHeight="false" outlineLevel="0" collapsed="false">
      <c r="A3" s="11" t="n">
        <v>46394</v>
      </c>
      <c r="B3" s="10" t="s">
        <v>337</v>
      </c>
      <c r="C3" s="10" t="s">
        <v>498</v>
      </c>
      <c r="D3" s="10" t="s">
        <v>1347</v>
      </c>
      <c r="E3" s="12" t="n">
        <v>40</v>
      </c>
      <c r="F3" s="10" t="s">
        <v>1348</v>
      </c>
      <c r="H3" s="10" t="s">
        <v>1349</v>
      </c>
      <c r="I3" s="30" t="str">
        <f aca="false">IF($A3="","",IF(COUNTIF(drops!$A$2:$A$21,$B3)=0,"drop_id not on drops; ","")&amp;IF(N($E3)&lt;=0,"amount?; ","")&amp;IF($D3="","cost type?; ",""))</f>
        <v/>
      </c>
    </row>
    <row r="4" customFormat="false" ht="15" hidden="false" customHeight="false" outlineLevel="0" collapsed="false">
      <c r="A4" s="11" t="n">
        <v>46399</v>
      </c>
      <c r="B4" s="10" t="s">
        <v>337</v>
      </c>
      <c r="D4" s="10" t="s">
        <v>1350</v>
      </c>
      <c r="E4" s="12" t="n">
        <v>34</v>
      </c>
      <c r="F4" s="10" t="s">
        <v>1351</v>
      </c>
      <c r="H4" s="10" t="s">
        <v>1352</v>
      </c>
      <c r="I4" s="30" t="str">
        <f aca="false">IF($A4="","",IF(COUNTIF(drops!$A$2:$A$21,$B4)=0,"drop_id not on drops; ","")&amp;IF(N($E4)&lt;=0,"amount?; ","")&amp;IF($D4="","cost type?; ",""))</f>
        <v/>
      </c>
    </row>
    <row r="5" customFormat="false" ht="15" hidden="false" customHeight="false" outlineLevel="0" collapsed="false">
      <c r="A5" s="11" t="n">
        <v>46399</v>
      </c>
      <c r="B5" s="10" t="s">
        <v>337</v>
      </c>
      <c r="D5" s="10" t="s">
        <v>1350</v>
      </c>
      <c r="E5" s="12" t="n">
        <v>29</v>
      </c>
      <c r="F5" s="10" t="s">
        <v>1351</v>
      </c>
      <c r="H5" s="10" t="s">
        <v>1353</v>
      </c>
      <c r="I5" s="30" t="str">
        <f aca="false">IF($A5="","",IF(COUNTIF(drops!$A$2:$A$21,$B5)=0,"drop_id not on drops; ","")&amp;IF(N($E5)&lt;=0,"amount?; ","")&amp;IF($D5="","cost type?; ",""))</f>
        <v/>
      </c>
    </row>
    <row r="6" customFormat="false" ht="15" hidden="false" customHeight="false" outlineLevel="0" collapsed="false">
      <c r="A6" s="11" t="n">
        <v>46394</v>
      </c>
      <c r="B6" s="10" t="s">
        <v>337</v>
      </c>
      <c r="D6" s="10" t="s">
        <v>1354</v>
      </c>
      <c r="E6" s="12" t="n">
        <v>9</v>
      </c>
      <c r="F6" s="10" t="s">
        <v>1355</v>
      </c>
      <c r="H6" s="10" t="s">
        <v>1356</v>
      </c>
      <c r="I6" s="30" t="str">
        <f aca="false">IF($A6="","",IF(COUNTIF(drops!$A$2:$A$21,$B6)=0,"drop_id not on drops; ","")&amp;IF(N($E6)&lt;=0,"amount?; ","")&amp;IF($D6="","cost type?; ",""))</f>
        <v/>
      </c>
    </row>
    <row r="7" customFormat="false" ht="15" hidden="false" customHeight="false" outlineLevel="0" collapsed="false">
      <c r="A7" s="11" t="n">
        <v>46422</v>
      </c>
      <c r="B7" s="10" t="s">
        <v>344</v>
      </c>
      <c r="C7" s="10" t="s">
        <v>516</v>
      </c>
      <c r="D7" s="10" t="s">
        <v>1347</v>
      </c>
      <c r="E7" s="12" t="n">
        <v>80</v>
      </c>
      <c r="F7" s="10" t="s">
        <v>1348</v>
      </c>
      <c r="I7" s="30" t="str">
        <f aca="false">IF($A7="","",IF(COUNTIF(drops!$A$2:$A$21,$B7)=0,"drop_id not on drops; ","")&amp;IF(N($E7)&lt;=0,"amount?; ","")&amp;IF($D7="","cost type?; ",""))</f>
        <v/>
      </c>
    </row>
    <row r="8" customFormat="false" ht="15" hidden="false" customHeight="false" outlineLevel="0" collapsed="false">
      <c r="A8" s="11" t="n">
        <v>46422</v>
      </c>
      <c r="B8" s="10" t="s">
        <v>344</v>
      </c>
      <c r="C8" s="10" t="s">
        <v>532</v>
      </c>
      <c r="D8" s="10" t="s">
        <v>1347</v>
      </c>
      <c r="E8" s="12" t="n">
        <v>72</v>
      </c>
      <c r="F8" s="10" t="s">
        <v>1348</v>
      </c>
      <c r="I8" s="30" t="str">
        <f aca="false">IF($A8="","",IF(COUNTIF(drops!$A$2:$A$21,$B8)=0,"drop_id not on drops; ","")&amp;IF(N($E8)&lt;=0,"amount?; ","")&amp;IF($D8="","cost type?; ",""))</f>
        <v/>
      </c>
    </row>
    <row r="9" customFormat="false" ht="15" hidden="false" customHeight="false" outlineLevel="0" collapsed="false">
      <c r="A9" s="11" t="n">
        <v>46422</v>
      </c>
      <c r="B9" s="10" t="s">
        <v>344</v>
      </c>
      <c r="C9" s="10" t="s">
        <v>549</v>
      </c>
      <c r="D9" s="10" t="s">
        <v>1347</v>
      </c>
      <c r="E9" s="12" t="n">
        <v>80</v>
      </c>
      <c r="F9" s="10" t="s">
        <v>1348</v>
      </c>
      <c r="I9" s="30" t="str">
        <f aca="false">IF($A9="","",IF(COUNTIF(drops!$A$2:$A$21,$B9)=0,"drop_id not on drops; ","")&amp;IF(N($E9)&lt;=0,"amount?; ","")&amp;IF($D9="","cost type?; ",""))</f>
        <v/>
      </c>
    </row>
    <row r="10" customFormat="false" ht="15" hidden="false" customHeight="false" outlineLevel="0" collapsed="false">
      <c r="A10" s="11" t="n">
        <v>46427</v>
      </c>
      <c r="B10" s="10" t="s">
        <v>344</v>
      </c>
      <c r="D10" s="10" t="s">
        <v>1350</v>
      </c>
      <c r="E10" s="12" t="n">
        <v>320</v>
      </c>
      <c r="F10" s="10" t="s">
        <v>1357</v>
      </c>
      <c r="H10" s="10" t="s">
        <v>1358</v>
      </c>
      <c r="I10" s="30" t="str">
        <f aca="false">IF($A10="","",IF(COUNTIF(drops!$A$2:$A$21,$B10)=0,"drop_id not on drops; ","")&amp;IF(N($E10)&lt;=0,"amount?; ","")&amp;IF($D10="","cost type?; ",""))</f>
        <v/>
      </c>
    </row>
    <row r="11" customFormat="false" ht="15" hidden="false" customHeight="false" outlineLevel="0" collapsed="false">
      <c r="A11" s="11" t="n">
        <v>46427</v>
      </c>
      <c r="B11" s="10" t="s">
        <v>344</v>
      </c>
      <c r="D11" s="10" t="s">
        <v>1350</v>
      </c>
      <c r="E11" s="12" t="n">
        <v>38</v>
      </c>
      <c r="F11" s="10" t="s">
        <v>1351</v>
      </c>
      <c r="H11" s="10" t="s">
        <v>1359</v>
      </c>
      <c r="I11" s="30" t="str">
        <f aca="false">IF($A11="","",IF(COUNTIF(drops!$A$2:$A$21,$B11)=0,"drop_id not on drops; ","")&amp;IF(N($E11)&lt;=0,"amount?; ","")&amp;IF($D11="","cost type?; ",""))</f>
        <v/>
      </c>
    </row>
    <row r="12" customFormat="false" ht="15" hidden="false" customHeight="false" outlineLevel="0" collapsed="false">
      <c r="A12" s="11" t="n">
        <v>46436</v>
      </c>
      <c r="B12" s="10" t="s">
        <v>349</v>
      </c>
      <c r="C12" s="10" t="s">
        <v>563</v>
      </c>
      <c r="D12" s="10" t="s">
        <v>1347</v>
      </c>
      <c r="E12" s="12" t="n">
        <v>80</v>
      </c>
      <c r="F12" s="10" t="s">
        <v>1348</v>
      </c>
      <c r="I12" s="30" t="str">
        <f aca="false">IF($A12="","",IF(COUNTIF(drops!$A$2:$A$21,$B12)=0,"drop_id not on drops; ","")&amp;IF(N($E12)&lt;=0,"amount?; ","")&amp;IF($D12="","cost type?; ",""))</f>
        <v/>
      </c>
    </row>
    <row r="13" customFormat="false" ht="15" hidden="false" customHeight="false" outlineLevel="0" collapsed="false">
      <c r="A13" s="11" t="n">
        <v>46441</v>
      </c>
      <c r="B13" s="10" t="s">
        <v>349</v>
      </c>
      <c r="D13" s="10" t="s">
        <v>1350</v>
      </c>
      <c r="E13" s="12" t="n">
        <v>300</v>
      </c>
      <c r="F13" s="10" t="s">
        <v>1357</v>
      </c>
      <c r="H13" s="10" t="s">
        <v>1360</v>
      </c>
      <c r="I13" s="30" t="str">
        <f aca="false">IF($A13="","",IF(COUNTIF(drops!$A$2:$A$21,$B13)=0,"drop_id not on drops; ","")&amp;IF(N($E13)&lt;=0,"amount?; ","")&amp;IF($D13="","cost type?; ",""))</f>
        <v/>
      </c>
    </row>
    <row r="14" customFormat="false" ht="15" hidden="false" customHeight="false" outlineLevel="0" collapsed="false">
      <c r="A14" s="11" t="n">
        <v>46464</v>
      </c>
      <c r="B14" s="10" t="s">
        <v>353</v>
      </c>
      <c r="C14" s="10" t="s">
        <v>576</v>
      </c>
      <c r="D14" s="10" t="s">
        <v>1347</v>
      </c>
      <c r="E14" s="12" t="n">
        <v>80</v>
      </c>
      <c r="F14" s="10" t="s">
        <v>1348</v>
      </c>
      <c r="I14" s="30" t="str">
        <f aca="false">IF($A14="","",IF(COUNTIF(drops!$A$2:$A$21,$B14)=0,"drop_id not on drops; ","")&amp;IF(N($E14)&lt;=0,"amount?; ","")&amp;IF($D14="","cost type?; ",""))</f>
        <v/>
      </c>
    </row>
    <row r="15" customFormat="false" ht="15" hidden="false" customHeight="false" outlineLevel="0" collapsed="false">
      <c r="A15" s="11" t="n">
        <v>46464</v>
      </c>
      <c r="B15" s="10" t="s">
        <v>353</v>
      </c>
      <c r="C15" s="10" t="s">
        <v>584</v>
      </c>
      <c r="D15" s="10" t="s">
        <v>1347</v>
      </c>
      <c r="E15" s="12" t="n">
        <v>80</v>
      </c>
      <c r="F15" s="10" t="s">
        <v>1348</v>
      </c>
      <c r="I15" s="30" t="str">
        <f aca="false">IF($A15="","",IF(COUNTIF(drops!$A$2:$A$21,$B15)=0,"drop_id not on drops; ","")&amp;IF(N($E15)&lt;=0,"amount?; ","")&amp;IF($D15="","cost type?; ",""))</f>
        <v/>
      </c>
    </row>
    <row r="16" customFormat="false" ht="15" hidden="false" customHeight="false" outlineLevel="0" collapsed="false">
      <c r="A16" s="11" t="n">
        <v>46464</v>
      </c>
      <c r="B16" s="10" t="s">
        <v>353</v>
      </c>
      <c r="D16" s="10" t="s">
        <v>1354</v>
      </c>
      <c r="E16" s="12" t="n">
        <v>45</v>
      </c>
      <c r="F16" s="10" t="s">
        <v>1361</v>
      </c>
      <c r="H16" s="10" t="s">
        <v>1362</v>
      </c>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1363</v>
      </c>
      <c r="B1" s="28" t="s">
        <v>358</v>
      </c>
      <c r="C1" s="28" t="s">
        <v>1364</v>
      </c>
      <c r="D1" s="28" t="s">
        <v>1365</v>
      </c>
      <c r="E1" s="28" t="s">
        <v>1344</v>
      </c>
      <c r="F1" s="28" t="s">
        <v>1366</v>
      </c>
      <c r="G1" s="28" t="s">
        <v>1367</v>
      </c>
      <c r="H1" s="28" t="s">
        <v>1368</v>
      </c>
      <c r="I1" s="28" t="s">
        <v>1369</v>
      </c>
      <c r="J1" s="28" t="s">
        <v>1370</v>
      </c>
      <c r="K1" s="28" t="s">
        <v>1371</v>
      </c>
      <c r="L1" s="28" t="s">
        <v>460</v>
      </c>
      <c r="M1" s="28" t="s">
        <v>178</v>
      </c>
      <c r="N1" s="29" t="s">
        <v>411</v>
      </c>
      <c r="O1" s="29" t="s">
        <v>1372</v>
      </c>
      <c r="P1" s="29" t="s">
        <v>1373</v>
      </c>
      <c r="Q1" s="29" t="s">
        <v>79</v>
      </c>
      <c r="R1" s="29" t="s">
        <v>1374</v>
      </c>
      <c r="S1" s="29" t="s">
        <v>120</v>
      </c>
    </row>
    <row r="2" customFormat="false" ht="15" hidden="false" customHeight="false" outlineLevel="0" collapsed="false">
      <c r="A2" s="0" t="s">
        <v>1375</v>
      </c>
      <c r="B2" s="0" t="s">
        <v>472</v>
      </c>
      <c r="C2" s="10" t="s">
        <v>1376</v>
      </c>
      <c r="D2" s="11" t="n">
        <v>46363</v>
      </c>
      <c r="E2" s="12" t="n">
        <v>600</v>
      </c>
      <c r="F2" s="12" t="n">
        <v>0</v>
      </c>
      <c r="G2" s="10" t="s">
        <v>624</v>
      </c>
      <c r="H2" s="11" t="n">
        <v>46366</v>
      </c>
      <c r="I2" s="12" t="n">
        <v>600</v>
      </c>
      <c r="J2" s="10" t="s">
        <v>1377</v>
      </c>
      <c r="K2" s="10" t="s">
        <v>1378</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1379</v>
      </c>
      <c r="B3" s="0" t="s">
        <v>498</v>
      </c>
      <c r="C3" s="10" t="s">
        <v>1376</v>
      </c>
      <c r="D3" s="11" t="n">
        <v>46364</v>
      </c>
      <c r="E3" s="12" t="n">
        <v>600</v>
      </c>
      <c r="F3" s="12" t="n">
        <v>0</v>
      </c>
      <c r="G3" s="10" t="s">
        <v>629</v>
      </c>
      <c r="H3" s="11" t="n">
        <v>46367</v>
      </c>
      <c r="I3" s="12" t="n">
        <v>600</v>
      </c>
      <c r="J3" s="10" t="s">
        <v>1377</v>
      </c>
      <c r="K3" s="10" t="s">
        <v>1380</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1381</v>
      </c>
      <c r="B4" s="0" t="s">
        <v>472</v>
      </c>
      <c r="C4" s="10" t="s">
        <v>1382</v>
      </c>
      <c r="D4" s="11" t="n">
        <v>46400</v>
      </c>
      <c r="E4" s="12" t="n">
        <v>-120</v>
      </c>
      <c r="F4" s="12" t="n">
        <v>0</v>
      </c>
      <c r="G4" s="10" t="s">
        <v>624</v>
      </c>
      <c r="H4" s="11" t="n">
        <v>46402</v>
      </c>
      <c r="I4" s="12" t="n">
        <v>-120</v>
      </c>
      <c r="J4" s="10" t="s">
        <v>1377</v>
      </c>
      <c r="K4" s="10" t="s">
        <v>1383</v>
      </c>
      <c r="L4" s="12" t="n">
        <v>0</v>
      </c>
      <c r="M4" s="10" t="s">
        <v>1384</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1385</v>
      </c>
      <c r="B5" s="0" t="s">
        <v>516</v>
      </c>
      <c r="C5" s="10" t="s">
        <v>1386</v>
      </c>
      <c r="D5" s="11" t="n">
        <v>46391</v>
      </c>
      <c r="E5" s="12" t="n">
        <v>750</v>
      </c>
      <c r="F5" s="12" t="n">
        <v>0</v>
      </c>
      <c r="G5" s="10" t="s">
        <v>1387</v>
      </c>
      <c r="H5" s="11" t="n">
        <v>46394</v>
      </c>
      <c r="I5" s="12" t="n">
        <v>750</v>
      </c>
      <c r="J5" s="10" t="s">
        <v>1377</v>
      </c>
      <c r="K5" s="10" t="s">
        <v>1388</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1389</v>
      </c>
      <c r="B6" s="0" t="s">
        <v>516</v>
      </c>
      <c r="C6" s="10" t="s">
        <v>1390</v>
      </c>
      <c r="D6" s="11" t="n">
        <v>46428</v>
      </c>
      <c r="E6" s="12" t="n">
        <v>750</v>
      </c>
      <c r="F6" s="12" t="n">
        <v>0</v>
      </c>
      <c r="G6" s="10" t="s">
        <v>1387</v>
      </c>
      <c r="H6" s="11" t="n">
        <v>46434</v>
      </c>
      <c r="I6" s="12" t="n">
        <v>750</v>
      </c>
      <c r="J6" s="10" t="s">
        <v>1377</v>
      </c>
      <c r="K6" s="10" t="s">
        <v>1391</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1392</v>
      </c>
      <c r="B7" s="0" t="s">
        <v>532</v>
      </c>
      <c r="C7" s="10" t="s">
        <v>1386</v>
      </c>
      <c r="D7" s="11" t="n">
        <v>46393</v>
      </c>
      <c r="E7" s="12" t="n">
        <v>750</v>
      </c>
      <c r="F7" s="12" t="n">
        <v>0</v>
      </c>
      <c r="G7" s="10" t="s">
        <v>1387</v>
      </c>
      <c r="H7" s="11" t="n">
        <v>46398</v>
      </c>
      <c r="I7" s="12" t="n">
        <v>750</v>
      </c>
      <c r="J7" s="10" t="s">
        <v>1377</v>
      </c>
      <c r="K7" s="10" t="s">
        <v>1393</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1394</v>
      </c>
      <c r="B8" s="0" t="s">
        <v>532</v>
      </c>
      <c r="C8" s="10" t="s">
        <v>1390</v>
      </c>
      <c r="D8" s="11" t="n">
        <v>46428</v>
      </c>
      <c r="E8" s="12" t="n">
        <v>750</v>
      </c>
      <c r="F8" s="12" t="n">
        <v>0</v>
      </c>
      <c r="G8" s="10" t="s">
        <v>1387</v>
      </c>
      <c r="H8" s="11" t="n">
        <v>46435</v>
      </c>
      <c r="I8" s="12" t="n">
        <v>600</v>
      </c>
      <c r="J8" s="10" t="s">
        <v>1377</v>
      </c>
      <c r="K8" s="10" t="s">
        <v>1395</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1396</v>
      </c>
      <c r="B9" s="0" t="s">
        <v>532</v>
      </c>
      <c r="C9" s="10" t="s">
        <v>1382</v>
      </c>
      <c r="D9" s="11" t="n">
        <v>46428</v>
      </c>
      <c r="E9" s="12" t="n">
        <v>-150</v>
      </c>
      <c r="F9" s="12" t="n">
        <v>0</v>
      </c>
      <c r="G9" s="10" t="s">
        <v>1387</v>
      </c>
      <c r="H9" s="11"/>
      <c r="I9" s="12"/>
      <c r="J9" s="10"/>
      <c r="L9" s="12"/>
      <c r="M9" s="10" t="s">
        <v>1397</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1398</v>
      </c>
      <c r="B10" s="0" t="s">
        <v>549</v>
      </c>
      <c r="C10" s="10" t="s">
        <v>1386</v>
      </c>
      <c r="D10" s="11" t="n">
        <v>46395</v>
      </c>
      <c r="E10" s="12" t="n">
        <v>750</v>
      </c>
      <c r="F10" s="12" t="n">
        <v>0</v>
      </c>
      <c r="G10" s="10" t="s">
        <v>1387</v>
      </c>
      <c r="H10" s="11" t="n">
        <v>46399</v>
      </c>
      <c r="I10" s="12" t="n">
        <v>750</v>
      </c>
      <c r="J10" s="10" t="s">
        <v>1377</v>
      </c>
      <c r="K10" s="10" t="s">
        <v>1399</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1400</v>
      </c>
      <c r="B11" s="0" t="s">
        <v>549</v>
      </c>
      <c r="C11" s="10" t="s">
        <v>1390</v>
      </c>
      <c r="D11" s="11" t="n">
        <v>46428</v>
      </c>
      <c r="E11" s="12" t="n">
        <v>750</v>
      </c>
      <c r="F11" s="12" t="n">
        <v>0</v>
      </c>
      <c r="G11" s="10" t="s">
        <v>1387</v>
      </c>
      <c r="H11" s="11" t="n">
        <v>46430</v>
      </c>
      <c r="I11" s="12" t="n">
        <v>750</v>
      </c>
      <c r="J11" s="10" t="s">
        <v>1377</v>
      </c>
      <c r="K11" s="10" t="s">
        <v>1401</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1402</v>
      </c>
      <c r="B12" s="0" t="s">
        <v>563</v>
      </c>
      <c r="C12" s="10" t="s">
        <v>1386</v>
      </c>
      <c r="D12" s="11" t="n">
        <v>46412</v>
      </c>
      <c r="E12" s="12" t="n">
        <v>750</v>
      </c>
      <c r="F12" s="12" t="n">
        <v>0</v>
      </c>
      <c r="G12" s="10" t="s">
        <v>641</v>
      </c>
      <c r="H12" s="11" t="n">
        <v>46415</v>
      </c>
      <c r="I12" s="12" t="n">
        <v>750</v>
      </c>
      <c r="J12" s="10" t="s">
        <v>1377</v>
      </c>
      <c r="K12" s="10" t="s">
        <v>1403</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1404</v>
      </c>
      <c r="B13" s="0" t="s">
        <v>563</v>
      </c>
      <c r="C13" s="10" t="s">
        <v>1390</v>
      </c>
      <c r="D13" s="11" t="n">
        <v>46442</v>
      </c>
      <c r="E13" s="12" t="n">
        <v>750</v>
      </c>
      <c r="F13" s="12" t="n">
        <v>0</v>
      </c>
      <c r="G13" s="10" t="s">
        <v>641</v>
      </c>
      <c r="H13" s="11" t="n">
        <v>46444</v>
      </c>
      <c r="I13" s="12" t="n">
        <v>600</v>
      </c>
      <c r="J13" s="10" t="s">
        <v>1377</v>
      </c>
      <c r="K13" s="10" t="s">
        <v>1405</v>
      </c>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paid (less credit)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1406</v>
      </c>
      <c r="B14" s="0" t="s">
        <v>563</v>
      </c>
      <c r="C14" s="10" t="s">
        <v>1382</v>
      </c>
      <c r="D14" s="11" t="n">
        <v>46442</v>
      </c>
      <c r="E14" s="12" t="n">
        <v>-150</v>
      </c>
      <c r="F14" s="12" t="n">
        <v>0</v>
      </c>
      <c r="G14" s="10" t="s">
        <v>641</v>
      </c>
      <c r="H14" s="11"/>
      <c r="I14" s="12"/>
      <c r="J14" s="10"/>
      <c r="L14" s="12"/>
      <c r="M14" s="10" t="s">
        <v>1407</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A15" s="0" t="s">
        <v>1408</v>
      </c>
      <c r="B15" s="0" t="s">
        <v>576</v>
      </c>
      <c r="C15" s="10" t="s">
        <v>1376</v>
      </c>
      <c r="D15" s="11" t="n">
        <v>46442</v>
      </c>
      <c r="E15" s="12" t="n">
        <v>1200</v>
      </c>
      <c r="F15" s="12" t="n">
        <v>0</v>
      </c>
      <c r="G15" s="10" t="s">
        <v>624</v>
      </c>
      <c r="H15" s="11" t="n">
        <v>46447</v>
      </c>
      <c r="I15" s="12" t="n">
        <v>1200</v>
      </c>
      <c r="J15" s="10" t="s">
        <v>1377</v>
      </c>
      <c r="K15" s="10" t="s">
        <v>1409</v>
      </c>
      <c r="L15" s="12" t="n">
        <v>0</v>
      </c>
      <c r="N15" s="30" t="str">
        <f aca="false">IF($B15="","",IFERROR(IF(INDEX(campaigns!$BE$2:$BE$51,MATCH($B15,campaigns!$A$2:$A$51,0))="","",INDEX(campaigns!$BE$2:$BE$51,MATCH($B15,campaigns!$A$2:$A$51,0))),""))</f>
        <v>SAMPLE Brightside</v>
      </c>
      <c r="O15" s="31" t="n">
        <f aca="false">IF(OR($A15="",$D15=""),"",IF($C15="founding_full",WORKDAY($D15,config!$B$27,calendar!$A$2:$A$80),$D15))</f>
        <v>46449</v>
      </c>
      <c r="P15" s="32" t="n">
        <f aca="false">IF($A15="","",N($E15)+N($F15))</f>
        <v>1200</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paid</v>
      </c>
      <c r="R15" s="30" t="str">
        <f aca="false">IF($A15="","",IF(OR($C15="founding_full",$C15="standard_deposit"),"Y","N"))</f>
        <v>Y</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A16" s="0" t="s">
        <v>1410</v>
      </c>
      <c r="B16" s="0" t="s">
        <v>584</v>
      </c>
      <c r="C16" s="10" t="s">
        <v>1386</v>
      </c>
      <c r="D16" s="11" t="n">
        <v>46442</v>
      </c>
      <c r="E16" s="12" t="n">
        <v>750</v>
      </c>
      <c r="F16" s="12" t="n">
        <v>0</v>
      </c>
      <c r="G16" s="10" t="s">
        <v>632</v>
      </c>
      <c r="H16" s="11" t="n">
        <v>46444</v>
      </c>
      <c r="I16" s="12" t="n">
        <v>750</v>
      </c>
      <c r="J16" s="10" t="s">
        <v>1377</v>
      </c>
      <c r="K16" s="10" t="s">
        <v>1411</v>
      </c>
      <c r="L16" s="12" t="n">
        <v>0</v>
      </c>
      <c r="N16" s="30" t="str">
        <f aca="false">IF($B16="","",IFERROR(IF(INDEX(campaigns!$BE$2:$BE$51,MATCH($B16,campaigns!$A$2:$A$51,0))="","",INDEX(campaigns!$BE$2:$BE$51,MATCH($B16,campaigns!$A$2:$A$51,0))),""))</f>
        <v>SAMPLE Tallgrass</v>
      </c>
      <c r="O16" s="31" t="n">
        <f aca="false">IF(OR($A16="",$D16=""),"",IF($C16="founding_full",WORKDAY($D16,config!$B$27,calendar!$A$2:$A$80),$D16))</f>
        <v>46442</v>
      </c>
      <c r="P16" s="32" t="n">
        <f aca="false">IF($A16="","",N($E16)+N($F16))</f>
        <v>750</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paid</v>
      </c>
      <c r="R16" s="30" t="str">
        <f aca="false">IF($A16="","",IF(OR($C16="founding_full",$C16="standard_deposit"),"Y","N"))</f>
        <v>Y</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A17" s="0" t="s">
        <v>1412</v>
      </c>
      <c r="B17" s="0" t="s">
        <v>584</v>
      </c>
      <c r="C17" s="10" t="s">
        <v>1390</v>
      </c>
      <c r="D17" s="11" t="n">
        <v>46470</v>
      </c>
      <c r="E17" s="12" t="n">
        <v>750</v>
      </c>
      <c r="F17" s="12" t="n">
        <v>0</v>
      </c>
      <c r="G17" s="10" t="s">
        <v>632</v>
      </c>
      <c r="H17" s="11" t="n">
        <v>46475</v>
      </c>
      <c r="I17" s="12" t="n">
        <v>600</v>
      </c>
      <c r="J17" s="10" t="s">
        <v>1377</v>
      </c>
      <c r="K17" s="10" t="s">
        <v>1413</v>
      </c>
      <c r="L17" s="12" t="n">
        <v>0</v>
      </c>
      <c r="N17" s="30" t="str">
        <f aca="false">IF($B17="","",IFERROR(IF(INDEX(campaigns!$BE$2:$BE$51,MATCH($B17,campaigns!$A$2:$A$51,0))="","",INDEX(campaigns!$BE$2:$BE$51,MATCH($B17,campaigns!$A$2:$A$51,0))),""))</f>
        <v>SAMPLE Tallgrass</v>
      </c>
      <c r="O17" s="31" t="n">
        <f aca="false">IF(OR($A17="",$D17=""),"",IF($C17="founding_full",WORKDAY($D17,config!$B$27,calendar!$A$2:$A$80),$D17))</f>
        <v>46470</v>
      </c>
      <c r="P17" s="32" t="n">
        <f aca="false">IF($A17="","",N($E17)+N($F17))</f>
        <v>750</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paid (less credit)</v>
      </c>
      <c r="R17" s="30" t="str">
        <f aca="false">IF($A17="","",IF(OR($C17="founding_full",$C17="standard_deposit"),"Y","N"))</f>
        <v>N</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A18" s="0" t="s">
        <v>1414</v>
      </c>
      <c r="B18" s="0" t="s">
        <v>584</v>
      </c>
      <c r="C18" s="10" t="s">
        <v>1382</v>
      </c>
      <c r="D18" s="11" t="n">
        <v>46470</v>
      </c>
      <c r="E18" s="12" t="n">
        <v>-150</v>
      </c>
      <c r="F18" s="12" t="n">
        <v>0</v>
      </c>
      <c r="G18" s="10" t="s">
        <v>632</v>
      </c>
      <c r="H18" s="11"/>
      <c r="I18" s="12"/>
      <c r="J18" s="10"/>
      <c r="L18" s="12"/>
      <c r="M18" s="10" t="s">
        <v>1415</v>
      </c>
      <c r="N18" s="30" t="str">
        <f aca="false">IF($B18="","",IFERROR(IF(INDEX(campaigns!$BE$2:$BE$51,MATCH($B18,campaigns!$A$2:$A$51,0))="","",INDEX(campaigns!$BE$2:$BE$51,MATCH($B18,campaigns!$A$2:$A$51,0))),""))</f>
        <v>SAMPLE Tallgrass</v>
      </c>
      <c r="O18" s="31" t="n">
        <f aca="false">IF(OR($A18="",$D18=""),"",IF($C18="founding_full",WORKDAY($D18,config!$B$27,calendar!$A$2:$A$80),$D18))</f>
        <v>46470</v>
      </c>
      <c r="P18" s="32" t="n">
        <f aca="false">IF($A18="","",N($E18)+N($F18))</f>
        <v>-150</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credit applied</v>
      </c>
      <c r="R18" s="30" t="str">
        <f aca="false">IF($A18="","",IF(OR($C18="founding_full",$C18="standard_deposit"),"Y","N"))</f>
        <v>N</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1416</v>
      </c>
      <c r="B1" s="40" t="s">
        <v>1417</v>
      </c>
      <c r="C1" s="40" t="s">
        <v>138</v>
      </c>
      <c r="D1" s="40" t="s">
        <v>601</v>
      </c>
      <c r="E1" s="40" t="s">
        <v>602</v>
      </c>
      <c r="F1" s="40" t="s">
        <v>603</v>
      </c>
      <c r="G1" s="40" t="s">
        <v>604</v>
      </c>
      <c r="H1" s="40" t="s">
        <v>654</v>
      </c>
      <c r="I1" s="40" t="s">
        <v>655</v>
      </c>
      <c r="J1" s="40" t="s">
        <v>656</v>
      </c>
      <c r="K1" s="40" t="s">
        <v>657</v>
      </c>
      <c r="L1" s="40" t="s">
        <v>658</v>
      </c>
      <c r="M1" s="40" t="s">
        <v>659</v>
      </c>
      <c r="N1" s="40" t="s">
        <v>660</v>
      </c>
      <c r="O1" s="40" t="s">
        <v>661</v>
      </c>
      <c r="P1" s="40" t="s">
        <v>662</v>
      </c>
      <c r="Q1" s="40" t="s">
        <v>663</v>
      </c>
      <c r="R1" s="40" t="s">
        <v>664</v>
      </c>
      <c r="S1" s="40" t="s">
        <v>665</v>
      </c>
      <c r="T1" s="40" t="s">
        <v>305</v>
      </c>
      <c r="U1" s="40" t="s">
        <v>823</v>
      </c>
    </row>
    <row r="2" customFormat="false" ht="15" hidden="false" customHeight="false" outlineLevel="0" collapsed="false">
      <c r="A2" s="0" t="s">
        <v>1418</v>
      </c>
      <c r="B2" s="0" t="s">
        <v>1419</v>
      </c>
      <c r="C2" s="0" t="s">
        <v>1420</v>
      </c>
      <c r="D2" s="0" t="s">
        <v>1421</v>
      </c>
      <c r="E2" s="0" t="s">
        <v>1422</v>
      </c>
      <c r="F2" s="0" t="s">
        <v>1423</v>
      </c>
      <c r="G2" s="0" t="s">
        <v>1424</v>
      </c>
      <c r="H2" s="0" t="s">
        <v>1425</v>
      </c>
      <c r="I2" s="0" t="s">
        <v>1426</v>
      </c>
      <c r="J2" s="0" t="n">
        <v>52</v>
      </c>
      <c r="K2" s="0" t="s">
        <v>1421</v>
      </c>
      <c r="L2" s="0" t="s">
        <v>1422</v>
      </c>
      <c r="M2" s="0" t="s">
        <v>486</v>
      </c>
      <c r="N2" s="0" t="s">
        <v>1427</v>
      </c>
      <c r="O2" s="0" t="s">
        <v>1428</v>
      </c>
      <c r="P2" s="0" t="s">
        <v>146</v>
      </c>
      <c r="Q2" s="0" t="s">
        <v>1429</v>
      </c>
      <c r="R2" s="0" t="s">
        <v>1430</v>
      </c>
      <c r="T2" s="0" t="s">
        <v>1431</v>
      </c>
      <c r="U2" s="0" t="s">
        <v>599</v>
      </c>
    </row>
    <row r="3" customFormat="false" ht="15" hidden="false" customHeight="false" outlineLevel="0" collapsed="false">
      <c r="A3" s="0" t="s">
        <v>1432</v>
      </c>
      <c r="B3" s="0" t="s">
        <v>1419</v>
      </c>
      <c r="C3" s="0" t="s">
        <v>1433</v>
      </c>
      <c r="D3" s="0" t="s">
        <v>1434</v>
      </c>
      <c r="E3" s="0" t="s">
        <v>1422</v>
      </c>
      <c r="F3" s="0" t="s">
        <v>1435</v>
      </c>
      <c r="G3" s="0" t="s">
        <v>1436</v>
      </c>
      <c r="H3" s="0" t="s">
        <v>1437</v>
      </c>
      <c r="I3" s="0" t="s">
        <v>1438</v>
      </c>
      <c r="J3" s="0" t="n">
        <v>95</v>
      </c>
      <c r="K3" s="0" t="s">
        <v>1434</v>
      </c>
      <c r="L3" s="0" t="s">
        <v>1422</v>
      </c>
      <c r="M3" s="0" t="s">
        <v>486</v>
      </c>
      <c r="N3" s="0" t="s">
        <v>1427</v>
      </c>
      <c r="O3" s="0" t="s">
        <v>1439</v>
      </c>
      <c r="P3" s="0" t="s">
        <v>1440</v>
      </c>
      <c r="Q3" s="0" t="s">
        <v>1429</v>
      </c>
      <c r="R3" s="0" t="s">
        <v>1441</v>
      </c>
      <c r="T3" s="0" t="s">
        <v>1431</v>
      </c>
      <c r="U3" s="0" t="s">
        <v>599</v>
      </c>
    </row>
    <row r="4" customFormat="false" ht="15" hidden="false" customHeight="false" outlineLevel="0" collapsed="false">
      <c r="A4" s="0" t="s">
        <v>1442</v>
      </c>
      <c r="B4" s="0" t="s">
        <v>1419</v>
      </c>
      <c r="C4" s="0" t="s">
        <v>1443</v>
      </c>
      <c r="D4" s="0" t="s">
        <v>1444</v>
      </c>
      <c r="E4" s="0" t="s">
        <v>1422</v>
      </c>
      <c r="F4" s="0" t="s">
        <v>1445</v>
      </c>
      <c r="G4" s="0" t="s">
        <v>1446</v>
      </c>
      <c r="H4" s="0" t="s">
        <v>1447</v>
      </c>
      <c r="I4" s="0" t="s">
        <v>1448</v>
      </c>
      <c r="J4" s="0" t="n">
        <v>190</v>
      </c>
      <c r="K4" s="0" t="s">
        <v>1444</v>
      </c>
      <c r="L4" s="0" t="s">
        <v>1422</v>
      </c>
      <c r="M4" s="0" t="s">
        <v>486</v>
      </c>
      <c r="N4" s="0" t="s">
        <v>758</v>
      </c>
      <c r="O4" s="0" t="s">
        <v>1449</v>
      </c>
      <c r="P4" s="0" t="s">
        <v>496</v>
      </c>
      <c r="Q4" s="0" t="s">
        <v>1429</v>
      </c>
      <c r="R4" s="0" t="s">
        <v>1450</v>
      </c>
      <c r="T4" s="0" t="s">
        <v>1431</v>
      </c>
      <c r="U4" s="0" t="s">
        <v>599</v>
      </c>
    </row>
    <row r="5" customFormat="false" ht="15" hidden="false" customHeight="false" outlineLevel="0" collapsed="false">
      <c r="A5" s="0" t="s">
        <v>1451</v>
      </c>
      <c r="B5" s="0" t="s">
        <v>1419</v>
      </c>
      <c r="C5" s="0" t="s">
        <v>1452</v>
      </c>
      <c r="D5" s="0" t="s">
        <v>1453</v>
      </c>
      <c r="E5" s="0" t="s">
        <v>1422</v>
      </c>
      <c r="F5" s="0" t="s">
        <v>1454</v>
      </c>
      <c r="G5" s="0" t="s">
        <v>1455</v>
      </c>
      <c r="H5" s="0" t="s">
        <v>1456</v>
      </c>
      <c r="I5" s="0" t="s">
        <v>1457</v>
      </c>
      <c r="J5" s="0" t="n">
        <v>65</v>
      </c>
      <c r="K5" s="0" t="s">
        <v>1453</v>
      </c>
      <c r="L5" s="0" t="s">
        <v>1422</v>
      </c>
      <c r="M5" s="0" t="s">
        <v>486</v>
      </c>
      <c r="N5" s="0" t="s">
        <v>1427</v>
      </c>
      <c r="O5" s="0" t="s">
        <v>1428</v>
      </c>
      <c r="P5" s="0" t="s">
        <v>146</v>
      </c>
      <c r="Q5" s="0" t="s">
        <v>1429</v>
      </c>
      <c r="R5" s="0" t="s">
        <v>1458</v>
      </c>
      <c r="T5" s="0" t="s">
        <v>1431</v>
      </c>
      <c r="U5" s="0" t="s">
        <v>599</v>
      </c>
    </row>
    <row r="6" customFormat="false" ht="15" hidden="false" customHeight="false" outlineLevel="0" collapsed="false">
      <c r="A6" s="0" t="s">
        <v>1459</v>
      </c>
      <c r="B6" s="0" t="s">
        <v>1419</v>
      </c>
      <c r="C6" s="0" t="s">
        <v>1460</v>
      </c>
      <c r="D6" s="0" t="s">
        <v>1461</v>
      </c>
      <c r="E6" s="0" t="s">
        <v>1422</v>
      </c>
      <c r="F6" s="0" t="s">
        <v>1462</v>
      </c>
      <c r="G6" s="0" t="s">
        <v>1463</v>
      </c>
      <c r="H6" s="0" t="s">
        <v>1464</v>
      </c>
      <c r="I6" s="0" t="s">
        <v>1465</v>
      </c>
      <c r="J6" s="0" t="n">
        <v>140</v>
      </c>
      <c r="K6" s="0" t="s">
        <v>1461</v>
      </c>
      <c r="L6" s="0" t="s">
        <v>1422</v>
      </c>
      <c r="M6" s="0" t="s">
        <v>486</v>
      </c>
      <c r="N6" s="0" t="s">
        <v>758</v>
      </c>
      <c r="O6" s="0" t="s">
        <v>1439</v>
      </c>
      <c r="P6" s="0" t="s">
        <v>146</v>
      </c>
      <c r="Q6" s="0" t="s">
        <v>1429</v>
      </c>
      <c r="R6" s="0" t="s">
        <v>1466</v>
      </c>
      <c r="S6" s="0" t="s">
        <v>1467</v>
      </c>
      <c r="T6" s="0" t="s">
        <v>1431</v>
      </c>
      <c r="U6" s="0" t="s">
        <v>599</v>
      </c>
    </row>
    <row r="7" customFormat="false" ht="15" hidden="false" customHeight="false" outlineLevel="0" collapsed="false">
      <c r="A7" s="0" t="s">
        <v>1468</v>
      </c>
      <c r="B7" s="0" t="s">
        <v>1419</v>
      </c>
      <c r="C7" s="0" t="s">
        <v>1469</v>
      </c>
      <c r="D7" s="0" t="s">
        <v>1470</v>
      </c>
      <c r="E7" s="0" t="s">
        <v>1422</v>
      </c>
      <c r="F7" s="0" t="s">
        <v>1471</v>
      </c>
      <c r="G7" s="0" t="s">
        <v>1472</v>
      </c>
      <c r="H7" s="0" t="s">
        <v>1473</v>
      </c>
      <c r="I7" s="0" t="s">
        <v>1474</v>
      </c>
      <c r="J7" s="0" t="n">
        <v>220</v>
      </c>
      <c r="K7" s="0" t="s">
        <v>1470</v>
      </c>
      <c r="L7" s="0" t="s">
        <v>1422</v>
      </c>
      <c r="M7" s="0" t="s">
        <v>486</v>
      </c>
      <c r="N7" s="0" t="s">
        <v>758</v>
      </c>
      <c r="O7" s="0" t="s">
        <v>1449</v>
      </c>
      <c r="P7" s="0" t="s">
        <v>146</v>
      </c>
      <c r="Q7" s="0" t="s">
        <v>1429</v>
      </c>
      <c r="R7" s="0" t="s">
        <v>1475</v>
      </c>
      <c r="T7" s="0" t="s">
        <v>1431</v>
      </c>
      <c r="U7" s="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1416</v>
      </c>
      <c r="B1" s="40" t="s">
        <v>1417</v>
      </c>
      <c r="C1" s="40" t="s">
        <v>411</v>
      </c>
      <c r="D1" s="40" t="s">
        <v>599</v>
      </c>
      <c r="E1" s="40" t="s">
        <v>601</v>
      </c>
      <c r="F1" s="40" t="s">
        <v>602</v>
      </c>
      <c r="G1" s="40" t="s">
        <v>603</v>
      </c>
      <c r="H1" s="40" t="s">
        <v>604</v>
      </c>
      <c r="I1" s="40" t="s">
        <v>365</v>
      </c>
      <c r="J1" s="40" t="s">
        <v>412</v>
      </c>
      <c r="K1" s="40" t="s">
        <v>600</v>
      </c>
      <c r="L1" s="40" t="s">
        <v>606</v>
      </c>
      <c r="M1" s="40" t="s">
        <v>605</v>
      </c>
      <c r="N1" s="40" t="s">
        <v>607</v>
      </c>
      <c r="O1" s="40" t="s">
        <v>1476</v>
      </c>
      <c r="P1" s="40" t="s">
        <v>1477</v>
      </c>
      <c r="Q1" s="40" t="s">
        <v>608</v>
      </c>
      <c r="R1" s="40" t="s">
        <v>609</v>
      </c>
      <c r="S1" s="40" t="s">
        <v>610</v>
      </c>
      <c r="T1" s="40" t="s">
        <v>611</v>
      </c>
      <c r="U1" s="40" t="s">
        <v>612</v>
      </c>
      <c r="V1" s="40" t="s">
        <v>613</v>
      </c>
      <c r="W1" s="40" t="s">
        <v>614</v>
      </c>
      <c r="X1" s="40" t="s">
        <v>615</v>
      </c>
      <c r="Y1" s="40" t="s">
        <v>616</v>
      </c>
      <c r="Z1" s="40" t="s">
        <v>305</v>
      </c>
      <c r="AA1" s="40" t="s">
        <v>823</v>
      </c>
    </row>
    <row r="2" customFormat="false" ht="15" hidden="false" customHeight="false" outlineLevel="0" collapsed="false">
      <c r="A2" s="0" t="s">
        <v>621</v>
      </c>
      <c r="B2" s="0" t="s">
        <v>1478</v>
      </c>
      <c r="C2" s="0" t="s">
        <v>1479</v>
      </c>
      <c r="D2" s="0" t="s">
        <v>1480</v>
      </c>
      <c r="E2" s="0" t="s">
        <v>1481</v>
      </c>
      <c r="F2" s="0" t="s">
        <v>1482</v>
      </c>
      <c r="G2" s="0" t="s">
        <v>1483</v>
      </c>
      <c r="H2" s="0" t="s">
        <v>1484</v>
      </c>
      <c r="I2" s="0" t="s">
        <v>476</v>
      </c>
      <c r="J2" s="0" t="s">
        <v>1485</v>
      </c>
      <c r="K2" s="0" t="s">
        <v>1486</v>
      </c>
      <c r="L2" s="0" t="s">
        <v>481</v>
      </c>
      <c r="M2" s="0" t="s">
        <v>1487</v>
      </c>
      <c r="N2" s="0" t="s">
        <v>486</v>
      </c>
      <c r="O2" s="0" t="s">
        <v>1488</v>
      </c>
      <c r="P2" s="0" t="s">
        <v>486</v>
      </c>
      <c r="Q2" s="0" t="s">
        <v>1489</v>
      </c>
      <c r="R2" s="0" t="s">
        <v>486</v>
      </c>
      <c r="S2" s="0" t="s">
        <v>486</v>
      </c>
      <c r="T2" s="0" t="s">
        <v>486</v>
      </c>
      <c r="U2" s="0" t="s">
        <v>486</v>
      </c>
      <c r="V2" s="0" t="s">
        <v>486</v>
      </c>
      <c r="W2" s="0" t="s">
        <v>486</v>
      </c>
      <c r="X2" s="0" t="s">
        <v>1490</v>
      </c>
      <c r="Y2" s="0" t="s">
        <v>486</v>
      </c>
      <c r="AA2" s="0" t="s">
        <v>599</v>
      </c>
    </row>
    <row r="3" customFormat="false" ht="15" hidden="false" customHeight="false" outlineLevel="0" collapsed="false">
      <c r="A3" s="0" t="s">
        <v>630</v>
      </c>
      <c r="B3" s="0" t="s">
        <v>1491</v>
      </c>
      <c r="C3" s="0" t="s">
        <v>1492</v>
      </c>
      <c r="D3" s="0" t="s">
        <v>1493</v>
      </c>
      <c r="E3" s="0" t="s">
        <v>1494</v>
      </c>
      <c r="F3" s="0" t="s">
        <v>1482</v>
      </c>
      <c r="G3" s="0" t="s">
        <v>1495</v>
      </c>
      <c r="H3" s="0" t="s">
        <v>1496</v>
      </c>
      <c r="I3" s="0" t="s">
        <v>519</v>
      </c>
      <c r="J3" s="0" t="s">
        <v>1497</v>
      </c>
      <c r="K3" s="0" t="s">
        <v>1498</v>
      </c>
      <c r="L3" s="0" t="s">
        <v>481</v>
      </c>
      <c r="M3" s="0" t="s">
        <v>1499</v>
      </c>
      <c r="N3" s="0" t="s">
        <v>486</v>
      </c>
      <c r="O3" s="0" t="s">
        <v>1488</v>
      </c>
      <c r="P3" s="0" t="s">
        <v>486</v>
      </c>
      <c r="Q3" s="0" t="s">
        <v>1500</v>
      </c>
      <c r="R3" s="0" t="s">
        <v>486</v>
      </c>
      <c r="S3" s="0" t="s">
        <v>486</v>
      </c>
      <c r="T3" s="0" t="s">
        <v>486</v>
      </c>
      <c r="U3" s="0" t="s">
        <v>486</v>
      </c>
      <c r="V3" s="0" t="s">
        <v>486</v>
      </c>
      <c r="W3" s="0" t="s">
        <v>486</v>
      </c>
      <c r="X3" s="0" t="s">
        <v>1490</v>
      </c>
      <c r="Y3" s="0" t="s">
        <v>486</v>
      </c>
      <c r="AA3" s="0" t="s">
        <v>599</v>
      </c>
    </row>
    <row r="4" customFormat="false" ht="15" hidden="false" customHeight="false" outlineLevel="0" collapsed="false">
      <c r="A4" s="0" t="s">
        <v>633</v>
      </c>
      <c r="B4" s="0" t="s">
        <v>1491</v>
      </c>
      <c r="C4" s="0" t="s">
        <v>1501</v>
      </c>
      <c r="D4" s="0" t="s">
        <v>1502</v>
      </c>
      <c r="E4" s="0" t="s">
        <v>1503</v>
      </c>
      <c r="F4" s="0" t="s">
        <v>1482</v>
      </c>
      <c r="G4" s="0" t="s">
        <v>1504</v>
      </c>
      <c r="H4" s="0" t="s">
        <v>1505</v>
      </c>
      <c r="I4" s="0" t="s">
        <v>534</v>
      </c>
      <c r="J4" s="0" t="s">
        <v>1506</v>
      </c>
      <c r="K4" s="0" t="s">
        <v>1507</v>
      </c>
      <c r="L4" s="0" t="s">
        <v>481</v>
      </c>
      <c r="M4" s="0" t="s">
        <v>1508</v>
      </c>
      <c r="N4" s="0" t="s">
        <v>486</v>
      </c>
      <c r="O4" s="0" t="s">
        <v>1488</v>
      </c>
      <c r="P4" s="0" t="s">
        <v>486</v>
      </c>
      <c r="Q4" s="0" t="s">
        <v>1509</v>
      </c>
      <c r="R4" s="0" t="s">
        <v>486</v>
      </c>
      <c r="S4" s="0" t="s">
        <v>486</v>
      </c>
      <c r="T4" s="0" t="s">
        <v>486</v>
      </c>
      <c r="U4" s="0" t="s">
        <v>486</v>
      </c>
      <c r="V4" s="0" t="s">
        <v>486</v>
      </c>
      <c r="W4" s="0" t="s">
        <v>486</v>
      </c>
      <c r="X4" s="0" t="s">
        <v>1490</v>
      </c>
      <c r="Y4" s="0" t="s">
        <v>486</v>
      </c>
      <c r="AA4" s="0" t="s">
        <v>599</v>
      </c>
    </row>
    <row r="5" customFormat="false" ht="15" hidden="false" customHeight="false" outlineLevel="0" collapsed="false">
      <c r="A5" s="0" t="s">
        <v>636</v>
      </c>
      <c r="B5" s="0" t="s">
        <v>1491</v>
      </c>
      <c r="C5" s="0" t="s">
        <v>1510</v>
      </c>
      <c r="D5" s="0" t="s">
        <v>1511</v>
      </c>
      <c r="E5" s="0" t="s">
        <v>1512</v>
      </c>
      <c r="F5" s="0" t="s">
        <v>1482</v>
      </c>
      <c r="G5" s="0" t="s">
        <v>1513</v>
      </c>
      <c r="H5" s="0" t="s">
        <v>1514</v>
      </c>
      <c r="I5" s="0" t="s">
        <v>551</v>
      </c>
      <c r="J5" s="0" t="s">
        <v>1485</v>
      </c>
      <c r="K5" s="0" t="s">
        <v>1515</v>
      </c>
      <c r="L5" s="0" t="s">
        <v>481</v>
      </c>
      <c r="M5" s="0" t="s">
        <v>1516</v>
      </c>
      <c r="N5" s="0" t="s">
        <v>486</v>
      </c>
      <c r="O5" s="0" t="s">
        <v>1488</v>
      </c>
      <c r="P5" s="0" t="s">
        <v>486</v>
      </c>
      <c r="Q5" s="0" t="s">
        <v>1517</v>
      </c>
      <c r="R5" s="0" t="s">
        <v>486</v>
      </c>
      <c r="S5" s="0" t="s">
        <v>486</v>
      </c>
      <c r="T5" s="0" t="s">
        <v>486</v>
      </c>
      <c r="U5" s="0" t="s">
        <v>486</v>
      </c>
      <c r="V5" s="0" t="s">
        <v>486</v>
      </c>
      <c r="W5" s="0" t="s">
        <v>486</v>
      </c>
      <c r="X5" s="0" t="s">
        <v>1490</v>
      </c>
      <c r="Y5" s="0" t="s">
        <v>486</v>
      </c>
      <c r="AA5" s="0" t="s">
        <v>599</v>
      </c>
    </row>
    <row r="6" customFormat="false" ht="15" hidden="false" customHeight="false" outlineLevel="0" collapsed="false">
      <c r="A6" s="0" t="s">
        <v>639</v>
      </c>
      <c r="B6" s="0" t="s">
        <v>1491</v>
      </c>
      <c r="C6" s="0" t="s">
        <v>1518</v>
      </c>
      <c r="D6" s="0" t="s">
        <v>1519</v>
      </c>
      <c r="E6" s="0" t="s">
        <v>1520</v>
      </c>
      <c r="F6" s="0" t="s">
        <v>1482</v>
      </c>
      <c r="G6" s="0" t="s">
        <v>1521</v>
      </c>
      <c r="H6" s="0" t="s">
        <v>1522</v>
      </c>
      <c r="I6" s="0" t="s">
        <v>565</v>
      </c>
      <c r="J6" s="0" t="s">
        <v>1485</v>
      </c>
      <c r="K6" s="0" t="s">
        <v>1523</v>
      </c>
      <c r="L6" s="0" t="s">
        <v>481</v>
      </c>
      <c r="M6" s="0" t="s">
        <v>1524</v>
      </c>
      <c r="N6" s="0" t="s">
        <v>486</v>
      </c>
      <c r="O6" s="0" t="s">
        <v>1488</v>
      </c>
      <c r="P6" s="0" t="s">
        <v>486</v>
      </c>
      <c r="Q6" s="0" t="s">
        <v>1525</v>
      </c>
      <c r="R6" s="0" t="s">
        <v>486</v>
      </c>
      <c r="S6" s="0" t="s">
        <v>486</v>
      </c>
      <c r="T6" s="0" t="s">
        <v>486</v>
      </c>
      <c r="U6" s="0" t="s">
        <v>486</v>
      </c>
      <c r="V6" s="0" t="s">
        <v>486</v>
      </c>
      <c r="W6" s="0" t="s">
        <v>486</v>
      </c>
      <c r="X6" s="0" t="s">
        <v>1490</v>
      </c>
      <c r="Y6" s="0" t="s">
        <v>486</v>
      </c>
      <c r="AA6" s="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1526</v>
      </c>
      <c r="B1" s="41" t="s">
        <v>1527</v>
      </c>
      <c r="C1" s="41" t="s">
        <v>1528</v>
      </c>
      <c r="D1" s="41" t="s">
        <v>1529</v>
      </c>
      <c r="E1" s="41" t="s">
        <v>1530</v>
      </c>
      <c r="F1" s="41" t="s">
        <v>1531</v>
      </c>
      <c r="G1" s="41" t="s">
        <v>1532</v>
      </c>
      <c r="H1" s="41" t="s">
        <v>1533</v>
      </c>
      <c r="I1" s="41" t="s">
        <v>1534</v>
      </c>
      <c r="J1" s="41" t="s">
        <v>1535</v>
      </c>
      <c r="K1" s="41" t="s">
        <v>1536</v>
      </c>
      <c r="L1" s="41" t="s">
        <v>1537</v>
      </c>
      <c r="M1" s="41" t="s">
        <v>1538</v>
      </c>
      <c r="N1" s="41" t="s">
        <v>1539</v>
      </c>
      <c r="O1" s="41" t="s">
        <v>1540</v>
      </c>
      <c r="P1" s="41" t="s">
        <v>1541</v>
      </c>
      <c r="Q1" s="41" t="s">
        <v>1542</v>
      </c>
      <c r="R1" s="41" t="s">
        <v>1543</v>
      </c>
      <c r="S1" s="41" t="s">
        <v>1544</v>
      </c>
      <c r="U1" s="23" t="s">
        <v>1545</v>
      </c>
    </row>
    <row r="2" customFormat="false" ht="15" hidden="false" customHeight="false" outlineLevel="0" collapsed="false">
      <c r="A2" s="42" t="n">
        <v>46338.5847222222</v>
      </c>
      <c r="B2" s="10" t="s">
        <v>1546</v>
      </c>
      <c r="C2" s="10" t="s">
        <v>1547</v>
      </c>
      <c r="D2" s="10" t="s">
        <v>1422</v>
      </c>
      <c r="E2" s="10" t="s">
        <v>1548</v>
      </c>
      <c r="F2" s="10" t="s">
        <v>1549</v>
      </c>
      <c r="G2" s="10" t="s">
        <v>1550</v>
      </c>
      <c r="H2" s="10" t="s">
        <v>1551</v>
      </c>
      <c r="I2" s="0" t="n">
        <v>48</v>
      </c>
      <c r="J2" s="10" t="s">
        <v>1552</v>
      </c>
      <c r="M2" s="10" t="s">
        <v>1553</v>
      </c>
      <c r="N2" s="10" t="s">
        <v>1439</v>
      </c>
      <c r="O2" s="10" t="s">
        <v>1554</v>
      </c>
      <c r="P2" s="10" t="s">
        <v>1555</v>
      </c>
      <c r="Q2" s="10" t="s">
        <v>1556</v>
      </c>
      <c r="S2" s="10" t="s">
        <v>1431</v>
      </c>
    </row>
    <row r="3" customFormat="false" ht="15" hidden="false" customHeight="false" outlineLevel="0" collapsed="false">
      <c r="A3" s="42" t="n">
        <v>46351.5861111111</v>
      </c>
      <c r="B3" s="10" t="s">
        <v>1557</v>
      </c>
      <c r="C3" s="10" t="s">
        <v>1558</v>
      </c>
      <c r="D3" s="10" t="s">
        <v>1422</v>
      </c>
      <c r="E3" s="10" t="s">
        <v>1559</v>
      </c>
      <c r="F3" s="10" t="s">
        <v>1560</v>
      </c>
      <c r="G3" s="10" t="s">
        <v>1561</v>
      </c>
      <c r="H3" s="10" t="s">
        <v>1562</v>
      </c>
      <c r="I3" s="0" t="n">
        <v>110</v>
      </c>
      <c r="J3" s="10" t="s">
        <v>1552</v>
      </c>
      <c r="M3" s="10" t="s">
        <v>1563</v>
      </c>
      <c r="N3" s="10" t="s">
        <v>1449</v>
      </c>
      <c r="O3" s="10" t="s">
        <v>1554</v>
      </c>
      <c r="P3" s="10" t="s">
        <v>1555</v>
      </c>
      <c r="Q3" s="10" t="s">
        <v>1564</v>
      </c>
      <c r="S3" s="10" t="s">
        <v>1431</v>
      </c>
    </row>
    <row r="4" customFormat="false" ht="15" hidden="false" customHeight="false" outlineLevel="0" collapsed="false">
      <c r="A4" s="42" t="n">
        <v>46388.5888888889</v>
      </c>
      <c r="B4" s="10" t="s">
        <v>1565</v>
      </c>
      <c r="C4" s="10" t="s">
        <v>1566</v>
      </c>
      <c r="D4" s="10" t="s">
        <v>1422</v>
      </c>
      <c r="E4" s="10" t="s">
        <v>1567</v>
      </c>
      <c r="F4" s="10" t="s">
        <v>1568</v>
      </c>
      <c r="G4" s="10" t="s">
        <v>1569</v>
      </c>
      <c r="H4" s="10" t="s">
        <v>1570</v>
      </c>
      <c r="I4" s="0" t="n">
        <v>80</v>
      </c>
      <c r="J4" s="10" t="s">
        <v>1552</v>
      </c>
      <c r="M4" s="10" t="s">
        <v>1553</v>
      </c>
      <c r="N4" s="10" t="s">
        <v>1439</v>
      </c>
      <c r="O4" s="10" t="s">
        <v>1571</v>
      </c>
      <c r="P4" s="10" t="s">
        <v>1555</v>
      </c>
      <c r="Q4" s="10" t="s">
        <v>1572</v>
      </c>
      <c r="S4" s="10" t="s">
        <v>1431</v>
      </c>
    </row>
    <row r="5" customFormat="false" ht="15" hidden="false" customHeight="false" outlineLevel="0" collapsed="false">
      <c r="A5" s="42" t="n">
        <v>46394.5902777778</v>
      </c>
      <c r="B5" s="10" t="s">
        <v>1573</v>
      </c>
      <c r="C5" s="10" t="s">
        <v>1574</v>
      </c>
      <c r="D5" s="10" t="s">
        <v>1422</v>
      </c>
      <c r="E5" s="10" t="s">
        <v>1575</v>
      </c>
      <c r="F5" s="10" t="s">
        <v>1576</v>
      </c>
      <c r="G5" s="10" t="s">
        <v>1577</v>
      </c>
      <c r="H5" s="10" t="s">
        <v>1426</v>
      </c>
      <c r="I5" s="0" t="n">
        <v>45</v>
      </c>
      <c r="J5" s="10" t="s">
        <v>1552</v>
      </c>
      <c r="M5" s="10" t="s">
        <v>1578</v>
      </c>
      <c r="N5" s="10" t="s">
        <v>1428</v>
      </c>
      <c r="O5" s="10" t="s">
        <v>1554</v>
      </c>
      <c r="P5" s="10" t="s">
        <v>1555</v>
      </c>
      <c r="Q5" s="10" t="s">
        <v>1579</v>
      </c>
      <c r="S5" s="10" t="s">
        <v>1431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1526</v>
      </c>
      <c r="B1" s="41" t="s">
        <v>1580</v>
      </c>
      <c r="C1" s="41" t="s">
        <v>1581</v>
      </c>
      <c r="D1" s="41" t="s">
        <v>1582</v>
      </c>
      <c r="E1" s="41" t="s">
        <v>1583</v>
      </c>
      <c r="F1" s="41" t="s">
        <v>1584</v>
      </c>
      <c r="G1" s="41" t="s">
        <v>1528</v>
      </c>
      <c r="H1" s="41" t="s">
        <v>1585</v>
      </c>
      <c r="I1" s="41" t="s">
        <v>1530</v>
      </c>
      <c r="J1" s="41" t="s">
        <v>1531</v>
      </c>
      <c r="K1" s="41" t="s">
        <v>1586</v>
      </c>
      <c r="L1" s="41" t="s">
        <v>1587</v>
      </c>
      <c r="M1" s="41" t="s">
        <v>1588</v>
      </c>
      <c r="N1" s="41" t="s">
        <v>1589</v>
      </c>
      <c r="O1" s="41" t="s">
        <v>1590</v>
      </c>
      <c r="P1" s="41" t="s">
        <v>1591</v>
      </c>
      <c r="Q1" s="41" t="s">
        <v>1592</v>
      </c>
      <c r="R1" s="41" t="s">
        <v>1593</v>
      </c>
      <c r="S1" s="41" t="s">
        <v>1594</v>
      </c>
      <c r="T1" s="41" t="s">
        <v>1595</v>
      </c>
      <c r="U1" s="41" t="s">
        <v>1596</v>
      </c>
      <c r="V1" s="41" t="s">
        <v>1597</v>
      </c>
      <c r="W1" s="41" t="s">
        <v>1598</v>
      </c>
      <c r="X1" s="41" t="s">
        <v>1599</v>
      </c>
      <c r="Y1" s="41" t="s">
        <v>1600</v>
      </c>
      <c r="AA1" s="23" t="s">
        <v>1601</v>
      </c>
    </row>
    <row r="2" customFormat="false" ht="15" hidden="false" customHeight="false" outlineLevel="0" collapsed="false">
      <c r="A2" s="42" t="n">
        <v>46345.5868055556</v>
      </c>
      <c r="B2" s="10" t="s">
        <v>1602</v>
      </c>
      <c r="C2" s="10" t="s">
        <v>1603</v>
      </c>
      <c r="D2" s="10" t="s">
        <v>500</v>
      </c>
      <c r="E2" s="10" t="s">
        <v>1604</v>
      </c>
      <c r="F2" s="10" t="s">
        <v>1605</v>
      </c>
      <c r="G2" s="10" t="s">
        <v>1606</v>
      </c>
      <c r="H2" s="10" t="s">
        <v>1482</v>
      </c>
      <c r="I2" s="10" t="s">
        <v>1607</v>
      </c>
      <c r="J2" s="10" t="s">
        <v>1608</v>
      </c>
      <c r="K2" s="10" t="s">
        <v>1609</v>
      </c>
      <c r="M2" s="10" t="s">
        <v>481</v>
      </c>
      <c r="N2" s="10" t="s">
        <v>1610</v>
      </c>
      <c r="O2" s="10" t="s">
        <v>1571</v>
      </c>
      <c r="P2" s="10" t="s">
        <v>1488</v>
      </c>
      <c r="Q2" s="10" t="s">
        <v>1571</v>
      </c>
      <c r="R2" s="10" t="s">
        <v>1571</v>
      </c>
      <c r="S2" s="10" t="s">
        <v>1571</v>
      </c>
      <c r="T2" s="10" t="s">
        <v>1571</v>
      </c>
      <c r="U2" s="10" t="s">
        <v>1571</v>
      </c>
      <c r="V2" s="10" t="s">
        <v>1571</v>
      </c>
      <c r="W2" s="10" t="s">
        <v>1490</v>
      </c>
      <c r="X2" s="10" t="s">
        <v>1611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1416</v>
      </c>
      <c r="B1" s="29" t="s">
        <v>1417</v>
      </c>
      <c r="C1" s="29" t="s">
        <v>138</v>
      </c>
      <c r="D1" s="29" t="s">
        <v>601</v>
      </c>
      <c r="E1" s="29" t="s">
        <v>602</v>
      </c>
      <c r="F1" s="29" t="s">
        <v>603</v>
      </c>
      <c r="G1" s="29" t="s">
        <v>604</v>
      </c>
      <c r="H1" s="29" t="s">
        <v>654</v>
      </c>
      <c r="I1" s="29" t="s">
        <v>655</v>
      </c>
      <c r="J1" s="29" t="s">
        <v>656</v>
      </c>
      <c r="K1" s="29" t="s">
        <v>657</v>
      </c>
      <c r="L1" s="29" t="s">
        <v>658</v>
      </c>
      <c r="M1" s="29" t="s">
        <v>659</v>
      </c>
      <c r="N1" s="29" t="s">
        <v>660</v>
      </c>
      <c r="O1" s="29" t="s">
        <v>661</v>
      </c>
      <c r="P1" s="29" t="s">
        <v>662</v>
      </c>
      <c r="Q1" s="29" t="s">
        <v>663</v>
      </c>
      <c r="R1" s="29" t="s">
        <v>664</v>
      </c>
      <c r="S1" s="29" t="s">
        <v>665</v>
      </c>
      <c r="T1" s="29" t="s">
        <v>305</v>
      </c>
      <c r="U1" s="29" t="s">
        <v>823</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1416</v>
      </c>
      <c r="B1" s="29" t="s">
        <v>1417</v>
      </c>
      <c r="C1" s="29" t="s">
        <v>411</v>
      </c>
      <c r="D1" s="29" t="s">
        <v>599</v>
      </c>
      <c r="E1" s="29" t="s">
        <v>601</v>
      </c>
      <c r="F1" s="29" t="s">
        <v>602</v>
      </c>
      <c r="G1" s="29" t="s">
        <v>603</v>
      </c>
      <c r="H1" s="29" t="s">
        <v>604</v>
      </c>
      <c r="I1" s="29" t="s">
        <v>365</v>
      </c>
      <c r="J1" s="29" t="s">
        <v>412</v>
      </c>
      <c r="K1" s="29" t="s">
        <v>600</v>
      </c>
      <c r="L1" s="29" t="s">
        <v>606</v>
      </c>
      <c r="M1" s="29" t="s">
        <v>605</v>
      </c>
      <c r="N1" s="29" t="s">
        <v>607</v>
      </c>
      <c r="O1" s="29" t="s">
        <v>1476</v>
      </c>
      <c r="P1" s="29" t="s">
        <v>1477</v>
      </c>
      <c r="Q1" s="29" t="s">
        <v>608</v>
      </c>
      <c r="R1" s="29" t="s">
        <v>609</v>
      </c>
      <c r="S1" s="29" t="s">
        <v>610</v>
      </c>
      <c r="T1" s="29" t="s">
        <v>611</v>
      </c>
      <c r="U1" s="29" t="s">
        <v>612</v>
      </c>
      <c r="V1" s="29" t="s">
        <v>613</v>
      </c>
      <c r="W1" s="29" t="s">
        <v>614</v>
      </c>
      <c r="X1" s="29" t="s">
        <v>615</v>
      </c>
      <c r="Y1" s="29" t="s">
        <v>616</v>
      </c>
      <c r="Z1" s="29" t="s">
        <v>305</v>
      </c>
      <c r="AA1" s="29" t="s">
        <v>823</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1416</v>
      </c>
      <c r="B1" s="40" t="s">
        <v>1417</v>
      </c>
      <c r="C1" s="40" t="s">
        <v>138</v>
      </c>
      <c r="D1" s="40" t="s">
        <v>601</v>
      </c>
      <c r="E1" s="40" t="s">
        <v>602</v>
      </c>
      <c r="F1" s="40" t="s">
        <v>603</v>
      </c>
      <c r="G1" s="40" t="s">
        <v>604</v>
      </c>
      <c r="H1" s="40" t="s">
        <v>654</v>
      </c>
      <c r="I1" s="40" t="s">
        <v>655</v>
      </c>
      <c r="J1" s="40" t="s">
        <v>656</v>
      </c>
      <c r="K1" s="40" t="s">
        <v>657</v>
      </c>
      <c r="L1" s="40" t="s">
        <v>658</v>
      </c>
      <c r="M1" s="40" t="s">
        <v>659</v>
      </c>
      <c r="N1" s="40" t="s">
        <v>660</v>
      </c>
      <c r="O1" s="40" t="s">
        <v>661</v>
      </c>
      <c r="P1" s="40" t="s">
        <v>662</v>
      </c>
      <c r="Q1" s="40" t="s">
        <v>663</v>
      </c>
      <c r="R1" s="40" t="s">
        <v>664</v>
      </c>
      <c r="S1" s="40" t="s">
        <v>665</v>
      </c>
      <c r="T1" s="40" t="s">
        <v>305</v>
      </c>
      <c r="U1" s="40" t="s">
        <v>823</v>
      </c>
      <c r="V1" s="40" t="s">
        <v>642</v>
      </c>
      <c r="W1" s="40" t="s">
        <v>668</v>
      </c>
      <c r="X1" s="40" t="s">
        <v>363</v>
      </c>
      <c r="Y1" s="40" t="s">
        <v>1612</v>
      </c>
      <c r="Z1" s="40" t="s">
        <v>666</v>
      </c>
      <c r="AA1" s="40" t="s">
        <v>1613</v>
      </c>
      <c r="AB1" s="40" t="s">
        <v>1614</v>
      </c>
      <c r="AC1" s="40" t="s">
        <v>1615</v>
      </c>
      <c r="AD1" s="40" t="s">
        <v>669</v>
      </c>
      <c r="AE1" s="40" t="s">
        <v>1616</v>
      </c>
      <c r="AF1" s="40" t="s">
        <v>1617</v>
      </c>
      <c r="AG1" s="40" t="s">
        <v>667</v>
      </c>
      <c r="AH1" s="40" t="s">
        <v>364</v>
      </c>
      <c r="AI1" s="40" t="s">
        <v>643</v>
      </c>
      <c r="AJ1" s="40" t="s">
        <v>676</v>
      </c>
      <c r="AK1" s="40" t="s">
        <v>677</v>
      </c>
    </row>
    <row r="2" customFormat="false" ht="15" hidden="false" customHeight="false" outlineLevel="0" collapsed="false">
      <c r="A2" s="0" t="s">
        <v>1418</v>
      </c>
      <c r="B2" s="0" t="s">
        <v>1419</v>
      </c>
      <c r="C2" s="0" t="s">
        <v>1420</v>
      </c>
      <c r="D2" s="0" t="s">
        <v>1421</v>
      </c>
      <c r="E2" s="0" t="s">
        <v>1422</v>
      </c>
      <c r="F2" s="0" t="s">
        <v>1423</v>
      </c>
      <c r="G2" s="0" t="s">
        <v>1424</v>
      </c>
      <c r="H2" s="0" t="s">
        <v>1425</v>
      </c>
      <c r="I2" s="0" t="s">
        <v>1426</v>
      </c>
      <c r="J2" s="0" t="n">
        <v>52</v>
      </c>
      <c r="K2" s="0" t="s">
        <v>1421</v>
      </c>
      <c r="L2" s="0" t="s">
        <v>1422</v>
      </c>
      <c r="M2" s="0" t="s">
        <v>486</v>
      </c>
      <c r="N2" s="0" t="s">
        <v>1427</v>
      </c>
      <c r="O2" s="0" t="s">
        <v>1428</v>
      </c>
      <c r="P2" s="0" t="s">
        <v>146</v>
      </c>
      <c r="Q2" s="0" t="s">
        <v>1429</v>
      </c>
      <c r="R2" s="0" t="s">
        <v>1430</v>
      </c>
      <c r="T2" s="0" t="s">
        <v>1431</v>
      </c>
      <c r="U2" s="0" t="s">
        <v>599</v>
      </c>
      <c r="V2" s="0" t="s">
        <v>678</v>
      </c>
      <c r="W2" s="0" t="s">
        <v>1618</v>
      </c>
      <c r="X2" s="11" t="n">
        <v>46342</v>
      </c>
      <c r="Y2" s="10" t="s">
        <v>1619</v>
      </c>
      <c r="Z2" s="10" t="s">
        <v>486</v>
      </c>
      <c r="AA2" s="10" t="s">
        <v>1620</v>
      </c>
      <c r="AB2" s="11" t="n">
        <v>46336</v>
      </c>
      <c r="AD2" s="10" t="s">
        <v>1621</v>
      </c>
      <c r="AE2" s="10" t="s">
        <v>1424</v>
      </c>
      <c r="AF2" s="10" t="s">
        <v>1423</v>
      </c>
      <c r="AG2" s="10" t="s">
        <v>507</v>
      </c>
      <c r="AH2" s="10" t="s">
        <v>475</v>
      </c>
    </row>
    <row r="3" customFormat="false" ht="15" hidden="false" customHeight="false" outlineLevel="0" collapsed="false">
      <c r="A3" s="0" t="s">
        <v>1622</v>
      </c>
      <c r="B3" s="0" t="s">
        <v>254</v>
      </c>
      <c r="C3" s="0" t="s">
        <v>1546</v>
      </c>
      <c r="D3" s="0" t="s">
        <v>1547</v>
      </c>
      <c r="E3" s="0" t="s">
        <v>1422</v>
      </c>
      <c r="F3" s="0" t="s">
        <v>1548</v>
      </c>
      <c r="G3" s="0" t="s">
        <v>1549</v>
      </c>
      <c r="H3" s="0" t="s">
        <v>1550</v>
      </c>
      <c r="I3" s="0" t="s">
        <v>1551</v>
      </c>
      <c r="J3" s="0" t="n">
        <v>48</v>
      </c>
      <c r="K3" s="0" t="s">
        <v>1547</v>
      </c>
      <c r="L3" s="0" t="s">
        <v>1422</v>
      </c>
      <c r="M3" s="0" t="s">
        <v>486</v>
      </c>
      <c r="N3" s="0" t="s">
        <v>758</v>
      </c>
      <c r="O3" s="0" t="s">
        <v>1439</v>
      </c>
      <c r="P3" s="0" t="s">
        <v>146</v>
      </c>
      <c r="Q3" s="0" t="s">
        <v>1623</v>
      </c>
      <c r="R3" s="0" t="s">
        <v>1624</v>
      </c>
      <c r="T3" s="0" t="s">
        <v>1431</v>
      </c>
      <c r="U3" s="0" t="s">
        <v>338</v>
      </c>
      <c r="V3" s="0" t="s">
        <v>681</v>
      </c>
      <c r="W3" s="0" t="s">
        <v>1625</v>
      </c>
      <c r="X3" s="11" t="n">
        <v>46344</v>
      </c>
      <c r="Y3" s="10" t="s">
        <v>1626</v>
      </c>
      <c r="Z3" s="10" t="s">
        <v>507</v>
      </c>
      <c r="AA3" s="10" t="s">
        <v>1620</v>
      </c>
      <c r="AB3" s="11" t="n">
        <v>46338</v>
      </c>
      <c r="AD3" s="10" t="s">
        <v>1627</v>
      </c>
      <c r="AE3" s="10" t="s">
        <v>1549</v>
      </c>
      <c r="AF3" s="10" t="s">
        <v>1548</v>
      </c>
      <c r="AG3" s="10" t="s">
        <v>507</v>
      </c>
      <c r="AH3" s="10" t="s">
        <v>475</v>
      </c>
    </row>
    <row r="4" customFormat="false" ht="15" hidden="false" customHeight="false" outlineLevel="0" collapsed="false">
      <c r="A4" s="0" t="s">
        <v>1432</v>
      </c>
      <c r="B4" s="0" t="s">
        <v>1419</v>
      </c>
      <c r="C4" s="0" t="s">
        <v>1433</v>
      </c>
      <c r="D4" s="0" t="s">
        <v>1434</v>
      </c>
      <c r="E4" s="0" t="s">
        <v>1422</v>
      </c>
      <c r="F4" s="0" t="s">
        <v>1435</v>
      </c>
      <c r="G4" s="0" t="s">
        <v>1436</v>
      </c>
      <c r="H4" s="0" t="s">
        <v>1437</v>
      </c>
      <c r="I4" s="0" t="s">
        <v>1438</v>
      </c>
      <c r="J4" s="0" t="n">
        <v>95</v>
      </c>
      <c r="K4" s="0" t="s">
        <v>1434</v>
      </c>
      <c r="L4" s="0" t="s">
        <v>1422</v>
      </c>
      <c r="M4" s="0" t="s">
        <v>486</v>
      </c>
      <c r="N4" s="0" t="s">
        <v>1427</v>
      </c>
      <c r="O4" s="0" t="s">
        <v>1439</v>
      </c>
      <c r="P4" s="0" t="s">
        <v>1440</v>
      </c>
      <c r="Q4" s="0" t="s">
        <v>1429</v>
      </c>
      <c r="R4" s="0" t="s">
        <v>1441</v>
      </c>
      <c r="T4" s="0" t="s">
        <v>1431</v>
      </c>
      <c r="U4" s="0" t="s">
        <v>599</v>
      </c>
      <c r="V4" s="0" t="s">
        <v>683</v>
      </c>
      <c r="W4" s="0" t="s">
        <v>1628</v>
      </c>
      <c r="X4" s="11" t="n">
        <v>46350</v>
      </c>
      <c r="Y4" s="10" t="s">
        <v>1629</v>
      </c>
      <c r="Z4" s="10" t="s">
        <v>486</v>
      </c>
      <c r="AA4" s="10" t="s">
        <v>1630</v>
      </c>
      <c r="AB4" s="11" t="n">
        <v>46344</v>
      </c>
      <c r="AC4" s="0" t="n">
        <v>200</v>
      </c>
      <c r="AD4" s="10" t="s">
        <v>1631</v>
      </c>
      <c r="AE4" s="10" t="s">
        <v>1436</v>
      </c>
      <c r="AF4" s="10" t="s">
        <v>1435</v>
      </c>
      <c r="AG4" s="10" t="s">
        <v>507</v>
      </c>
      <c r="AH4" s="10" t="s">
        <v>475</v>
      </c>
    </row>
    <row r="5" customFormat="false" ht="15" hidden="false" customHeight="false" outlineLevel="0" collapsed="false">
      <c r="A5" s="0" t="s">
        <v>1632</v>
      </c>
      <c r="B5" s="0" t="s">
        <v>254</v>
      </c>
      <c r="C5" s="0" t="s">
        <v>1557</v>
      </c>
      <c r="D5" s="0" t="s">
        <v>1558</v>
      </c>
      <c r="E5" s="0" t="s">
        <v>1422</v>
      </c>
      <c r="F5" s="0" t="s">
        <v>1559</v>
      </c>
      <c r="G5" s="0" t="s">
        <v>1560</v>
      </c>
      <c r="H5" s="0" t="s">
        <v>1561</v>
      </c>
      <c r="I5" s="0" t="s">
        <v>1562</v>
      </c>
      <c r="J5" s="0" t="n">
        <v>110</v>
      </c>
      <c r="K5" s="0" t="s">
        <v>1558</v>
      </c>
      <c r="L5" s="0" t="s">
        <v>1422</v>
      </c>
      <c r="M5" s="0" t="s">
        <v>486</v>
      </c>
      <c r="N5" s="0" t="s">
        <v>1633</v>
      </c>
      <c r="O5" s="0" t="s">
        <v>1449</v>
      </c>
      <c r="P5" s="0" t="s">
        <v>146</v>
      </c>
      <c r="Q5" s="0" t="s">
        <v>1623</v>
      </c>
      <c r="R5" s="0" t="s">
        <v>1634</v>
      </c>
      <c r="T5" s="0" t="s">
        <v>1431</v>
      </c>
      <c r="U5" s="0" t="s">
        <v>338</v>
      </c>
      <c r="V5" s="0" t="s">
        <v>686</v>
      </c>
      <c r="W5" s="0" t="s">
        <v>1635</v>
      </c>
      <c r="X5" s="11" t="n">
        <v>46357</v>
      </c>
      <c r="Y5" s="10" t="s">
        <v>1636</v>
      </c>
      <c r="Z5" s="10" t="s">
        <v>507</v>
      </c>
      <c r="AA5" s="10" t="s">
        <v>1620</v>
      </c>
      <c r="AB5" s="11" t="n">
        <v>46351</v>
      </c>
      <c r="AD5" s="10" t="s">
        <v>1637</v>
      </c>
      <c r="AE5" s="10" t="s">
        <v>1560</v>
      </c>
      <c r="AF5" s="10" t="s">
        <v>1559</v>
      </c>
      <c r="AG5" s="10" t="s">
        <v>507</v>
      </c>
      <c r="AH5" s="10" t="s">
        <v>475</v>
      </c>
    </row>
    <row r="6" customFormat="false" ht="15" hidden="false" customHeight="false" outlineLevel="0" collapsed="false">
      <c r="A6" s="0" t="s">
        <v>1442</v>
      </c>
      <c r="B6" s="0" t="s">
        <v>1419</v>
      </c>
      <c r="C6" s="0" t="s">
        <v>1443</v>
      </c>
      <c r="D6" s="0" t="s">
        <v>1444</v>
      </c>
      <c r="E6" s="0" t="s">
        <v>1422</v>
      </c>
      <c r="F6" s="0" t="s">
        <v>1445</v>
      </c>
      <c r="G6" s="0" t="s">
        <v>1446</v>
      </c>
      <c r="H6" s="0" t="s">
        <v>1447</v>
      </c>
      <c r="I6" s="0" t="s">
        <v>1448</v>
      </c>
      <c r="J6" s="0" t="n">
        <v>190</v>
      </c>
      <c r="K6" s="0" t="s">
        <v>1444</v>
      </c>
      <c r="L6" s="0" t="s">
        <v>1422</v>
      </c>
      <c r="M6" s="0" t="s">
        <v>486</v>
      </c>
      <c r="N6" s="0" t="s">
        <v>758</v>
      </c>
      <c r="O6" s="0" t="s">
        <v>1449</v>
      </c>
      <c r="P6" s="0" t="s">
        <v>496</v>
      </c>
      <c r="Q6" s="0" t="s">
        <v>1429</v>
      </c>
      <c r="R6" s="0" t="s">
        <v>1450</v>
      </c>
      <c r="T6" s="0" t="s">
        <v>1431</v>
      </c>
      <c r="U6" s="0" t="s">
        <v>599</v>
      </c>
      <c r="V6" s="0" t="s">
        <v>688</v>
      </c>
      <c r="W6" s="0" t="s">
        <v>1638</v>
      </c>
      <c r="X6" s="11" t="n">
        <v>46359</v>
      </c>
      <c r="Y6" s="10" t="s">
        <v>1639</v>
      </c>
      <c r="Z6" s="10" t="s">
        <v>507</v>
      </c>
      <c r="AA6" s="10" t="s">
        <v>1620</v>
      </c>
      <c r="AB6" s="11" t="n">
        <v>46353</v>
      </c>
      <c r="AD6" s="10" t="s">
        <v>1640</v>
      </c>
      <c r="AE6" s="10" t="s">
        <v>1446</v>
      </c>
      <c r="AF6" s="10" t="s">
        <v>1445</v>
      </c>
      <c r="AG6" s="10" t="s">
        <v>507</v>
      </c>
      <c r="AH6" s="10" t="s">
        <v>475</v>
      </c>
    </row>
    <row r="7" customFormat="false" ht="15" hidden="false" customHeight="false" outlineLevel="0" collapsed="false">
      <c r="A7" s="0" t="s">
        <v>1451</v>
      </c>
      <c r="B7" s="0" t="s">
        <v>1419</v>
      </c>
      <c r="C7" s="0" t="s">
        <v>1452</v>
      </c>
      <c r="D7" s="0" t="s">
        <v>1453</v>
      </c>
      <c r="E7" s="0" t="s">
        <v>1422</v>
      </c>
      <c r="F7" s="0" t="s">
        <v>1454</v>
      </c>
      <c r="G7" s="0" t="s">
        <v>1455</v>
      </c>
      <c r="H7" s="0" t="s">
        <v>1456</v>
      </c>
      <c r="I7" s="0" t="s">
        <v>1457</v>
      </c>
      <c r="J7" s="0" t="n">
        <v>65</v>
      </c>
      <c r="K7" s="0" t="s">
        <v>1453</v>
      </c>
      <c r="L7" s="0" t="s">
        <v>1422</v>
      </c>
      <c r="M7" s="0" t="s">
        <v>486</v>
      </c>
      <c r="N7" s="0" t="s">
        <v>1427</v>
      </c>
      <c r="O7" s="0" t="s">
        <v>1428</v>
      </c>
      <c r="P7" s="0" t="s">
        <v>146</v>
      </c>
      <c r="Q7" s="0" t="s">
        <v>1429</v>
      </c>
      <c r="R7" s="0" t="s">
        <v>1458</v>
      </c>
      <c r="T7" s="0" t="s">
        <v>1431</v>
      </c>
      <c r="U7" s="0" t="s">
        <v>599</v>
      </c>
      <c r="V7" s="0" t="s">
        <v>690</v>
      </c>
      <c r="W7" s="0" t="s">
        <v>1641</v>
      </c>
      <c r="X7" s="11" t="n">
        <v>46392</v>
      </c>
      <c r="Y7" s="10" t="s">
        <v>1642</v>
      </c>
      <c r="Z7" s="10" t="s">
        <v>507</v>
      </c>
      <c r="AA7" s="10" t="s">
        <v>1620</v>
      </c>
      <c r="AB7" s="11" t="n">
        <v>46386</v>
      </c>
      <c r="AD7" s="10" t="s">
        <v>1621</v>
      </c>
      <c r="AE7" s="10" t="s">
        <v>1455</v>
      </c>
      <c r="AF7" s="10" t="s">
        <v>1454</v>
      </c>
      <c r="AG7" s="10" t="s">
        <v>507</v>
      </c>
      <c r="AH7" s="10" t="s">
        <v>475</v>
      </c>
    </row>
    <row r="8" customFormat="false" ht="15" hidden="false" customHeight="false" outlineLevel="0" collapsed="false">
      <c r="A8" s="0" t="s">
        <v>1459</v>
      </c>
      <c r="B8" s="0" t="s">
        <v>1419</v>
      </c>
      <c r="C8" s="0" t="s">
        <v>1460</v>
      </c>
      <c r="D8" s="0" t="s">
        <v>1461</v>
      </c>
      <c r="E8" s="0" t="s">
        <v>1422</v>
      </c>
      <c r="F8" s="0" t="s">
        <v>1462</v>
      </c>
      <c r="G8" s="0" t="s">
        <v>1463</v>
      </c>
      <c r="H8" s="0" t="s">
        <v>1464</v>
      </c>
      <c r="I8" s="0" t="s">
        <v>1465</v>
      </c>
      <c r="J8" s="0" t="n">
        <v>140</v>
      </c>
      <c r="K8" s="0" t="s">
        <v>1461</v>
      </c>
      <c r="L8" s="0" t="s">
        <v>1422</v>
      </c>
      <c r="M8" s="0" t="s">
        <v>486</v>
      </c>
      <c r="N8" s="0" t="s">
        <v>758</v>
      </c>
      <c r="O8" s="0" t="s">
        <v>1439</v>
      </c>
      <c r="P8" s="0" t="s">
        <v>146</v>
      </c>
      <c r="Q8" s="0" t="s">
        <v>1429</v>
      </c>
      <c r="R8" s="0" t="s">
        <v>1466</v>
      </c>
      <c r="S8" s="0" t="s">
        <v>1467</v>
      </c>
      <c r="T8" s="0" t="s">
        <v>1431</v>
      </c>
      <c r="U8" s="0" t="s">
        <v>599</v>
      </c>
      <c r="V8" s="0" t="s">
        <v>692</v>
      </c>
      <c r="W8" s="0" t="s">
        <v>1643</v>
      </c>
      <c r="X8" s="11" t="n">
        <v>46393</v>
      </c>
      <c r="Y8" s="10" t="s">
        <v>1644</v>
      </c>
      <c r="Z8" s="10" t="s">
        <v>507</v>
      </c>
      <c r="AA8" s="10" t="s">
        <v>1620</v>
      </c>
      <c r="AB8" s="11" t="n">
        <v>46387</v>
      </c>
      <c r="AD8" s="10" t="s">
        <v>1645</v>
      </c>
      <c r="AE8" s="10" t="s">
        <v>1463</v>
      </c>
      <c r="AF8" s="10" t="s">
        <v>1462</v>
      </c>
      <c r="AG8" s="10" t="s">
        <v>507</v>
      </c>
      <c r="AH8" s="10" t="s">
        <v>475</v>
      </c>
    </row>
    <row r="9" customFormat="false" ht="15" hidden="false" customHeight="false" outlineLevel="0" collapsed="false">
      <c r="A9" s="0" t="s">
        <v>1646</v>
      </c>
      <c r="B9" s="0" t="s">
        <v>254</v>
      </c>
      <c r="C9" s="0" t="s">
        <v>1565</v>
      </c>
      <c r="D9" s="0" t="s">
        <v>1566</v>
      </c>
      <c r="E9" s="0" t="s">
        <v>1422</v>
      </c>
      <c r="F9" s="0" t="s">
        <v>1567</v>
      </c>
      <c r="G9" s="0" t="s">
        <v>1568</v>
      </c>
      <c r="H9" s="0" t="s">
        <v>1569</v>
      </c>
      <c r="I9" s="0" t="s">
        <v>1570</v>
      </c>
      <c r="J9" s="0" t="n">
        <v>80</v>
      </c>
      <c r="K9" s="0" t="s">
        <v>1566</v>
      </c>
      <c r="L9" s="0" t="s">
        <v>1422</v>
      </c>
      <c r="M9" s="0" t="s">
        <v>486</v>
      </c>
      <c r="N9" s="0" t="s">
        <v>758</v>
      </c>
      <c r="O9" s="0" t="s">
        <v>1439</v>
      </c>
      <c r="P9" s="0" t="s">
        <v>496</v>
      </c>
      <c r="Q9" s="0" t="s">
        <v>1623</v>
      </c>
      <c r="R9" s="0" t="s">
        <v>1647</v>
      </c>
      <c r="T9" s="0" t="s">
        <v>1431</v>
      </c>
      <c r="U9" s="0" t="s">
        <v>338</v>
      </c>
      <c r="V9" s="0" t="s">
        <v>694</v>
      </c>
      <c r="W9" s="0" t="s">
        <v>1648</v>
      </c>
      <c r="X9" s="11" t="n">
        <v>46394</v>
      </c>
      <c r="Y9" s="10" t="s">
        <v>1649</v>
      </c>
      <c r="Z9" s="10" t="s">
        <v>507</v>
      </c>
      <c r="AA9" s="10" t="s">
        <v>1620</v>
      </c>
      <c r="AB9" s="11" t="n">
        <v>46388</v>
      </c>
      <c r="AD9" s="10" t="s">
        <v>1650</v>
      </c>
      <c r="AE9" s="10" t="s">
        <v>1568</v>
      </c>
      <c r="AF9" s="10" t="s">
        <v>1567</v>
      </c>
      <c r="AG9" s="10" t="s">
        <v>507</v>
      </c>
      <c r="AH9" s="10" t="s">
        <v>475</v>
      </c>
    </row>
    <row r="10" customFormat="false" ht="15" hidden="false" customHeight="false" outlineLevel="0" collapsed="false">
      <c r="A10" s="0" t="s">
        <v>1468</v>
      </c>
      <c r="B10" s="0" t="s">
        <v>1419</v>
      </c>
      <c r="C10" s="0" t="s">
        <v>1469</v>
      </c>
      <c r="D10" s="0" t="s">
        <v>1470</v>
      </c>
      <c r="E10" s="0" t="s">
        <v>1422</v>
      </c>
      <c r="F10" s="0" t="s">
        <v>1471</v>
      </c>
      <c r="G10" s="0" t="s">
        <v>1472</v>
      </c>
      <c r="H10" s="0" t="s">
        <v>1473</v>
      </c>
      <c r="I10" s="0" t="s">
        <v>1474</v>
      </c>
      <c r="J10" s="0" t="n">
        <v>220</v>
      </c>
      <c r="K10" s="0" t="s">
        <v>1470</v>
      </c>
      <c r="L10" s="0" t="s">
        <v>1422</v>
      </c>
      <c r="M10" s="0" t="s">
        <v>486</v>
      </c>
      <c r="N10" s="0" t="s">
        <v>758</v>
      </c>
      <c r="O10" s="0" t="s">
        <v>1449</v>
      </c>
      <c r="P10" s="0" t="s">
        <v>146</v>
      </c>
      <c r="Q10" s="0" t="s">
        <v>1429</v>
      </c>
      <c r="R10" s="0" t="s">
        <v>1475</v>
      </c>
      <c r="T10" s="0" t="s">
        <v>1431</v>
      </c>
      <c r="U10" s="0" t="s">
        <v>599</v>
      </c>
      <c r="V10" s="0" t="s">
        <v>696</v>
      </c>
      <c r="W10" s="0" t="s">
        <v>1651</v>
      </c>
      <c r="X10" s="11" t="n">
        <v>46395</v>
      </c>
      <c r="Y10" s="10" t="s">
        <v>1652</v>
      </c>
      <c r="Z10" s="10" t="s">
        <v>507</v>
      </c>
      <c r="AA10" s="10" t="s">
        <v>1620</v>
      </c>
      <c r="AB10" s="11" t="n">
        <v>46389</v>
      </c>
      <c r="AD10" s="10" t="s">
        <v>1653</v>
      </c>
      <c r="AE10" s="10" t="s">
        <v>1472</v>
      </c>
      <c r="AF10" s="10" t="s">
        <v>1471</v>
      </c>
      <c r="AG10" s="10" t="s">
        <v>507</v>
      </c>
      <c r="AH10" s="10" t="s">
        <v>475</v>
      </c>
    </row>
    <row r="11" customFormat="false" ht="15" hidden="false" customHeight="false" outlineLevel="0" collapsed="false">
      <c r="A11" s="0" t="s">
        <v>1654</v>
      </c>
      <c r="B11" s="0" t="s">
        <v>254</v>
      </c>
      <c r="C11" s="0" t="s">
        <v>1573</v>
      </c>
      <c r="D11" s="0" t="s">
        <v>1574</v>
      </c>
      <c r="E11" s="0" t="s">
        <v>1422</v>
      </c>
      <c r="F11" s="0" t="s">
        <v>1575</v>
      </c>
      <c r="G11" s="0" t="s">
        <v>1576</v>
      </c>
      <c r="H11" s="0" t="s">
        <v>1577</v>
      </c>
      <c r="I11" s="0" t="s">
        <v>1426</v>
      </c>
      <c r="J11" s="0" t="n">
        <v>45</v>
      </c>
      <c r="K11" s="0" t="s">
        <v>1574</v>
      </c>
      <c r="L11" s="0" t="s">
        <v>1422</v>
      </c>
      <c r="M11" s="0" t="s">
        <v>486</v>
      </c>
      <c r="N11" s="0" t="s">
        <v>1427</v>
      </c>
      <c r="O11" s="0" t="s">
        <v>1428</v>
      </c>
      <c r="P11" s="0" t="s">
        <v>146</v>
      </c>
      <c r="Q11" s="0" t="s">
        <v>1623</v>
      </c>
      <c r="R11" s="0" t="s">
        <v>1655</v>
      </c>
      <c r="T11" s="0" t="s">
        <v>1431</v>
      </c>
      <c r="U11" s="0" t="s">
        <v>338</v>
      </c>
      <c r="V11" s="0" t="s">
        <v>698</v>
      </c>
      <c r="W11" s="0" t="s">
        <v>1656</v>
      </c>
      <c r="X11" s="11" t="n">
        <v>46400</v>
      </c>
      <c r="Y11" s="10" t="s">
        <v>1657</v>
      </c>
      <c r="Z11" s="10" t="s">
        <v>507</v>
      </c>
      <c r="AA11" s="10" t="s">
        <v>1620</v>
      </c>
      <c r="AB11" s="11" t="n">
        <v>46394</v>
      </c>
      <c r="AD11" s="10" t="s">
        <v>1658</v>
      </c>
      <c r="AE11" s="10" t="s">
        <v>1576</v>
      </c>
      <c r="AF11" s="10" t="s">
        <v>1575</v>
      </c>
      <c r="AG11" s="10" t="s">
        <v>507</v>
      </c>
      <c r="AH11" s="10"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1416</v>
      </c>
      <c r="B1" s="40" t="s">
        <v>1417</v>
      </c>
      <c r="C1" s="40" t="s">
        <v>411</v>
      </c>
      <c r="D1" s="40" t="s">
        <v>599</v>
      </c>
      <c r="E1" s="40" t="s">
        <v>601</v>
      </c>
      <c r="F1" s="40" t="s">
        <v>602</v>
      </c>
      <c r="G1" s="40" t="s">
        <v>603</v>
      </c>
      <c r="H1" s="40" t="s">
        <v>604</v>
      </c>
      <c r="I1" s="40" t="s">
        <v>365</v>
      </c>
      <c r="J1" s="40" t="s">
        <v>412</v>
      </c>
      <c r="K1" s="40" t="s">
        <v>600</v>
      </c>
      <c r="L1" s="40" t="s">
        <v>606</v>
      </c>
      <c r="M1" s="40" t="s">
        <v>605</v>
      </c>
      <c r="N1" s="40" t="s">
        <v>607</v>
      </c>
      <c r="O1" s="40" t="s">
        <v>1476</v>
      </c>
      <c r="P1" s="40" t="s">
        <v>1477</v>
      </c>
      <c r="Q1" s="40" t="s">
        <v>608</v>
      </c>
      <c r="R1" s="40" t="s">
        <v>609</v>
      </c>
      <c r="S1" s="40" t="s">
        <v>610</v>
      </c>
      <c r="T1" s="40" t="s">
        <v>611</v>
      </c>
      <c r="U1" s="40" t="s">
        <v>612</v>
      </c>
      <c r="V1" s="40" t="s">
        <v>613</v>
      </c>
      <c r="W1" s="40" t="s">
        <v>614</v>
      </c>
      <c r="X1" s="40" t="s">
        <v>615</v>
      </c>
      <c r="Y1" s="40" t="s">
        <v>616</v>
      </c>
      <c r="Z1" s="40" t="s">
        <v>305</v>
      </c>
      <c r="AA1" s="40" t="s">
        <v>823</v>
      </c>
      <c r="AB1" s="40" t="s">
        <v>359</v>
      </c>
      <c r="AC1" s="40" t="s">
        <v>668</v>
      </c>
      <c r="AD1" s="40" t="s">
        <v>100</v>
      </c>
      <c r="AE1" s="40" t="s">
        <v>414</v>
      </c>
      <c r="AF1" s="40" t="s">
        <v>1659</v>
      </c>
      <c r="AG1" s="40" t="s">
        <v>415</v>
      </c>
      <c r="AH1" s="40" t="s">
        <v>363</v>
      </c>
      <c r="AI1" s="40" t="s">
        <v>1363</v>
      </c>
      <c r="AJ1" s="40" t="s">
        <v>1660</v>
      </c>
      <c r="AK1" s="40" t="s">
        <v>1661</v>
      </c>
      <c r="AL1" s="40" t="s">
        <v>383</v>
      </c>
      <c r="AM1" s="40" t="s">
        <v>384</v>
      </c>
      <c r="AN1" s="40" t="s">
        <v>385</v>
      </c>
      <c r="AO1" s="40" t="s">
        <v>367</v>
      </c>
      <c r="AP1" s="40" t="s">
        <v>369</v>
      </c>
      <c r="AQ1" s="40" t="s">
        <v>376</v>
      </c>
      <c r="AR1" s="40" t="s">
        <v>377</v>
      </c>
      <c r="AS1" s="40" t="s">
        <v>379</v>
      </c>
      <c r="AT1" s="40" t="s">
        <v>380</v>
      </c>
      <c r="AU1" s="40" t="s">
        <v>1662</v>
      </c>
      <c r="AV1" s="40" t="s">
        <v>358</v>
      </c>
      <c r="AW1" s="40" t="s">
        <v>381</v>
      </c>
      <c r="AX1" s="40" t="s">
        <v>382</v>
      </c>
      <c r="AY1" s="40" t="s">
        <v>593</v>
      </c>
      <c r="AZ1" s="40" t="s">
        <v>594</v>
      </c>
      <c r="BA1" s="40" t="s">
        <v>595</v>
      </c>
      <c r="BB1" s="40" t="s">
        <v>364</v>
      </c>
      <c r="BC1" s="40" t="s">
        <v>598</v>
      </c>
      <c r="BD1" s="40" t="s">
        <v>370</v>
      </c>
      <c r="BE1" s="40" t="s">
        <v>368</v>
      </c>
      <c r="BF1" s="40" t="s">
        <v>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358</v>
      </c>
      <c r="B1" s="28" t="s">
        <v>642</v>
      </c>
      <c r="C1" s="28" t="s">
        <v>436</v>
      </c>
      <c r="D1" s="28" t="s">
        <v>726</v>
      </c>
      <c r="E1" s="28" t="s">
        <v>440</v>
      </c>
      <c r="F1" s="28" t="s">
        <v>441</v>
      </c>
      <c r="G1" s="28" t="s">
        <v>442</v>
      </c>
      <c r="H1" s="28" t="s">
        <v>727</v>
      </c>
      <c r="I1" s="28" t="s">
        <v>728</v>
      </c>
      <c r="J1" s="28" t="s">
        <v>729</v>
      </c>
      <c r="K1" s="28" t="s">
        <v>730</v>
      </c>
      <c r="L1" s="28" t="s">
        <v>731</v>
      </c>
      <c r="M1" s="28" t="s">
        <v>147</v>
      </c>
      <c r="N1" s="28" t="s">
        <v>1663</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1526</v>
      </c>
      <c r="B1" s="41" t="s">
        <v>1664</v>
      </c>
      <c r="C1" s="41" t="s">
        <v>1665</v>
      </c>
      <c r="D1" s="41" t="s">
        <v>1666</v>
      </c>
      <c r="E1" s="41" t="s">
        <v>1667</v>
      </c>
      <c r="F1" s="41" t="s">
        <v>1668</v>
      </c>
      <c r="G1" s="41" t="s">
        <v>1669</v>
      </c>
      <c r="I1" s="23" t="s">
        <v>1670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1671</v>
      </c>
      <c r="D1" s="41" t="s">
        <v>1666</v>
      </c>
      <c r="E1" s="41" t="s">
        <v>1667</v>
      </c>
      <c r="F1" s="41" t="s">
        <v>1668</v>
      </c>
      <c r="G1" s="41" t="s">
        <v>1672</v>
      </c>
    </row>
    <row r="2" customFormat="false" ht="15" hidden="false" customHeight="false" outlineLevel="0" collapsed="false">
      <c r="A2" s="42" t="n">
        <v>46394.675</v>
      </c>
      <c r="B2" s="10" t="s">
        <v>1673</v>
      </c>
      <c r="C2" s="10" t="s">
        <v>1571</v>
      </c>
      <c r="D2" s="0" t="n">
        <v>5</v>
      </c>
      <c r="E2" s="10" t="s">
        <v>1571</v>
      </c>
      <c r="G2" s="10" t="s">
        <v>1674</v>
      </c>
    </row>
    <row r="3" customFormat="false" ht="15" hidden="false" customHeight="false" outlineLevel="0" collapsed="false">
      <c r="A3" s="42" t="n">
        <v>46399.3756944445</v>
      </c>
      <c r="B3" s="10" t="s">
        <v>1675</v>
      </c>
      <c r="C3" s="10" t="s">
        <v>1554</v>
      </c>
      <c r="F3" s="10" t="s">
        <v>1676</v>
      </c>
      <c r="G3" s="10" t="s">
        <v>491</v>
      </c>
    </row>
    <row r="4" customFormat="false" ht="15" hidden="false" customHeight="false" outlineLevel="0" collapsed="false">
      <c r="A4" s="42" t="n">
        <v>46399.3861111111</v>
      </c>
      <c r="B4" s="10" t="s">
        <v>1677</v>
      </c>
      <c r="C4" s="10" t="s">
        <v>1571</v>
      </c>
      <c r="D4" s="0" t="n">
        <v>4</v>
      </c>
      <c r="E4" s="10" t="s">
        <v>1571</v>
      </c>
      <c r="G4" s="10" t="s">
        <v>491</v>
      </c>
    </row>
    <row r="5" customFormat="false" ht="15" hidden="false" customHeight="false" outlineLevel="0" collapsed="false">
      <c r="A5" s="42" t="n">
        <v>46399.4027777778</v>
      </c>
      <c r="B5" s="10" t="s">
        <v>1673</v>
      </c>
      <c r="C5" s="10" t="s">
        <v>1571</v>
      </c>
      <c r="D5" s="0" t="n">
        <v>3</v>
      </c>
      <c r="E5" s="10" t="s">
        <v>1678</v>
      </c>
      <c r="G5" s="10" t="s">
        <v>492</v>
      </c>
    </row>
    <row r="6" customFormat="false" ht="15" hidden="false" customHeight="false" outlineLevel="0" collapsed="false">
      <c r="A6" s="42" t="n">
        <v>46399.4416666667</v>
      </c>
      <c r="B6" s="10" t="s">
        <v>1677</v>
      </c>
      <c r="C6" s="10" t="s">
        <v>1554</v>
      </c>
      <c r="F6" s="10" t="s">
        <v>1679</v>
      </c>
    </row>
    <row r="7" customFormat="false" ht="15" hidden="false" customHeight="false" outlineLevel="0" collapsed="false">
      <c r="A7" s="42" t="n">
        <v>46399.4569444444</v>
      </c>
      <c r="B7" s="10" t="s">
        <v>1680</v>
      </c>
      <c r="C7" s="10" t="s">
        <v>1571</v>
      </c>
      <c r="D7" s="0" t="n">
        <v>5</v>
      </c>
      <c r="E7" s="10" t="s">
        <v>1571</v>
      </c>
      <c r="G7" s="10" t="s">
        <v>1681</v>
      </c>
    </row>
    <row r="8" customFormat="false" ht="15" hidden="false" customHeight="false" outlineLevel="0" collapsed="false">
      <c r="A8" s="42" t="n">
        <v>46399.5097222222</v>
      </c>
      <c r="B8" s="10" t="s">
        <v>1682</v>
      </c>
      <c r="C8" s="10" t="s">
        <v>1571</v>
      </c>
      <c r="D8" s="0" t="n">
        <v>4</v>
      </c>
      <c r="E8" s="10" t="s">
        <v>1571</v>
      </c>
    </row>
    <row r="9" customFormat="false" ht="15" hidden="false" customHeight="false" outlineLevel="0" collapsed="false">
      <c r="A9" s="42" t="n">
        <v>46399.5375</v>
      </c>
      <c r="B9" s="10" t="s">
        <v>1680</v>
      </c>
      <c r="C9" s="10" t="s">
        <v>1571</v>
      </c>
      <c r="D9" s="0" t="n">
        <v>5</v>
      </c>
      <c r="E9" s="10" t="s">
        <v>1571</v>
      </c>
      <c r="G9" s="10" t="s">
        <v>1681</v>
      </c>
    </row>
    <row r="10" customFormat="false" ht="15" hidden="false" customHeight="false" outlineLevel="0" collapsed="false">
      <c r="A10" s="42" t="n">
        <v>46399.5513888889</v>
      </c>
      <c r="B10" s="10" t="s">
        <v>1680</v>
      </c>
      <c r="C10" s="10" t="s">
        <v>1571</v>
      </c>
      <c r="D10" s="0" t="n">
        <v>4</v>
      </c>
      <c r="E10" s="10" t="s">
        <v>1554</v>
      </c>
    </row>
    <row r="11" customFormat="false" ht="15" hidden="false" customHeight="false" outlineLevel="0" collapsed="false">
      <c r="A11" s="42" t="n">
        <v>46399.5520833333</v>
      </c>
      <c r="B11" s="10" t="s">
        <v>1677</v>
      </c>
      <c r="C11" s="10" t="s">
        <v>1554</v>
      </c>
      <c r="F11" s="10" t="s">
        <v>1683</v>
      </c>
      <c r="G11" s="10" t="s">
        <v>510</v>
      </c>
    </row>
    <row r="12" customFormat="false" ht="15" hidden="false" customHeight="false" outlineLevel="0" collapsed="false">
      <c r="A12" s="42" t="n">
        <v>46400.3770833333</v>
      </c>
      <c r="B12" s="10" t="s">
        <v>1675</v>
      </c>
      <c r="C12" s="10" t="s">
        <v>1571</v>
      </c>
      <c r="D12" s="0" t="n">
        <v>4</v>
      </c>
      <c r="E12" s="10" t="s">
        <v>1571</v>
      </c>
      <c r="G12" s="10" t="s">
        <v>1684</v>
      </c>
    </row>
    <row r="13" customFormat="false" ht="15" hidden="false" customHeight="false" outlineLevel="0" collapsed="false">
      <c r="A13" s="42" t="n">
        <v>46400.4</v>
      </c>
      <c r="B13" s="10" t="s">
        <v>1680</v>
      </c>
      <c r="C13" s="10" t="s">
        <v>1554</v>
      </c>
      <c r="F13" s="10" t="s">
        <v>1683</v>
      </c>
      <c r="G13" s="10" t="s">
        <v>491</v>
      </c>
    </row>
    <row r="14" customFormat="false" ht="15" hidden="false" customHeight="false" outlineLevel="0" collapsed="false">
      <c r="A14" s="42" t="n">
        <v>46400.4284722222</v>
      </c>
      <c r="B14" s="10" t="s">
        <v>1673</v>
      </c>
      <c r="C14" s="10" t="s">
        <v>1571</v>
      </c>
      <c r="D14" s="0" t="n">
        <v>3</v>
      </c>
      <c r="E14" s="10" t="s">
        <v>1678</v>
      </c>
      <c r="G14" s="10" t="s">
        <v>1685</v>
      </c>
    </row>
    <row r="15" customFormat="false" ht="15" hidden="false" customHeight="false" outlineLevel="0" collapsed="false">
      <c r="A15" s="42" t="n">
        <v>46400.4416666667</v>
      </c>
      <c r="B15" s="10" t="s">
        <v>1682</v>
      </c>
      <c r="C15" s="10" t="s">
        <v>1571</v>
      </c>
      <c r="D15" s="0" t="n">
        <v>4</v>
      </c>
      <c r="E15" s="10" t="s">
        <v>1678</v>
      </c>
    </row>
    <row r="16" customFormat="false" ht="15" hidden="false" customHeight="false" outlineLevel="0" collapsed="false">
      <c r="A16" s="42" t="n">
        <v>46400.4652777778</v>
      </c>
      <c r="B16" s="10" t="s">
        <v>1677</v>
      </c>
      <c r="C16" s="10" t="s">
        <v>1554</v>
      </c>
      <c r="F16" s="10" t="s">
        <v>1679</v>
      </c>
      <c r="G16" s="10" t="s">
        <v>1681</v>
      </c>
    </row>
    <row r="17" customFormat="false" ht="15" hidden="false" customHeight="false" outlineLevel="0" collapsed="false">
      <c r="A17" s="42" t="n">
        <v>46400.4986111111</v>
      </c>
      <c r="B17" s="10" t="s">
        <v>1673</v>
      </c>
      <c r="C17" s="10" t="s">
        <v>1554</v>
      </c>
      <c r="F17" s="10" t="s">
        <v>1679</v>
      </c>
    </row>
    <row r="18" customFormat="false" ht="15" hidden="false" customHeight="false" outlineLevel="0" collapsed="false">
      <c r="A18" s="42" t="n">
        <v>46400.5402777778</v>
      </c>
      <c r="B18" s="10" t="s">
        <v>1680</v>
      </c>
      <c r="C18" s="10" t="s">
        <v>1571</v>
      </c>
      <c r="D18" s="0" t="n">
        <v>5</v>
      </c>
      <c r="E18" s="10" t="s">
        <v>1678</v>
      </c>
    </row>
    <row r="19" customFormat="false" ht="15" hidden="false" customHeight="false" outlineLevel="0" collapsed="false">
      <c r="A19" s="42" t="n">
        <v>46400.5486111111</v>
      </c>
      <c r="B19" s="10" t="s">
        <v>1673</v>
      </c>
      <c r="C19" s="10" t="s">
        <v>1571</v>
      </c>
      <c r="D19" s="0" t="n">
        <v>4</v>
      </c>
      <c r="E19" s="10" t="s">
        <v>1571</v>
      </c>
    </row>
    <row r="20" customFormat="false" ht="15" hidden="false" customHeight="false" outlineLevel="0" collapsed="false">
      <c r="A20" s="42" t="n">
        <v>46400.5541666667</v>
      </c>
      <c r="B20" s="10" t="s">
        <v>1682</v>
      </c>
      <c r="C20" s="10" t="s">
        <v>1571</v>
      </c>
      <c r="D20" s="0" t="n">
        <v>4</v>
      </c>
      <c r="E20" s="10" t="s">
        <v>1678</v>
      </c>
    </row>
    <row r="21" customFormat="false" ht="15" hidden="false" customHeight="false" outlineLevel="0" collapsed="false">
      <c r="A21" s="42" t="n">
        <v>46400.5569444444</v>
      </c>
      <c r="B21" s="10" t="s">
        <v>1682</v>
      </c>
      <c r="C21" s="10" t="s">
        <v>1571</v>
      </c>
      <c r="D21" s="0" t="n">
        <v>5</v>
      </c>
      <c r="E21" s="10" t="s">
        <v>1571</v>
      </c>
      <c r="G21" s="10" t="s">
        <v>511</v>
      </c>
    </row>
    <row r="22" customFormat="false" ht="15" hidden="false" customHeight="false" outlineLevel="0" collapsed="false">
      <c r="A22" s="42" t="n">
        <v>46400.5625</v>
      </c>
      <c r="B22" s="10" t="s">
        <v>1682</v>
      </c>
      <c r="C22" s="10" t="s">
        <v>1571</v>
      </c>
      <c r="D22" s="0" t="n">
        <v>4</v>
      </c>
      <c r="E22" s="10" t="s">
        <v>1554</v>
      </c>
      <c r="G22" s="10" t="s">
        <v>491</v>
      </c>
    </row>
    <row r="23" customFormat="false" ht="15" hidden="false" customHeight="false" outlineLevel="0" collapsed="false">
      <c r="A23" s="42" t="n">
        <v>46400.5791666667</v>
      </c>
      <c r="B23" s="10" t="s">
        <v>1673</v>
      </c>
      <c r="C23" s="10" t="s">
        <v>1571</v>
      </c>
      <c r="D23" s="0" t="n">
        <v>5</v>
      </c>
      <c r="E23" s="10" t="s">
        <v>1554</v>
      </c>
      <c r="G23" s="10" t="s">
        <v>510</v>
      </c>
    </row>
    <row r="24" customFormat="false" ht="15" hidden="false" customHeight="false" outlineLevel="0" collapsed="false">
      <c r="A24" s="42" t="n">
        <v>46400.5909722222</v>
      </c>
      <c r="B24" s="10" t="s">
        <v>1680</v>
      </c>
      <c r="C24" s="10" t="s">
        <v>1571</v>
      </c>
      <c r="D24" s="0" t="n">
        <v>5</v>
      </c>
      <c r="E24" s="10" t="s">
        <v>1571</v>
      </c>
    </row>
    <row r="25" customFormat="false" ht="15" hidden="false" customHeight="false" outlineLevel="0" collapsed="false">
      <c r="A25" s="42" t="n">
        <v>46400.6270833333</v>
      </c>
      <c r="B25" s="10" t="s">
        <v>1673</v>
      </c>
      <c r="C25" s="10" t="s">
        <v>1571</v>
      </c>
      <c r="D25" s="0" t="n">
        <v>4</v>
      </c>
      <c r="E25" s="10" t="s">
        <v>1554</v>
      </c>
      <c r="G25" s="10" t="s">
        <v>1681</v>
      </c>
    </row>
    <row r="26" customFormat="false" ht="15" hidden="false" customHeight="false" outlineLevel="0" collapsed="false">
      <c r="A26" s="42" t="n">
        <v>46400.6458333333</v>
      </c>
      <c r="B26" s="10" t="s">
        <v>1673</v>
      </c>
      <c r="C26" s="10" t="s">
        <v>1571</v>
      </c>
      <c r="D26" s="0" t="n">
        <v>4</v>
      </c>
      <c r="E26" s="10" t="s">
        <v>1571</v>
      </c>
    </row>
    <row r="27" customFormat="false" ht="15" hidden="false" customHeight="false" outlineLevel="0" collapsed="false">
      <c r="A27" s="42" t="n">
        <v>46401.54375</v>
      </c>
      <c r="B27" s="10" t="s">
        <v>1686</v>
      </c>
      <c r="C27" s="10" t="s">
        <v>1554</v>
      </c>
      <c r="F27" s="10" t="s">
        <v>1683</v>
      </c>
    </row>
    <row r="28" customFormat="false" ht="15" hidden="false" customHeight="false" outlineLevel="0" collapsed="false">
      <c r="A28" s="42" t="n">
        <v>46401.5444444444</v>
      </c>
      <c r="B28" s="10" t="s">
        <v>1677</v>
      </c>
      <c r="C28" s="10" t="s">
        <v>1571</v>
      </c>
      <c r="D28" s="0" t="n">
        <v>4</v>
      </c>
      <c r="E28" s="10" t="s">
        <v>1571</v>
      </c>
      <c r="G28" s="10" t="s">
        <v>1681</v>
      </c>
    </row>
    <row r="29" customFormat="false" ht="15" hidden="false" customHeight="false" outlineLevel="0" collapsed="false">
      <c r="A29" s="42" t="n">
        <v>46401.6076388889</v>
      </c>
      <c r="B29" s="10" t="s">
        <v>1673</v>
      </c>
      <c r="C29" s="10" t="s">
        <v>1571</v>
      </c>
      <c r="D29" s="0" t="n">
        <v>4</v>
      </c>
      <c r="E29" s="10" t="s">
        <v>1554</v>
      </c>
    </row>
    <row r="30" customFormat="false" ht="15" hidden="false" customHeight="false" outlineLevel="0" collapsed="false">
      <c r="A30" s="42" t="n">
        <v>46401.6965277778</v>
      </c>
      <c r="B30" s="10" t="s">
        <v>1675</v>
      </c>
      <c r="C30" s="10" t="s">
        <v>1571</v>
      </c>
      <c r="D30" s="0" t="n">
        <v>4</v>
      </c>
      <c r="E30" s="10" t="s">
        <v>1678</v>
      </c>
      <c r="G30" s="10" t="s">
        <v>1681</v>
      </c>
    </row>
    <row r="31" customFormat="false" ht="15" hidden="false" customHeight="false" outlineLevel="0" collapsed="false">
      <c r="A31" s="42" t="n">
        <v>46401.70625</v>
      </c>
      <c r="B31" s="10" t="s">
        <v>1677</v>
      </c>
      <c r="C31" s="10" t="s">
        <v>1571</v>
      </c>
      <c r="D31" s="0" t="n">
        <v>5</v>
      </c>
      <c r="E31" s="10" t="s">
        <v>1554</v>
      </c>
    </row>
    <row r="32" customFormat="false" ht="15" hidden="false" customHeight="false" outlineLevel="0" collapsed="false">
      <c r="A32" s="42" t="n">
        <v>46402.4069444445</v>
      </c>
      <c r="B32" s="10" t="s">
        <v>1682</v>
      </c>
      <c r="C32" s="10" t="s">
        <v>1571</v>
      </c>
      <c r="D32" s="0" t="n">
        <v>4</v>
      </c>
      <c r="E32" s="10" t="s">
        <v>1678</v>
      </c>
    </row>
    <row r="33" customFormat="false" ht="15" hidden="false" customHeight="false" outlineLevel="0" collapsed="false">
      <c r="A33" s="42" t="n">
        <v>46402.4097222222</v>
      </c>
      <c r="B33" s="10" t="s">
        <v>1675</v>
      </c>
      <c r="C33" s="10" t="s">
        <v>1554</v>
      </c>
      <c r="F33" s="10" t="s">
        <v>1679</v>
      </c>
    </row>
    <row r="34" customFormat="false" ht="15" hidden="false" customHeight="false" outlineLevel="0" collapsed="false">
      <c r="A34" s="42" t="n">
        <v>46402.4555555556</v>
      </c>
      <c r="B34" s="10" t="s">
        <v>1677</v>
      </c>
      <c r="C34" s="10" t="s">
        <v>1554</v>
      </c>
      <c r="F34" s="10" t="s">
        <v>1676</v>
      </c>
      <c r="G34" s="10" t="s">
        <v>491</v>
      </c>
    </row>
    <row r="35" customFormat="false" ht="15" hidden="false" customHeight="false" outlineLevel="0" collapsed="false">
      <c r="A35" s="42" t="n">
        <v>46402.5229166667</v>
      </c>
      <c r="B35" s="10" t="s">
        <v>1677</v>
      </c>
      <c r="C35" s="10" t="s">
        <v>1554</v>
      </c>
      <c r="F35" s="10" t="s">
        <v>1679</v>
      </c>
    </row>
    <row r="36" customFormat="false" ht="15" hidden="false" customHeight="false" outlineLevel="0" collapsed="false">
      <c r="A36" s="42" t="n">
        <v>46402.6</v>
      </c>
      <c r="B36" s="10" t="s">
        <v>1673</v>
      </c>
      <c r="C36" s="10" t="s">
        <v>1571</v>
      </c>
      <c r="D36" s="0" t="n">
        <v>4</v>
      </c>
      <c r="E36" s="10" t="s">
        <v>1678</v>
      </c>
      <c r="G36" s="10" t="s">
        <v>1685</v>
      </c>
    </row>
    <row r="37" customFormat="false" ht="15" hidden="false" customHeight="false" outlineLevel="0" collapsed="false">
      <c r="A37" s="42" t="n">
        <v>46402.6958333333</v>
      </c>
      <c r="B37" s="10" t="s">
        <v>1682</v>
      </c>
      <c r="C37" s="10" t="s">
        <v>1571</v>
      </c>
      <c r="D37" s="0" t="n">
        <v>5</v>
      </c>
      <c r="E37" s="10" t="s">
        <v>1554</v>
      </c>
    </row>
    <row r="38" customFormat="false" ht="15" hidden="false" customHeight="false" outlineLevel="0" collapsed="false">
      <c r="A38" s="42" t="n">
        <v>46407.3618055556</v>
      </c>
      <c r="B38" s="10" t="s">
        <v>1677</v>
      </c>
      <c r="C38" s="10" t="s">
        <v>1571</v>
      </c>
      <c r="D38" s="0" t="n">
        <v>4</v>
      </c>
      <c r="E38"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1687</v>
      </c>
      <c r="D1" s="41" t="s">
        <v>1666</v>
      </c>
      <c r="E1" s="41" t="s">
        <v>1667</v>
      </c>
      <c r="F1" s="41" t="s">
        <v>1668</v>
      </c>
      <c r="G1" s="41" t="s">
        <v>1688</v>
      </c>
    </row>
    <row r="2" customFormat="false" ht="15" hidden="false" customHeight="false" outlineLevel="0" collapsed="false">
      <c r="A2" s="42" t="n">
        <v>46399.4145833333</v>
      </c>
      <c r="B2" s="10" t="s">
        <v>1689</v>
      </c>
      <c r="C2" s="10" t="s">
        <v>1571</v>
      </c>
      <c r="D2" s="0" t="n">
        <v>3</v>
      </c>
      <c r="E2" s="10" t="s">
        <v>1571</v>
      </c>
      <c r="G2" s="10" t="s">
        <v>510</v>
      </c>
    </row>
    <row r="3" customFormat="false" ht="15" hidden="false" customHeight="false" outlineLevel="0" collapsed="false">
      <c r="A3" s="42" t="n">
        <v>46399.4215277778</v>
      </c>
      <c r="B3" s="10" t="s">
        <v>1689</v>
      </c>
      <c r="C3" s="10" t="s">
        <v>1571</v>
      </c>
      <c r="D3" s="0" t="n">
        <v>5</v>
      </c>
      <c r="E3" s="10" t="s">
        <v>1678</v>
      </c>
      <c r="G3" s="10" t="s">
        <v>511</v>
      </c>
    </row>
    <row r="4" customFormat="false" ht="15" hidden="false" customHeight="false" outlineLevel="0" collapsed="false">
      <c r="A4" s="42" t="n">
        <v>46399.4604166667</v>
      </c>
      <c r="B4" s="10" t="s">
        <v>1689</v>
      </c>
      <c r="C4" s="10" t="s">
        <v>1571</v>
      </c>
      <c r="D4" s="0" t="n">
        <v>5</v>
      </c>
      <c r="E4" s="10" t="s">
        <v>1554</v>
      </c>
      <c r="G4" s="10" t="s">
        <v>512</v>
      </c>
    </row>
    <row r="5" customFormat="false" ht="15" hidden="false" customHeight="false" outlineLevel="0" collapsed="false">
      <c r="A5" s="42" t="n">
        <v>46399.4881944444</v>
      </c>
      <c r="B5" s="10" t="s">
        <v>1689</v>
      </c>
      <c r="C5" s="10" t="s">
        <v>1554</v>
      </c>
      <c r="F5" s="10" t="s">
        <v>1679</v>
      </c>
      <c r="G5" s="10" t="s">
        <v>1681</v>
      </c>
    </row>
    <row r="6" customFormat="false" ht="15" hidden="false" customHeight="false" outlineLevel="0" collapsed="false">
      <c r="A6" s="42" t="n">
        <v>46399.4944444444</v>
      </c>
      <c r="B6" s="10" t="s">
        <v>1690</v>
      </c>
      <c r="C6" s="10" t="s">
        <v>1571</v>
      </c>
      <c r="D6" s="0" t="n">
        <v>4</v>
      </c>
      <c r="E6" s="10" t="s">
        <v>1678</v>
      </c>
    </row>
    <row r="7" customFormat="false" ht="15" hidden="false" customHeight="false" outlineLevel="0" collapsed="false">
      <c r="A7" s="42" t="n">
        <v>46399.5472222222</v>
      </c>
      <c r="B7" s="10" t="s">
        <v>1691</v>
      </c>
      <c r="C7" s="10" t="s">
        <v>1571</v>
      </c>
      <c r="D7" s="0" t="n">
        <v>5</v>
      </c>
      <c r="E7" s="10" t="s">
        <v>1571</v>
      </c>
    </row>
    <row r="8" customFormat="false" ht="15" hidden="false" customHeight="false" outlineLevel="0" collapsed="false">
      <c r="A8" s="42" t="n">
        <v>46399.6159722222</v>
      </c>
      <c r="B8" s="10" t="s">
        <v>1692</v>
      </c>
      <c r="C8" s="10" t="s">
        <v>1554</v>
      </c>
      <c r="F8" s="10" t="s">
        <v>1679</v>
      </c>
    </row>
    <row r="9" customFormat="false" ht="15" hidden="false" customHeight="false" outlineLevel="0" collapsed="false">
      <c r="A9" s="42" t="n">
        <v>46399.6326388889</v>
      </c>
      <c r="B9" s="10" t="s">
        <v>1690</v>
      </c>
      <c r="C9" s="10" t="s">
        <v>1571</v>
      </c>
      <c r="D9" s="0" t="n">
        <v>3</v>
      </c>
      <c r="E9" s="10" t="s">
        <v>1571</v>
      </c>
    </row>
    <row r="10" customFormat="false" ht="15" hidden="false" customHeight="false" outlineLevel="0" collapsed="false">
      <c r="A10" s="42" t="n">
        <v>46399.6333333333</v>
      </c>
      <c r="B10" s="10" t="s">
        <v>1691</v>
      </c>
      <c r="C10" s="10" t="s">
        <v>1554</v>
      </c>
      <c r="F10" s="10" t="s">
        <v>1683</v>
      </c>
    </row>
    <row r="11" customFormat="false" ht="15" hidden="false" customHeight="false" outlineLevel="0" collapsed="false">
      <c r="A11" s="42" t="n">
        <v>46399.6798611111</v>
      </c>
      <c r="B11" s="10" t="s">
        <v>1692</v>
      </c>
      <c r="C11" s="10" t="s">
        <v>1571</v>
      </c>
      <c r="D11" s="0" t="n">
        <v>5</v>
      </c>
      <c r="E11" s="10" t="s">
        <v>1571</v>
      </c>
      <c r="G11" s="10" t="s">
        <v>1685</v>
      </c>
    </row>
    <row r="12" customFormat="false" ht="15" hidden="false" customHeight="false" outlineLevel="0" collapsed="false">
      <c r="A12" s="42" t="n">
        <v>46400.3756944445</v>
      </c>
      <c r="B12" s="10" t="s">
        <v>1689</v>
      </c>
      <c r="C12" s="10" t="s">
        <v>1554</v>
      </c>
      <c r="F12" s="10" t="s">
        <v>1676</v>
      </c>
    </row>
    <row r="13" customFormat="false" ht="15" hidden="false" customHeight="false" outlineLevel="0" collapsed="false">
      <c r="A13" s="42" t="n">
        <v>46400.3979166667</v>
      </c>
      <c r="B13" s="10" t="s">
        <v>1690</v>
      </c>
      <c r="C13" s="10" t="s">
        <v>1571</v>
      </c>
      <c r="D13" s="0" t="n">
        <v>5</v>
      </c>
      <c r="E13" s="10" t="s">
        <v>1678</v>
      </c>
    </row>
    <row r="14" customFormat="false" ht="15" hidden="false" customHeight="false" outlineLevel="0" collapsed="false">
      <c r="A14" s="42" t="n">
        <v>46400.4659722222</v>
      </c>
      <c r="B14" s="10" t="s">
        <v>1693</v>
      </c>
      <c r="C14" s="10" t="s">
        <v>1554</v>
      </c>
      <c r="F14" s="10" t="s">
        <v>1676</v>
      </c>
    </row>
    <row r="15" customFormat="false" ht="15" hidden="false" customHeight="false" outlineLevel="0" collapsed="false">
      <c r="A15" s="42" t="n">
        <v>46400.4944444444</v>
      </c>
      <c r="B15" s="10" t="s">
        <v>1691</v>
      </c>
      <c r="C15" s="10" t="s">
        <v>1571</v>
      </c>
      <c r="D15" s="0" t="n">
        <v>3</v>
      </c>
      <c r="E15" s="10" t="s">
        <v>1554</v>
      </c>
      <c r="G15" s="10" t="s">
        <v>512</v>
      </c>
    </row>
    <row r="16" customFormat="false" ht="15" hidden="false" customHeight="false" outlineLevel="0" collapsed="false">
      <c r="A16" s="42" t="n">
        <v>46400.5902777778</v>
      </c>
      <c r="B16" s="10" t="s">
        <v>1693</v>
      </c>
      <c r="C16" s="10" t="s">
        <v>1571</v>
      </c>
      <c r="D16" s="0" t="n">
        <v>5</v>
      </c>
      <c r="E16" s="10" t="s">
        <v>1571</v>
      </c>
    </row>
    <row r="17" customFormat="false" ht="15" hidden="false" customHeight="false" outlineLevel="0" collapsed="false">
      <c r="A17" s="42" t="n">
        <v>46400.6166666667</v>
      </c>
      <c r="B17" s="10" t="s">
        <v>1692</v>
      </c>
      <c r="C17" s="10" t="s">
        <v>1554</v>
      </c>
      <c r="F17" s="10" t="s">
        <v>1679</v>
      </c>
    </row>
    <row r="18" customFormat="false" ht="15" hidden="false" customHeight="false" outlineLevel="0" collapsed="false">
      <c r="A18" s="42" t="n">
        <v>46400.6458333333</v>
      </c>
      <c r="B18" s="10" t="s">
        <v>1692</v>
      </c>
      <c r="C18" s="10" t="s">
        <v>1571</v>
      </c>
      <c r="D18" s="0" t="n">
        <v>4</v>
      </c>
      <c r="E18" s="10" t="s">
        <v>1554</v>
      </c>
      <c r="G18" s="10" t="s">
        <v>510</v>
      </c>
    </row>
    <row r="19" customFormat="false" ht="15" hidden="false" customHeight="false" outlineLevel="0" collapsed="false">
      <c r="A19" s="42" t="n">
        <v>46400.6694444444</v>
      </c>
      <c r="B19" s="10" t="s">
        <v>1692</v>
      </c>
      <c r="C19" s="10" t="s">
        <v>1571</v>
      </c>
      <c r="D19" s="0" t="n">
        <v>5</v>
      </c>
      <c r="E19" s="10" t="s">
        <v>1571</v>
      </c>
    </row>
    <row r="20" customFormat="false" ht="15" hidden="false" customHeight="false" outlineLevel="0" collapsed="false">
      <c r="A20" s="42" t="n">
        <v>46400.7020833333</v>
      </c>
      <c r="B20" s="10" t="s">
        <v>1693</v>
      </c>
      <c r="C20" s="10" t="s">
        <v>1554</v>
      </c>
      <c r="F20" s="10" t="s">
        <v>1676</v>
      </c>
      <c r="G20" s="10" t="s">
        <v>510</v>
      </c>
    </row>
    <row r="21" customFormat="false" ht="15" hidden="false" customHeight="false" outlineLevel="0" collapsed="false">
      <c r="A21" s="42" t="n">
        <v>46401.3951388889</v>
      </c>
      <c r="B21" s="10" t="s">
        <v>1691</v>
      </c>
      <c r="C21" s="10" t="s">
        <v>1571</v>
      </c>
      <c r="D21" s="0" t="n">
        <v>3</v>
      </c>
      <c r="E21" s="10" t="s">
        <v>1678</v>
      </c>
    </row>
    <row r="22" customFormat="false" ht="15" hidden="false" customHeight="false" outlineLevel="0" collapsed="false">
      <c r="A22" s="42" t="n">
        <v>46401.4277777778</v>
      </c>
      <c r="B22" s="10" t="s">
        <v>1689</v>
      </c>
      <c r="C22" s="10" t="s">
        <v>1571</v>
      </c>
      <c r="D22" s="0" t="n">
        <v>4</v>
      </c>
      <c r="E22" s="10" t="s">
        <v>1678</v>
      </c>
    </row>
    <row r="23" customFormat="false" ht="15" hidden="false" customHeight="false" outlineLevel="0" collapsed="false">
      <c r="A23" s="42" t="n">
        <v>46401.4902777778</v>
      </c>
      <c r="B23" s="10" t="s">
        <v>1689</v>
      </c>
      <c r="C23" s="10" t="s">
        <v>1554</v>
      </c>
      <c r="F23" s="10" t="s">
        <v>1676</v>
      </c>
      <c r="G23" s="10" t="s">
        <v>491</v>
      </c>
    </row>
    <row r="24" customFormat="false" ht="15" hidden="false" customHeight="false" outlineLevel="0" collapsed="false">
      <c r="A24" s="42" t="n">
        <v>46401.5020833333</v>
      </c>
      <c r="B24" s="10" t="s">
        <v>1689</v>
      </c>
      <c r="C24" s="10" t="s">
        <v>1571</v>
      </c>
      <c r="D24" s="0" t="n">
        <v>5</v>
      </c>
      <c r="E24" s="10" t="s">
        <v>1571</v>
      </c>
    </row>
    <row r="25" customFormat="false" ht="15" hidden="false" customHeight="false" outlineLevel="0" collapsed="false">
      <c r="A25" s="42" t="n">
        <v>46401.5034722222</v>
      </c>
      <c r="B25" s="10" t="s">
        <v>1690</v>
      </c>
      <c r="C25" s="10" t="s">
        <v>1571</v>
      </c>
      <c r="D25" s="0" t="n">
        <v>3</v>
      </c>
      <c r="E25" s="10" t="s">
        <v>1678</v>
      </c>
    </row>
    <row r="26" customFormat="false" ht="15" hidden="false" customHeight="false" outlineLevel="0" collapsed="false">
      <c r="A26" s="42" t="n">
        <v>46401.6208333333</v>
      </c>
      <c r="B26" s="10" t="s">
        <v>1693</v>
      </c>
      <c r="C26" s="10" t="s">
        <v>1571</v>
      </c>
      <c r="D26" s="0" t="n">
        <v>3</v>
      </c>
      <c r="E26" s="10" t="s">
        <v>1554</v>
      </c>
    </row>
    <row r="27" customFormat="false" ht="15" hidden="false" customHeight="false" outlineLevel="0" collapsed="false">
      <c r="A27" s="42" t="n">
        <v>46401.6986111111</v>
      </c>
      <c r="B27" s="10" t="s">
        <v>1693</v>
      </c>
      <c r="C27" s="10" t="s">
        <v>1571</v>
      </c>
      <c r="D27" s="0" t="n">
        <v>4</v>
      </c>
      <c r="E27" s="10" t="s">
        <v>1571</v>
      </c>
      <c r="G27" s="10" t="s">
        <v>1684</v>
      </c>
    </row>
    <row r="28" customFormat="false" ht="15" hidden="false" customHeight="false" outlineLevel="0" collapsed="false">
      <c r="A28" s="42" t="n">
        <v>46401.7055555556</v>
      </c>
      <c r="B28" s="10" t="s">
        <v>1693</v>
      </c>
      <c r="C28" s="10" t="s">
        <v>1571</v>
      </c>
      <c r="D28" s="0" t="n">
        <v>4</v>
      </c>
      <c r="E28" s="10" t="s">
        <v>1554</v>
      </c>
      <c r="G28" s="10" t="s">
        <v>492</v>
      </c>
    </row>
    <row r="29" customFormat="false" ht="15" hidden="false" customHeight="false" outlineLevel="0" collapsed="false">
      <c r="A29" s="42" t="n">
        <v>46402.3875</v>
      </c>
      <c r="B29" s="10" t="s">
        <v>1692</v>
      </c>
      <c r="C29" s="10" t="s">
        <v>1554</v>
      </c>
      <c r="F29" s="10" t="s">
        <v>1679</v>
      </c>
    </row>
    <row r="30" customFormat="false" ht="15" hidden="false" customHeight="false" outlineLevel="0" collapsed="false">
      <c r="A30" s="42" t="n">
        <v>46402.4173611111</v>
      </c>
      <c r="B30" s="10" t="s">
        <v>1693</v>
      </c>
      <c r="C30" s="10" t="s">
        <v>1554</v>
      </c>
      <c r="F30" s="10" t="s">
        <v>1679</v>
      </c>
    </row>
    <row r="31" customFormat="false" ht="15" hidden="false" customHeight="false" outlineLevel="0" collapsed="false">
      <c r="A31" s="42" t="n">
        <v>46402.6256944445</v>
      </c>
      <c r="B31" s="10" t="s">
        <v>1689</v>
      </c>
      <c r="C31" s="10" t="s">
        <v>1571</v>
      </c>
      <c r="D31" s="0" t="n">
        <v>4</v>
      </c>
      <c r="E31" s="10" t="s">
        <v>1678</v>
      </c>
      <c r="G31" s="10" t="s">
        <v>511</v>
      </c>
    </row>
    <row r="32" customFormat="false" ht="15" hidden="false" customHeight="false" outlineLevel="0" collapsed="false">
      <c r="A32" s="42" t="n">
        <v>46406.4173611111</v>
      </c>
      <c r="B32" s="10" t="s">
        <v>1690</v>
      </c>
      <c r="C32" s="10" t="s">
        <v>1571</v>
      </c>
      <c r="D32" s="0" t="n">
        <v>4</v>
      </c>
      <c r="E32" s="10" t="s">
        <v>1678</v>
      </c>
    </row>
    <row r="33" customFormat="false" ht="15" hidden="false" customHeight="false" outlineLevel="0" collapsed="false">
      <c r="A33" s="42" t="n">
        <v>46406.5458333333</v>
      </c>
      <c r="B33" s="10" t="s">
        <v>1691</v>
      </c>
      <c r="C33" s="10" t="s">
        <v>1554</v>
      </c>
      <c r="F33" s="10" t="s">
        <v>1676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1694</v>
      </c>
      <c r="D1" s="41" t="s">
        <v>1666</v>
      </c>
      <c r="E1" s="41" t="s">
        <v>1667</v>
      </c>
      <c r="F1" s="41" t="s">
        <v>1668</v>
      </c>
      <c r="G1" s="41" t="s">
        <v>1695</v>
      </c>
    </row>
    <row r="2" customFormat="false" ht="15" hidden="false" customHeight="false" outlineLevel="0" collapsed="false">
      <c r="A2" s="42" t="n">
        <v>46427.38125</v>
      </c>
      <c r="B2" s="10" t="s">
        <v>1696</v>
      </c>
      <c r="C2" s="10" t="s">
        <v>1571</v>
      </c>
      <c r="D2" s="0" t="n">
        <v>5</v>
      </c>
      <c r="E2" s="10" t="s">
        <v>1571</v>
      </c>
      <c r="G2" s="10" t="s">
        <v>526</v>
      </c>
    </row>
    <row r="3" customFormat="false" ht="15" hidden="false" customHeight="false" outlineLevel="0" collapsed="false">
      <c r="A3" s="42" t="n">
        <v>46427.3965277778</v>
      </c>
      <c r="B3" s="10" t="s">
        <v>1697</v>
      </c>
      <c r="C3" s="10" t="s">
        <v>1554</v>
      </c>
      <c r="F3" s="10" t="s">
        <v>1679</v>
      </c>
      <c r="G3" s="10" t="s">
        <v>1681</v>
      </c>
    </row>
    <row r="4" customFormat="false" ht="15" hidden="false" customHeight="false" outlineLevel="0" collapsed="false">
      <c r="A4" s="42" t="n">
        <v>46427.3986111111</v>
      </c>
      <c r="B4" s="10" t="s">
        <v>1698</v>
      </c>
      <c r="C4" s="10" t="s">
        <v>1571</v>
      </c>
      <c r="D4" s="0" t="n">
        <v>5</v>
      </c>
      <c r="E4" s="10" t="s">
        <v>1678</v>
      </c>
      <c r="G4" s="10" t="s">
        <v>527</v>
      </c>
    </row>
    <row r="5" customFormat="false" ht="15" hidden="false" customHeight="false" outlineLevel="0" collapsed="false">
      <c r="A5" s="42" t="n">
        <v>46427.4013888889</v>
      </c>
      <c r="B5" s="10" t="s">
        <v>1699</v>
      </c>
      <c r="C5" s="10" t="s">
        <v>1571</v>
      </c>
      <c r="D5" s="0" t="n">
        <v>5</v>
      </c>
      <c r="E5" s="10" t="s">
        <v>1678</v>
      </c>
      <c r="G5" s="10" t="s">
        <v>528</v>
      </c>
    </row>
    <row r="6" customFormat="false" ht="15" hidden="false" customHeight="false" outlineLevel="0" collapsed="false">
      <c r="A6" s="42" t="n">
        <v>46427.4055555556</v>
      </c>
      <c r="B6" s="10" t="s">
        <v>1698</v>
      </c>
      <c r="C6" s="10" t="s">
        <v>1571</v>
      </c>
      <c r="D6" s="0" t="n">
        <v>4</v>
      </c>
      <c r="E6" s="10" t="s">
        <v>1571</v>
      </c>
    </row>
    <row r="7" customFormat="false" ht="15" hidden="false" customHeight="false" outlineLevel="0" collapsed="false">
      <c r="A7" s="42" t="n">
        <v>46427.41875</v>
      </c>
      <c r="B7" s="10" t="s">
        <v>1698</v>
      </c>
      <c r="C7" s="10" t="s">
        <v>1571</v>
      </c>
      <c r="D7" s="0" t="n">
        <v>3</v>
      </c>
      <c r="E7" s="10" t="s">
        <v>1571</v>
      </c>
      <c r="G7" s="10" t="s">
        <v>511</v>
      </c>
    </row>
    <row r="8" customFormat="false" ht="15" hidden="false" customHeight="false" outlineLevel="0" collapsed="false">
      <c r="A8" s="42" t="n">
        <v>46427.4305555556</v>
      </c>
      <c r="B8" s="10" t="s">
        <v>1700</v>
      </c>
      <c r="C8" s="10" t="s">
        <v>1571</v>
      </c>
      <c r="D8" s="0" t="n">
        <v>5</v>
      </c>
      <c r="E8" s="10" t="s">
        <v>1571</v>
      </c>
    </row>
    <row r="9" customFormat="false" ht="15" hidden="false" customHeight="false" outlineLevel="0" collapsed="false">
      <c r="A9" s="42" t="n">
        <v>46427.4493055556</v>
      </c>
      <c r="B9" s="10" t="s">
        <v>1699</v>
      </c>
      <c r="C9" s="10" t="s">
        <v>1571</v>
      </c>
      <c r="D9" s="0" t="n">
        <v>4</v>
      </c>
      <c r="E9" s="10" t="s">
        <v>1571</v>
      </c>
      <c r="G9" s="10" t="s">
        <v>511</v>
      </c>
    </row>
    <row r="10" customFormat="false" ht="15" hidden="false" customHeight="false" outlineLevel="0" collapsed="false">
      <c r="A10" s="42" t="n">
        <v>46427.4590277778</v>
      </c>
      <c r="B10" s="10" t="s">
        <v>1698</v>
      </c>
      <c r="C10" s="10" t="s">
        <v>1571</v>
      </c>
      <c r="D10" s="0" t="n">
        <v>4</v>
      </c>
      <c r="E10" s="10" t="s">
        <v>1554</v>
      </c>
    </row>
    <row r="11" customFormat="false" ht="15" hidden="false" customHeight="false" outlineLevel="0" collapsed="false">
      <c r="A11" s="42" t="n">
        <v>46427.4611111111</v>
      </c>
      <c r="B11" s="10" t="s">
        <v>1701</v>
      </c>
      <c r="C11" s="10" t="s">
        <v>1571</v>
      </c>
      <c r="D11" s="0" t="n">
        <v>4</v>
      </c>
      <c r="E11" s="10" t="s">
        <v>1678</v>
      </c>
      <c r="G11" s="10" t="s">
        <v>492</v>
      </c>
    </row>
    <row r="12" customFormat="false" ht="15" hidden="false" customHeight="false" outlineLevel="0" collapsed="false">
      <c r="A12" s="42" t="n">
        <v>46427.4666666667</v>
      </c>
      <c r="B12" s="10" t="s">
        <v>1702</v>
      </c>
      <c r="C12" s="10" t="s">
        <v>1571</v>
      </c>
      <c r="D12" s="0" t="n">
        <v>4</v>
      </c>
      <c r="E12" s="10" t="s">
        <v>1678</v>
      </c>
    </row>
    <row r="13" customFormat="false" ht="15" hidden="false" customHeight="false" outlineLevel="0" collapsed="false">
      <c r="A13" s="42" t="n">
        <v>46427.4736111111</v>
      </c>
      <c r="B13" s="10" t="s">
        <v>1698</v>
      </c>
      <c r="C13" s="10" t="s">
        <v>1571</v>
      </c>
      <c r="D13" s="0" t="n">
        <v>5</v>
      </c>
      <c r="E13" s="10" t="s">
        <v>1678</v>
      </c>
      <c r="G13" s="10" t="s">
        <v>1685</v>
      </c>
    </row>
    <row r="14" customFormat="false" ht="15" hidden="false" customHeight="false" outlineLevel="0" collapsed="false">
      <c r="A14" s="42" t="n">
        <v>46427.4972222222</v>
      </c>
      <c r="B14" s="10" t="s">
        <v>1702</v>
      </c>
      <c r="C14" s="10" t="s">
        <v>1554</v>
      </c>
      <c r="F14" s="10" t="s">
        <v>1683</v>
      </c>
      <c r="G14" s="10" t="s">
        <v>511</v>
      </c>
    </row>
    <row r="15" customFormat="false" ht="15" hidden="false" customHeight="false" outlineLevel="0" collapsed="false">
      <c r="A15" s="42" t="n">
        <v>46427.5118055556</v>
      </c>
      <c r="B15" s="10" t="s">
        <v>1703</v>
      </c>
      <c r="C15" s="10" t="s">
        <v>1571</v>
      </c>
      <c r="D15" s="0" t="n">
        <v>5</v>
      </c>
      <c r="E15" s="10" t="s">
        <v>1571</v>
      </c>
    </row>
    <row r="16" customFormat="false" ht="15" hidden="false" customHeight="false" outlineLevel="0" collapsed="false">
      <c r="A16" s="42" t="n">
        <v>46427.5291666667</v>
      </c>
      <c r="B16" s="10" t="s">
        <v>1697</v>
      </c>
      <c r="C16" s="10" t="s">
        <v>1554</v>
      </c>
      <c r="F16" s="10" t="s">
        <v>1679</v>
      </c>
      <c r="G16" s="10" t="s">
        <v>491</v>
      </c>
    </row>
    <row r="17" customFormat="false" ht="15" hidden="false" customHeight="false" outlineLevel="0" collapsed="false">
      <c r="A17" s="42" t="n">
        <v>46427.5319444445</v>
      </c>
      <c r="B17" s="10" t="s">
        <v>1704</v>
      </c>
      <c r="C17" s="10" t="s">
        <v>1571</v>
      </c>
      <c r="D17" s="0" t="n">
        <v>4</v>
      </c>
      <c r="E17" s="10" t="s">
        <v>1554</v>
      </c>
      <c r="G17" s="10" t="s">
        <v>491</v>
      </c>
    </row>
    <row r="18" customFormat="false" ht="15" hidden="false" customHeight="false" outlineLevel="0" collapsed="false">
      <c r="A18" s="42" t="n">
        <v>46427.5701388889</v>
      </c>
      <c r="B18" s="10" t="s">
        <v>1704</v>
      </c>
      <c r="C18" s="10" t="s">
        <v>1571</v>
      </c>
      <c r="D18" s="0" t="n">
        <v>4</v>
      </c>
      <c r="E18" s="10" t="s">
        <v>1571</v>
      </c>
      <c r="G18" s="10" t="s">
        <v>512</v>
      </c>
    </row>
    <row r="19" customFormat="false" ht="15" hidden="false" customHeight="false" outlineLevel="0" collapsed="false">
      <c r="A19" s="42" t="n">
        <v>46427.6215277778</v>
      </c>
      <c r="B19" s="10" t="s">
        <v>1697</v>
      </c>
      <c r="C19" s="10" t="s">
        <v>1571</v>
      </c>
      <c r="D19" s="0" t="n">
        <v>3</v>
      </c>
      <c r="E19" s="10" t="s">
        <v>1554</v>
      </c>
      <c r="G19" s="10" t="s">
        <v>1685</v>
      </c>
    </row>
    <row r="20" customFormat="false" ht="15" hidden="false" customHeight="false" outlineLevel="0" collapsed="false">
      <c r="A20" s="42" t="n">
        <v>46427.6256944445</v>
      </c>
      <c r="B20" s="10" t="s">
        <v>1705</v>
      </c>
      <c r="C20" s="10" t="s">
        <v>1554</v>
      </c>
      <c r="F20" s="10" t="s">
        <v>1676</v>
      </c>
    </row>
    <row r="21" customFormat="false" ht="15" hidden="false" customHeight="false" outlineLevel="0" collapsed="false">
      <c r="A21" s="42" t="n">
        <v>46427.6277777778</v>
      </c>
      <c r="B21" s="10" t="s">
        <v>1704</v>
      </c>
      <c r="C21" s="10" t="s">
        <v>1571</v>
      </c>
      <c r="D21" s="0" t="n">
        <v>3</v>
      </c>
      <c r="E21" s="10" t="s">
        <v>1571</v>
      </c>
      <c r="G21" s="10" t="s">
        <v>510</v>
      </c>
    </row>
    <row r="22" customFormat="false" ht="15" hidden="false" customHeight="false" outlineLevel="0" collapsed="false">
      <c r="A22" s="42" t="n">
        <v>46427.6576388889</v>
      </c>
      <c r="B22" s="10" t="s">
        <v>1696</v>
      </c>
      <c r="C22" s="10" t="s">
        <v>1571</v>
      </c>
      <c r="D22" s="0" t="n">
        <v>4</v>
      </c>
      <c r="E22" s="10" t="s">
        <v>1554</v>
      </c>
    </row>
    <row r="23" customFormat="false" ht="15" hidden="false" customHeight="false" outlineLevel="0" collapsed="false">
      <c r="A23" s="42" t="n">
        <v>46427.6652777778</v>
      </c>
      <c r="B23" s="10" t="s">
        <v>1703</v>
      </c>
      <c r="C23" s="10" t="s">
        <v>1554</v>
      </c>
      <c r="F23" s="10" t="s">
        <v>1676</v>
      </c>
    </row>
    <row r="24" customFormat="false" ht="15" hidden="false" customHeight="false" outlineLevel="0" collapsed="false">
      <c r="A24" s="42" t="n">
        <v>46427.675</v>
      </c>
      <c r="B24" s="10" t="s">
        <v>1704</v>
      </c>
      <c r="C24" s="10" t="s">
        <v>1554</v>
      </c>
      <c r="F24" s="10" t="s">
        <v>1683</v>
      </c>
      <c r="G24" s="10" t="s">
        <v>511</v>
      </c>
    </row>
    <row r="25" customFormat="false" ht="15" hidden="false" customHeight="false" outlineLevel="0" collapsed="false">
      <c r="A25" s="42" t="n">
        <v>46427.6888888889</v>
      </c>
      <c r="B25" s="10" t="s">
        <v>1700</v>
      </c>
      <c r="C25" s="10" t="s">
        <v>1571</v>
      </c>
      <c r="D25" s="0" t="n">
        <v>4</v>
      </c>
      <c r="E25" s="10" t="s">
        <v>1554</v>
      </c>
    </row>
    <row r="26" customFormat="false" ht="15" hidden="false" customHeight="false" outlineLevel="0" collapsed="false">
      <c r="A26" s="42" t="n">
        <v>46427.7006944444</v>
      </c>
      <c r="B26" s="10" t="s">
        <v>1700</v>
      </c>
      <c r="C26" s="10" t="s">
        <v>1571</v>
      </c>
      <c r="D26" s="0" t="n">
        <v>5</v>
      </c>
      <c r="E26" s="10" t="s">
        <v>1571</v>
      </c>
      <c r="G26" s="10" t="s">
        <v>512</v>
      </c>
    </row>
    <row r="27" customFormat="false" ht="15" hidden="false" customHeight="false" outlineLevel="0" collapsed="false">
      <c r="A27" s="42" t="n">
        <v>46428.4152777778</v>
      </c>
      <c r="B27" s="10" t="s">
        <v>1700</v>
      </c>
      <c r="C27" s="10" t="s">
        <v>1571</v>
      </c>
      <c r="D27" s="0" t="n">
        <v>4</v>
      </c>
      <c r="E27" s="10" t="s">
        <v>1571</v>
      </c>
      <c r="G27" s="10" t="s">
        <v>1681</v>
      </c>
    </row>
    <row r="28" customFormat="false" ht="15" hidden="false" customHeight="false" outlineLevel="0" collapsed="false">
      <c r="A28" s="42" t="n">
        <v>46428.4208333333</v>
      </c>
      <c r="B28" s="10" t="s">
        <v>1703</v>
      </c>
      <c r="C28" s="10" t="s">
        <v>1554</v>
      </c>
      <c r="F28" s="10" t="s">
        <v>1679</v>
      </c>
    </row>
    <row r="29" customFormat="false" ht="15" hidden="false" customHeight="false" outlineLevel="0" collapsed="false">
      <c r="A29" s="42" t="n">
        <v>46428.4361111111</v>
      </c>
      <c r="B29" s="10" t="s">
        <v>1704</v>
      </c>
      <c r="C29" s="10" t="s">
        <v>1571</v>
      </c>
      <c r="D29" s="0" t="n">
        <v>4</v>
      </c>
      <c r="E29" s="10" t="s">
        <v>1678</v>
      </c>
      <c r="G29" s="10" t="s">
        <v>1684</v>
      </c>
    </row>
    <row r="30" customFormat="false" ht="15" hidden="false" customHeight="false" outlineLevel="0" collapsed="false">
      <c r="A30" s="42" t="n">
        <v>46428.4368055556</v>
      </c>
      <c r="B30" s="10" t="s">
        <v>1705</v>
      </c>
      <c r="C30" s="10" t="s">
        <v>1571</v>
      </c>
      <c r="D30" s="0" t="n">
        <v>4</v>
      </c>
      <c r="E30" s="10" t="s">
        <v>1678</v>
      </c>
    </row>
    <row r="31" customFormat="false" ht="15" hidden="false" customHeight="false" outlineLevel="0" collapsed="false">
      <c r="A31" s="42" t="n">
        <v>46428.44375</v>
      </c>
      <c r="B31" s="10" t="s">
        <v>1703</v>
      </c>
      <c r="C31" s="10" t="s">
        <v>1571</v>
      </c>
      <c r="D31" s="0" t="n">
        <v>4</v>
      </c>
      <c r="E31" s="10" t="s">
        <v>1678</v>
      </c>
    </row>
    <row r="32" customFormat="false" ht="15" hidden="false" customHeight="false" outlineLevel="0" collapsed="false">
      <c r="A32" s="42" t="n">
        <v>46428.4673611111</v>
      </c>
      <c r="B32" s="10" t="s">
        <v>1702</v>
      </c>
      <c r="C32" s="10" t="s">
        <v>1554</v>
      </c>
      <c r="F32" s="10" t="s">
        <v>1676</v>
      </c>
    </row>
    <row r="33" customFormat="false" ht="15" hidden="false" customHeight="false" outlineLevel="0" collapsed="false">
      <c r="A33" s="42" t="n">
        <v>46428.4916666667</v>
      </c>
      <c r="B33" s="10" t="s">
        <v>1696</v>
      </c>
      <c r="C33" s="10" t="s">
        <v>1554</v>
      </c>
      <c r="F33" s="10" t="s">
        <v>1679</v>
      </c>
    </row>
    <row r="34" customFormat="false" ht="15" hidden="false" customHeight="false" outlineLevel="0" collapsed="false">
      <c r="A34" s="42" t="n">
        <v>46428.5201388889</v>
      </c>
      <c r="B34" s="10" t="s">
        <v>1698</v>
      </c>
      <c r="C34" s="10" t="s">
        <v>1571</v>
      </c>
      <c r="D34" s="0" t="n">
        <v>4</v>
      </c>
      <c r="E34" s="10" t="s">
        <v>1554</v>
      </c>
      <c r="G34" s="10" t="s">
        <v>1684</v>
      </c>
    </row>
    <row r="35" customFormat="false" ht="15" hidden="false" customHeight="false" outlineLevel="0" collapsed="false">
      <c r="A35" s="42" t="n">
        <v>46428.5215277778</v>
      </c>
      <c r="B35" s="10" t="s">
        <v>1700</v>
      </c>
      <c r="C35" s="10" t="s">
        <v>1571</v>
      </c>
      <c r="D35" s="0" t="n">
        <v>5</v>
      </c>
      <c r="E35" s="10" t="s">
        <v>1571</v>
      </c>
    </row>
    <row r="36" customFormat="false" ht="15" hidden="false" customHeight="false" outlineLevel="0" collapsed="false">
      <c r="A36" s="42" t="n">
        <v>46428.5354166667</v>
      </c>
      <c r="B36" s="10" t="s">
        <v>1703</v>
      </c>
      <c r="C36" s="10" t="s">
        <v>1554</v>
      </c>
      <c r="F36" s="10" t="s">
        <v>1683</v>
      </c>
    </row>
    <row r="37" customFormat="false" ht="15" hidden="false" customHeight="false" outlineLevel="0" collapsed="false">
      <c r="A37" s="42" t="n">
        <v>46428.5375</v>
      </c>
      <c r="B37" s="10" t="s">
        <v>1698</v>
      </c>
      <c r="C37" s="10" t="s">
        <v>1571</v>
      </c>
      <c r="D37" s="0" t="n">
        <v>4</v>
      </c>
      <c r="E37" s="10" t="s">
        <v>1678</v>
      </c>
    </row>
    <row r="38" customFormat="false" ht="15" hidden="false" customHeight="false" outlineLevel="0" collapsed="false">
      <c r="A38" s="42" t="n">
        <v>46428.5493055556</v>
      </c>
      <c r="B38" s="10" t="s">
        <v>1704</v>
      </c>
      <c r="C38" s="10" t="s">
        <v>1554</v>
      </c>
      <c r="F38" s="10" t="s">
        <v>1676</v>
      </c>
      <c r="G38" s="10" t="s">
        <v>512</v>
      </c>
    </row>
    <row r="39" customFormat="false" ht="15" hidden="false" customHeight="false" outlineLevel="0" collapsed="false">
      <c r="A39" s="42" t="n">
        <v>46428.5527777778</v>
      </c>
      <c r="B39" s="10" t="s">
        <v>1700</v>
      </c>
      <c r="C39" s="10" t="s">
        <v>1571</v>
      </c>
      <c r="D39" s="0" t="n">
        <v>3</v>
      </c>
      <c r="E39" s="10" t="s">
        <v>1678</v>
      </c>
    </row>
    <row r="40" customFormat="false" ht="15" hidden="false" customHeight="false" outlineLevel="0" collapsed="false">
      <c r="A40" s="42" t="n">
        <v>46428.5611111111</v>
      </c>
      <c r="B40" s="10" t="s">
        <v>1705</v>
      </c>
      <c r="C40" s="10" t="s">
        <v>1554</v>
      </c>
      <c r="F40" s="10" t="s">
        <v>1679</v>
      </c>
    </row>
    <row r="41" customFormat="false" ht="15" hidden="false" customHeight="false" outlineLevel="0" collapsed="false">
      <c r="A41" s="42" t="n">
        <v>46428.6097222222</v>
      </c>
      <c r="B41" s="10" t="s">
        <v>1705</v>
      </c>
      <c r="C41" s="10" t="s">
        <v>1571</v>
      </c>
      <c r="D41" s="0" t="n">
        <v>3</v>
      </c>
      <c r="E41" s="10" t="s">
        <v>1554</v>
      </c>
    </row>
    <row r="42" customFormat="false" ht="15" hidden="false" customHeight="false" outlineLevel="0" collapsed="false">
      <c r="A42" s="42" t="n">
        <v>46428.6409722222</v>
      </c>
      <c r="B42" s="10" t="s">
        <v>1702</v>
      </c>
      <c r="C42" s="10" t="s">
        <v>1571</v>
      </c>
      <c r="D42" s="0" t="n">
        <v>4</v>
      </c>
      <c r="E42" s="10" t="s">
        <v>1571</v>
      </c>
    </row>
    <row r="43" customFormat="false" ht="15" hidden="false" customHeight="false" outlineLevel="0" collapsed="false">
      <c r="A43" s="42" t="n">
        <v>46428.6631944445</v>
      </c>
      <c r="B43" s="10" t="s">
        <v>1703</v>
      </c>
      <c r="C43" s="10" t="s">
        <v>1571</v>
      </c>
      <c r="D43" s="0" t="n">
        <v>4</v>
      </c>
      <c r="E43" s="10" t="s">
        <v>1571</v>
      </c>
    </row>
    <row r="44" customFormat="false" ht="15" hidden="false" customHeight="false" outlineLevel="0" collapsed="false">
      <c r="A44" s="42" t="n">
        <v>46428.6840277778</v>
      </c>
      <c r="B44" s="10" t="s">
        <v>1701</v>
      </c>
      <c r="C44" s="10" t="s">
        <v>1554</v>
      </c>
      <c r="F44" s="10" t="s">
        <v>1683</v>
      </c>
      <c r="G44" s="10" t="s">
        <v>511</v>
      </c>
    </row>
    <row r="45" customFormat="false" ht="15" hidden="false" customHeight="false" outlineLevel="0" collapsed="false">
      <c r="A45" s="42" t="n">
        <v>46428.6847222222</v>
      </c>
      <c r="B45" s="10" t="s">
        <v>1698</v>
      </c>
      <c r="C45" s="10" t="s">
        <v>1571</v>
      </c>
      <c r="D45" s="0" t="n">
        <v>4</v>
      </c>
      <c r="E45" s="10" t="s">
        <v>1571</v>
      </c>
      <c r="G45" s="10" t="s">
        <v>511</v>
      </c>
    </row>
    <row r="46" customFormat="false" ht="15" hidden="false" customHeight="false" outlineLevel="0" collapsed="false">
      <c r="A46" s="42" t="n">
        <v>46428.6930555556</v>
      </c>
      <c r="B46" s="10" t="s">
        <v>1699</v>
      </c>
      <c r="C46" s="10" t="s">
        <v>1571</v>
      </c>
      <c r="D46" s="0" t="n">
        <v>4</v>
      </c>
      <c r="E46" s="10" t="s">
        <v>1678</v>
      </c>
      <c r="G46" s="10" t="s">
        <v>510</v>
      </c>
    </row>
    <row r="47" customFormat="false" ht="15" hidden="false" customHeight="false" outlineLevel="0" collapsed="false">
      <c r="A47" s="42" t="n">
        <v>46429.38125</v>
      </c>
      <c r="B47" s="10" t="s">
        <v>1696</v>
      </c>
      <c r="C47" s="10" t="s">
        <v>1554</v>
      </c>
      <c r="F47" s="10" t="s">
        <v>1679</v>
      </c>
    </row>
    <row r="48" customFormat="false" ht="15" hidden="false" customHeight="false" outlineLevel="0" collapsed="false">
      <c r="A48" s="42" t="n">
        <v>46429.3895833333</v>
      </c>
      <c r="B48" s="10" t="s">
        <v>1698</v>
      </c>
      <c r="C48" s="10" t="s">
        <v>1571</v>
      </c>
      <c r="D48" s="0" t="n">
        <v>5</v>
      </c>
      <c r="E48" s="10" t="s">
        <v>1571</v>
      </c>
    </row>
    <row r="49" customFormat="false" ht="15" hidden="false" customHeight="false" outlineLevel="0" collapsed="false">
      <c r="A49" s="42" t="n">
        <v>46429.3916666667</v>
      </c>
      <c r="B49" s="10" t="s">
        <v>1705</v>
      </c>
      <c r="C49" s="10" t="s">
        <v>1571</v>
      </c>
      <c r="D49" s="0" t="n">
        <v>4</v>
      </c>
      <c r="E49" s="10" t="s">
        <v>1678</v>
      </c>
      <c r="G49" s="10" t="s">
        <v>1684</v>
      </c>
    </row>
    <row r="50" customFormat="false" ht="15" hidden="false" customHeight="false" outlineLevel="0" collapsed="false">
      <c r="A50" s="42" t="n">
        <v>46429.4090277778</v>
      </c>
      <c r="B50" s="10" t="s">
        <v>1697</v>
      </c>
      <c r="C50" s="10" t="s">
        <v>1571</v>
      </c>
      <c r="D50" s="0" t="n">
        <v>4</v>
      </c>
      <c r="E50" s="10" t="s">
        <v>1571</v>
      </c>
    </row>
    <row r="51" customFormat="false" ht="15" hidden="false" customHeight="false" outlineLevel="0" collapsed="false">
      <c r="A51" s="42" t="n">
        <v>46429.4131944445</v>
      </c>
      <c r="B51" s="10" t="s">
        <v>1699</v>
      </c>
      <c r="C51" s="10" t="s">
        <v>1571</v>
      </c>
      <c r="D51" s="0" t="n">
        <v>3</v>
      </c>
      <c r="E51" s="10" t="s">
        <v>1571</v>
      </c>
    </row>
    <row r="52" customFormat="false" ht="15" hidden="false" customHeight="false" outlineLevel="0" collapsed="false">
      <c r="A52" s="42" t="n">
        <v>46429.4291666667</v>
      </c>
      <c r="B52" s="10" t="s">
        <v>1699</v>
      </c>
      <c r="C52" s="10" t="s">
        <v>1571</v>
      </c>
      <c r="D52" s="0" t="n">
        <v>4</v>
      </c>
      <c r="E52" s="10" t="s">
        <v>1554</v>
      </c>
      <c r="G52" s="10" t="s">
        <v>510</v>
      </c>
    </row>
    <row r="53" customFormat="false" ht="15" hidden="false" customHeight="false" outlineLevel="0" collapsed="false">
      <c r="A53" s="42" t="n">
        <v>46429.4625</v>
      </c>
      <c r="B53" s="10" t="s">
        <v>1701</v>
      </c>
      <c r="C53" s="10" t="s">
        <v>1571</v>
      </c>
      <c r="D53" s="0" t="n">
        <v>4</v>
      </c>
      <c r="E53" s="10" t="s">
        <v>1678</v>
      </c>
    </row>
    <row r="54" customFormat="false" ht="15" hidden="false" customHeight="false" outlineLevel="0" collapsed="false">
      <c r="A54" s="42" t="n">
        <v>46429.46875</v>
      </c>
      <c r="B54" s="10" t="s">
        <v>1701</v>
      </c>
      <c r="C54" s="10" t="s">
        <v>1554</v>
      </c>
      <c r="F54" s="10" t="s">
        <v>1679</v>
      </c>
    </row>
    <row r="55" customFormat="false" ht="15" hidden="false" customHeight="false" outlineLevel="0" collapsed="false">
      <c r="A55" s="42" t="n">
        <v>46429.4951388889</v>
      </c>
      <c r="B55" s="10" t="s">
        <v>1705</v>
      </c>
      <c r="C55" s="10" t="s">
        <v>1554</v>
      </c>
      <c r="F55" s="10" t="s">
        <v>1679</v>
      </c>
    </row>
    <row r="56" customFormat="false" ht="15" hidden="false" customHeight="false" outlineLevel="0" collapsed="false">
      <c r="A56" s="42" t="n">
        <v>46429.5048611111</v>
      </c>
      <c r="B56" s="10" t="s">
        <v>1696</v>
      </c>
      <c r="C56" s="10" t="s">
        <v>1571</v>
      </c>
      <c r="D56" s="0" t="n">
        <v>5</v>
      </c>
      <c r="E56" s="10" t="s">
        <v>1571</v>
      </c>
    </row>
    <row r="57" customFormat="false" ht="15" hidden="false" customHeight="false" outlineLevel="0" collapsed="false">
      <c r="A57" s="42" t="n">
        <v>46429.5104166667</v>
      </c>
      <c r="B57" s="10" t="s">
        <v>1701</v>
      </c>
      <c r="C57" s="10" t="s">
        <v>1571</v>
      </c>
      <c r="D57" s="0" t="n">
        <v>3</v>
      </c>
      <c r="E57" s="10" t="s">
        <v>1571</v>
      </c>
      <c r="G57" s="10" t="s">
        <v>1685</v>
      </c>
    </row>
    <row r="58" customFormat="false" ht="15" hidden="false" customHeight="false" outlineLevel="0" collapsed="false">
      <c r="A58" s="42" t="n">
        <v>46429.5194444444</v>
      </c>
      <c r="B58" s="10" t="s">
        <v>1697</v>
      </c>
      <c r="C58" s="10" t="s">
        <v>1571</v>
      </c>
      <c r="D58" s="0" t="n">
        <v>4</v>
      </c>
      <c r="E58" s="10" t="s">
        <v>1571</v>
      </c>
    </row>
    <row r="59" customFormat="false" ht="15" hidden="false" customHeight="false" outlineLevel="0" collapsed="false">
      <c r="A59" s="42" t="n">
        <v>46429.5229166667</v>
      </c>
      <c r="B59" s="10" t="s">
        <v>1696</v>
      </c>
      <c r="C59" s="10" t="s">
        <v>1571</v>
      </c>
      <c r="D59" s="0" t="n">
        <v>3</v>
      </c>
      <c r="E59" s="10" t="s">
        <v>1571</v>
      </c>
    </row>
    <row r="60" customFormat="false" ht="15" hidden="false" customHeight="false" outlineLevel="0" collapsed="false">
      <c r="A60" s="42" t="n">
        <v>46429.5465277778</v>
      </c>
      <c r="B60" s="10" t="s">
        <v>1699</v>
      </c>
      <c r="C60" s="10" t="s">
        <v>1571</v>
      </c>
      <c r="D60" s="0" t="n">
        <v>5</v>
      </c>
      <c r="E60" s="10" t="s">
        <v>1678</v>
      </c>
    </row>
    <row r="61" customFormat="false" ht="15" hidden="false" customHeight="false" outlineLevel="0" collapsed="false">
      <c r="A61" s="42" t="n">
        <v>46429.5590277778</v>
      </c>
      <c r="B61" s="10" t="s">
        <v>1704</v>
      </c>
      <c r="C61" s="10" t="s">
        <v>1554</v>
      </c>
      <c r="F61" s="10" t="s">
        <v>1679</v>
      </c>
    </row>
    <row r="62" customFormat="false" ht="15" hidden="false" customHeight="false" outlineLevel="0" collapsed="false">
      <c r="A62" s="42" t="n">
        <v>46429.5902777778</v>
      </c>
      <c r="B62" s="10" t="s">
        <v>1699</v>
      </c>
      <c r="C62" s="10" t="s">
        <v>1554</v>
      </c>
      <c r="F62" s="10" t="s">
        <v>1679</v>
      </c>
    </row>
    <row r="63" customFormat="false" ht="15" hidden="false" customHeight="false" outlineLevel="0" collapsed="false">
      <c r="A63" s="42" t="n">
        <v>46429.5909722222</v>
      </c>
      <c r="B63" s="10" t="s">
        <v>1702</v>
      </c>
      <c r="C63" s="10" t="s">
        <v>1554</v>
      </c>
      <c r="F63" s="10" t="s">
        <v>1683</v>
      </c>
    </row>
    <row r="64" customFormat="false" ht="15" hidden="false" customHeight="false" outlineLevel="0" collapsed="false">
      <c r="A64" s="42" t="n">
        <v>46429.6055555556</v>
      </c>
      <c r="B64" s="10" t="s">
        <v>1700</v>
      </c>
      <c r="C64" s="10" t="s">
        <v>1571</v>
      </c>
      <c r="D64" s="0" t="n">
        <v>5</v>
      </c>
      <c r="E64" s="10" t="s">
        <v>1571</v>
      </c>
    </row>
    <row r="65" customFormat="false" ht="15" hidden="false" customHeight="false" outlineLevel="0" collapsed="false">
      <c r="A65" s="42" t="n">
        <v>46429.6111111111</v>
      </c>
      <c r="B65" s="10" t="s">
        <v>1702</v>
      </c>
      <c r="C65" s="10" t="s">
        <v>1571</v>
      </c>
      <c r="D65" s="0" t="n">
        <v>4</v>
      </c>
      <c r="E65" s="10" t="s">
        <v>1571</v>
      </c>
      <c r="G65" s="10" t="s">
        <v>510</v>
      </c>
    </row>
    <row r="66" customFormat="false" ht="15" hidden="false" customHeight="false" outlineLevel="0" collapsed="false">
      <c r="A66" s="42" t="n">
        <v>46429.6222222222</v>
      </c>
      <c r="B66" s="10" t="s">
        <v>1701</v>
      </c>
      <c r="C66" s="10" t="s">
        <v>1571</v>
      </c>
      <c r="D66" s="0" t="n">
        <v>4</v>
      </c>
      <c r="E66" s="10" t="s">
        <v>1554</v>
      </c>
    </row>
    <row r="67" customFormat="false" ht="15" hidden="false" customHeight="false" outlineLevel="0" collapsed="false">
      <c r="A67" s="42" t="n">
        <v>46429.6305555556</v>
      </c>
      <c r="B67" s="10" t="s">
        <v>1702</v>
      </c>
      <c r="C67" s="10" t="s">
        <v>1571</v>
      </c>
      <c r="D67" s="0" t="n">
        <v>3</v>
      </c>
      <c r="E67" s="10" t="s">
        <v>1571</v>
      </c>
      <c r="G67" s="10" t="s">
        <v>491</v>
      </c>
    </row>
    <row r="68" customFormat="false" ht="15" hidden="false" customHeight="false" outlineLevel="0" collapsed="false">
      <c r="A68" s="42" t="n">
        <v>46429.64375</v>
      </c>
      <c r="B68" s="10" t="s">
        <v>1702</v>
      </c>
      <c r="C68" s="10" t="s">
        <v>1571</v>
      </c>
      <c r="D68" s="0" t="n">
        <v>5</v>
      </c>
      <c r="E68" s="10" t="s">
        <v>1554</v>
      </c>
    </row>
    <row r="69" customFormat="false" ht="15" hidden="false" customHeight="false" outlineLevel="0" collapsed="false">
      <c r="A69" s="42" t="n">
        <v>46429.6472222222</v>
      </c>
      <c r="B69" s="10" t="s">
        <v>1699</v>
      </c>
      <c r="C69" s="10" t="s">
        <v>1554</v>
      </c>
      <c r="F69" s="10" t="s">
        <v>1676</v>
      </c>
      <c r="G69" s="10" t="s">
        <v>492</v>
      </c>
    </row>
    <row r="70" customFormat="false" ht="15" hidden="false" customHeight="false" outlineLevel="0" collapsed="false">
      <c r="A70" s="42" t="n">
        <v>46429.6506944444</v>
      </c>
      <c r="B70" s="10" t="s">
        <v>1703</v>
      </c>
      <c r="C70" s="10" t="s">
        <v>1571</v>
      </c>
      <c r="D70" s="0" t="n">
        <v>4</v>
      </c>
      <c r="E70" s="10" t="s">
        <v>1571</v>
      </c>
      <c r="G70" s="10" t="s">
        <v>1685</v>
      </c>
    </row>
    <row r="71" customFormat="false" ht="15" hidden="false" customHeight="false" outlineLevel="0" collapsed="false">
      <c r="A71" s="42" t="n">
        <v>46429.6784722222</v>
      </c>
      <c r="B71" s="10" t="s">
        <v>1697</v>
      </c>
      <c r="C71" s="10" t="s">
        <v>1571</v>
      </c>
      <c r="D71" s="0" t="n">
        <v>4</v>
      </c>
      <c r="E71" s="10" t="s">
        <v>1678</v>
      </c>
    </row>
    <row r="72" customFormat="false" ht="15" hidden="false" customHeight="false" outlineLevel="0" collapsed="false">
      <c r="A72" s="42" t="n">
        <v>46429.6805555556</v>
      </c>
      <c r="B72" s="10" t="s">
        <v>1704</v>
      </c>
      <c r="C72" s="10" t="s">
        <v>1571</v>
      </c>
      <c r="D72" s="0" t="n">
        <v>5</v>
      </c>
      <c r="E72" s="10" t="s">
        <v>1571</v>
      </c>
    </row>
    <row r="73" customFormat="false" ht="15" hidden="false" customHeight="false" outlineLevel="0" collapsed="false">
      <c r="A73" s="42" t="n">
        <v>46430.4583333333</v>
      </c>
      <c r="B73" s="10" t="s">
        <v>1700</v>
      </c>
      <c r="C73" s="10" t="s">
        <v>1554</v>
      </c>
      <c r="F73" s="10" t="s">
        <v>1676</v>
      </c>
    </row>
    <row r="74" customFormat="false" ht="15" hidden="false" customHeight="false" outlineLevel="0" collapsed="false">
      <c r="A74" s="42" t="n">
        <v>46430.5888888889</v>
      </c>
      <c r="B74" s="10" t="s">
        <v>1704</v>
      </c>
      <c r="C74" s="10" t="s">
        <v>1571</v>
      </c>
      <c r="D74" s="0" t="n">
        <v>5</v>
      </c>
      <c r="E74" s="10" t="s">
        <v>1571</v>
      </c>
    </row>
    <row r="75" customFormat="false" ht="15" hidden="false" customHeight="false" outlineLevel="0" collapsed="false">
      <c r="A75" s="42" t="n">
        <v>46430.6715277778</v>
      </c>
      <c r="B75" s="10" t="s">
        <v>1700</v>
      </c>
      <c r="C75" s="10" t="s">
        <v>1571</v>
      </c>
      <c r="D75" s="0" t="n">
        <v>5</v>
      </c>
      <c r="E75" s="10" t="s">
        <v>1554</v>
      </c>
    </row>
    <row r="76" customFormat="false" ht="15" hidden="false" customHeight="false" outlineLevel="0" collapsed="false">
      <c r="A76" s="42" t="n">
        <v>46430.6729166667</v>
      </c>
      <c r="B76" s="10" t="s">
        <v>1696</v>
      </c>
      <c r="C76" s="10" t="s">
        <v>1571</v>
      </c>
      <c r="D76" s="0" t="n">
        <v>4</v>
      </c>
      <c r="E76" s="10" t="s">
        <v>1678</v>
      </c>
      <c r="G76" s="10" t="s">
        <v>510</v>
      </c>
    </row>
    <row r="77" customFormat="false" ht="15" hidden="false" customHeight="false" outlineLevel="0" collapsed="false">
      <c r="A77" s="42" t="n">
        <v>46434.4611111111</v>
      </c>
      <c r="B77" s="10" t="s">
        <v>1698</v>
      </c>
      <c r="C77" s="10" t="s">
        <v>1554</v>
      </c>
      <c r="F77" s="10" t="s">
        <v>1679</v>
      </c>
      <c r="G77" s="10"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1706</v>
      </c>
      <c r="D1" s="41" t="s">
        <v>1666</v>
      </c>
      <c r="E1" s="41" t="s">
        <v>1667</v>
      </c>
      <c r="F1" s="41" t="s">
        <v>1668</v>
      </c>
      <c r="G1" s="41" t="s">
        <v>1707</v>
      </c>
    </row>
    <row r="2" customFormat="false" ht="15" hidden="false" customHeight="false" outlineLevel="0" collapsed="false">
      <c r="A2" s="42" t="n">
        <v>46427.3777777778</v>
      </c>
      <c r="B2" s="10" t="s">
        <v>1708</v>
      </c>
      <c r="C2" s="10" t="s">
        <v>1571</v>
      </c>
      <c r="D2" s="0" t="n">
        <v>4</v>
      </c>
      <c r="E2" s="10" t="s">
        <v>1678</v>
      </c>
      <c r="G2" s="10" t="s">
        <v>543</v>
      </c>
    </row>
    <row r="3" customFormat="false" ht="15" hidden="false" customHeight="false" outlineLevel="0" collapsed="false">
      <c r="A3" s="42" t="n">
        <v>46427.3805555556</v>
      </c>
      <c r="B3" s="10" t="s">
        <v>1709</v>
      </c>
      <c r="C3" s="10" t="s">
        <v>1571</v>
      </c>
      <c r="D3" s="0" t="n">
        <v>4</v>
      </c>
      <c r="E3" s="10" t="s">
        <v>1571</v>
      </c>
      <c r="G3" s="10" t="s">
        <v>544</v>
      </c>
    </row>
    <row r="4" customFormat="false" ht="15" hidden="false" customHeight="false" outlineLevel="0" collapsed="false">
      <c r="A4" s="42" t="n">
        <v>46427.3923611111</v>
      </c>
      <c r="B4" s="10" t="s">
        <v>1709</v>
      </c>
      <c r="C4" s="10" t="s">
        <v>1571</v>
      </c>
      <c r="D4" s="0" t="n">
        <v>5</v>
      </c>
      <c r="E4" s="10" t="s">
        <v>1571</v>
      </c>
      <c r="G4" s="10" t="s">
        <v>545</v>
      </c>
    </row>
    <row r="5" customFormat="false" ht="15" hidden="false" customHeight="false" outlineLevel="0" collapsed="false">
      <c r="A5" s="42" t="n">
        <v>46427.3930555556</v>
      </c>
      <c r="B5" s="10" t="s">
        <v>1710</v>
      </c>
      <c r="C5" s="10" t="s">
        <v>1554</v>
      </c>
      <c r="F5" s="10" t="s">
        <v>1679</v>
      </c>
    </row>
    <row r="6" customFormat="false" ht="15" hidden="false" customHeight="false" outlineLevel="0" collapsed="false">
      <c r="A6" s="42" t="n">
        <v>46427.4048611111</v>
      </c>
      <c r="B6" s="10" t="s">
        <v>1711</v>
      </c>
      <c r="C6" s="10" t="s">
        <v>1571</v>
      </c>
      <c r="D6" s="0" t="n">
        <v>4</v>
      </c>
      <c r="E6" s="10" t="s">
        <v>1571</v>
      </c>
      <c r="G6" s="10" t="s">
        <v>492</v>
      </c>
    </row>
    <row r="7" customFormat="false" ht="15" hidden="false" customHeight="false" outlineLevel="0" collapsed="false">
      <c r="A7" s="42" t="n">
        <v>46427.4111111111</v>
      </c>
      <c r="B7" s="10" t="s">
        <v>1712</v>
      </c>
      <c r="C7" s="10" t="s">
        <v>1571</v>
      </c>
      <c r="D7" s="0" t="n">
        <v>4</v>
      </c>
      <c r="E7" s="10" t="s">
        <v>1571</v>
      </c>
    </row>
    <row r="8" customFormat="false" ht="15" hidden="false" customHeight="false" outlineLevel="0" collapsed="false">
      <c r="A8" s="42" t="n">
        <v>46427.4270833333</v>
      </c>
      <c r="B8" s="10" t="s">
        <v>1710</v>
      </c>
      <c r="C8" s="10" t="s">
        <v>1571</v>
      </c>
      <c r="D8" s="0" t="n">
        <v>5</v>
      </c>
      <c r="E8" s="10" t="s">
        <v>1554</v>
      </c>
    </row>
    <row r="9" customFormat="false" ht="15" hidden="false" customHeight="false" outlineLevel="0" collapsed="false">
      <c r="A9" s="42" t="n">
        <v>46427.4326388889</v>
      </c>
      <c r="B9" s="10" t="s">
        <v>1713</v>
      </c>
      <c r="C9" s="10" t="s">
        <v>1571</v>
      </c>
      <c r="D9" s="0" t="n">
        <v>4</v>
      </c>
      <c r="E9" s="10" t="s">
        <v>1571</v>
      </c>
    </row>
    <row r="10" customFormat="false" ht="15" hidden="false" customHeight="false" outlineLevel="0" collapsed="false">
      <c r="A10" s="42" t="n">
        <v>46427.4326388889</v>
      </c>
      <c r="B10" s="10" t="s">
        <v>1712</v>
      </c>
      <c r="C10" s="10" t="s">
        <v>1554</v>
      </c>
      <c r="F10" s="10" t="s">
        <v>1683</v>
      </c>
      <c r="G10" s="10" t="s">
        <v>492</v>
      </c>
    </row>
    <row r="11" customFormat="false" ht="15" hidden="false" customHeight="false" outlineLevel="0" collapsed="false">
      <c r="A11" s="42" t="n">
        <v>46427.4631944444</v>
      </c>
      <c r="B11" s="10" t="s">
        <v>1714</v>
      </c>
      <c r="C11" s="10" t="s">
        <v>1571</v>
      </c>
      <c r="D11" s="0" t="n">
        <v>5</v>
      </c>
      <c r="E11" s="10" t="s">
        <v>1554</v>
      </c>
    </row>
    <row r="12" customFormat="false" ht="15" hidden="false" customHeight="false" outlineLevel="0" collapsed="false">
      <c r="A12" s="42" t="n">
        <v>46427.4694444445</v>
      </c>
      <c r="B12" s="10" t="s">
        <v>1710</v>
      </c>
      <c r="C12" s="10" t="s">
        <v>1571</v>
      </c>
      <c r="D12" s="0" t="n">
        <v>4</v>
      </c>
      <c r="E12" s="10" t="s">
        <v>1678</v>
      </c>
      <c r="G12" s="10" t="s">
        <v>491</v>
      </c>
    </row>
    <row r="13" customFormat="false" ht="15" hidden="false" customHeight="false" outlineLevel="0" collapsed="false">
      <c r="A13" s="42" t="n">
        <v>46427.4902777778</v>
      </c>
      <c r="B13" s="10" t="s">
        <v>1708</v>
      </c>
      <c r="C13" s="10" t="s">
        <v>1571</v>
      </c>
      <c r="D13" s="0" t="n">
        <v>4</v>
      </c>
      <c r="E13" s="10" t="s">
        <v>1678</v>
      </c>
    </row>
    <row r="14" customFormat="false" ht="15" hidden="false" customHeight="false" outlineLevel="0" collapsed="false">
      <c r="A14" s="42" t="n">
        <v>46427.4979166667</v>
      </c>
      <c r="B14" s="10" t="s">
        <v>1709</v>
      </c>
      <c r="C14" s="10" t="s">
        <v>1571</v>
      </c>
      <c r="D14" s="0" t="n">
        <v>5</v>
      </c>
      <c r="E14" s="10" t="s">
        <v>1554</v>
      </c>
      <c r="G14" s="10" t="s">
        <v>492</v>
      </c>
    </row>
    <row r="15" customFormat="false" ht="15" hidden="false" customHeight="false" outlineLevel="0" collapsed="false">
      <c r="A15" s="42" t="n">
        <v>46427.5131944444</v>
      </c>
      <c r="B15" s="10" t="s">
        <v>1714</v>
      </c>
      <c r="C15" s="10" t="s">
        <v>1554</v>
      </c>
      <c r="F15" s="10" t="s">
        <v>1679</v>
      </c>
    </row>
    <row r="16" customFormat="false" ht="15" hidden="false" customHeight="false" outlineLevel="0" collapsed="false">
      <c r="A16" s="42" t="n">
        <v>46427.5326388889</v>
      </c>
      <c r="B16" s="10" t="s">
        <v>1708</v>
      </c>
      <c r="C16" s="10" t="s">
        <v>1571</v>
      </c>
      <c r="D16" s="0" t="n">
        <v>5</v>
      </c>
      <c r="E16" s="10" t="s">
        <v>1571</v>
      </c>
      <c r="G16" s="10" t="s">
        <v>510</v>
      </c>
    </row>
    <row r="17" customFormat="false" ht="15" hidden="false" customHeight="false" outlineLevel="0" collapsed="false">
      <c r="A17" s="42" t="n">
        <v>46427.5534722222</v>
      </c>
      <c r="B17" s="10" t="s">
        <v>1709</v>
      </c>
      <c r="C17" s="10" t="s">
        <v>1571</v>
      </c>
      <c r="D17" s="0" t="n">
        <v>4</v>
      </c>
      <c r="E17" s="10" t="s">
        <v>1678</v>
      </c>
      <c r="G17" s="10" t="s">
        <v>1685</v>
      </c>
    </row>
    <row r="18" customFormat="false" ht="15" hidden="false" customHeight="false" outlineLevel="0" collapsed="false">
      <c r="A18" s="42" t="n">
        <v>46427.5541666667</v>
      </c>
      <c r="B18" s="10" t="s">
        <v>1715</v>
      </c>
      <c r="C18" s="10" t="s">
        <v>1571</v>
      </c>
      <c r="D18" s="0" t="n">
        <v>4</v>
      </c>
      <c r="E18" s="10" t="s">
        <v>1678</v>
      </c>
      <c r="G18" s="10" t="s">
        <v>1685</v>
      </c>
    </row>
    <row r="19" customFormat="false" ht="15" hidden="false" customHeight="false" outlineLevel="0" collapsed="false">
      <c r="A19" s="42" t="n">
        <v>46427.5875</v>
      </c>
      <c r="B19" s="10" t="s">
        <v>1714</v>
      </c>
      <c r="C19" s="10" t="s">
        <v>1571</v>
      </c>
      <c r="D19" s="0" t="n">
        <v>5</v>
      </c>
      <c r="E19" s="10" t="s">
        <v>1554</v>
      </c>
      <c r="G19" s="10" t="s">
        <v>491</v>
      </c>
    </row>
    <row r="20" customFormat="false" ht="15" hidden="false" customHeight="false" outlineLevel="0" collapsed="false">
      <c r="A20" s="42" t="n">
        <v>46427.59375</v>
      </c>
      <c r="B20" s="10" t="s">
        <v>1716</v>
      </c>
      <c r="C20" s="10" t="s">
        <v>1571</v>
      </c>
      <c r="D20" s="0" t="n">
        <v>4</v>
      </c>
      <c r="E20" s="10" t="s">
        <v>1678</v>
      </c>
    </row>
    <row r="21" customFormat="false" ht="15" hidden="false" customHeight="false" outlineLevel="0" collapsed="false">
      <c r="A21" s="42" t="n">
        <v>46427.5986111111</v>
      </c>
      <c r="B21" s="10" t="s">
        <v>1713</v>
      </c>
      <c r="C21" s="10" t="s">
        <v>1571</v>
      </c>
      <c r="D21" s="0" t="n">
        <v>4</v>
      </c>
      <c r="E21" s="10" t="s">
        <v>1678</v>
      </c>
    </row>
    <row r="22" customFormat="false" ht="15" hidden="false" customHeight="false" outlineLevel="0" collapsed="false">
      <c r="A22" s="42" t="n">
        <v>46427.5986111111</v>
      </c>
      <c r="B22" s="10" t="s">
        <v>1716</v>
      </c>
      <c r="C22" s="10" t="s">
        <v>1571</v>
      </c>
      <c r="D22" s="0" t="n">
        <v>4</v>
      </c>
      <c r="E22" s="10" t="s">
        <v>1571</v>
      </c>
      <c r="G22" s="10" t="s">
        <v>511</v>
      </c>
    </row>
    <row r="23" customFormat="false" ht="15" hidden="false" customHeight="false" outlineLevel="0" collapsed="false">
      <c r="A23" s="42" t="n">
        <v>46427.6090277778</v>
      </c>
      <c r="B23" s="10" t="s">
        <v>1713</v>
      </c>
      <c r="C23" s="10" t="s">
        <v>1571</v>
      </c>
      <c r="D23" s="0" t="n">
        <v>4</v>
      </c>
      <c r="E23" s="10" t="s">
        <v>1554</v>
      </c>
    </row>
    <row r="24" customFormat="false" ht="15" hidden="false" customHeight="false" outlineLevel="0" collapsed="false">
      <c r="A24" s="42" t="n">
        <v>46427.6145833333</v>
      </c>
      <c r="B24" s="10" t="s">
        <v>1714</v>
      </c>
      <c r="C24" s="10" t="s">
        <v>1571</v>
      </c>
      <c r="D24" s="0" t="n">
        <v>4</v>
      </c>
      <c r="E24" s="10" t="s">
        <v>1554</v>
      </c>
      <c r="G24" s="10" t="s">
        <v>1681</v>
      </c>
    </row>
    <row r="25" customFormat="false" ht="15" hidden="false" customHeight="false" outlineLevel="0" collapsed="false">
      <c r="A25" s="42" t="n">
        <v>46427.6236111111</v>
      </c>
      <c r="B25" s="10" t="s">
        <v>1716</v>
      </c>
      <c r="C25" s="10" t="s">
        <v>1571</v>
      </c>
      <c r="D25" s="0" t="n">
        <v>4</v>
      </c>
      <c r="E25" s="10" t="s">
        <v>1678</v>
      </c>
    </row>
    <row r="26" customFormat="false" ht="15" hidden="false" customHeight="false" outlineLevel="0" collapsed="false">
      <c r="A26" s="42" t="n">
        <v>46427.6236111111</v>
      </c>
      <c r="B26" s="10" t="s">
        <v>1714</v>
      </c>
      <c r="C26" s="10" t="s">
        <v>1571</v>
      </c>
      <c r="D26" s="0" t="n">
        <v>4</v>
      </c>
      <c r="E26" s="10" t="s">
        <v>1571</v>
      </c>
    </row>
    <row r="27" customFormat="false" ht="15" hidden="false" customHeight="false" outlineLevel="0" collapsed="false">
      <c r="A27" s="42" t="n">
        <v>46427.6354166667</v>
      </c>
      <c r="B27" s="10" t="s">
        <v>1708</v>
      </c>
      <c r="C27" s="10" t="s">
        <v>1554</v>
      </c>
      <c r="F27" s="10" t="s">
        <v>1679</v>
      </c>
    </row>
    <row r="28" customFormat="false" ht="15" hidden="false" customHeight="false" outlineLevel="0" collapsed="false">
      <c r="A28" s="42" t="n">
        <v>46427.6541666667</v>
      </c>
      <c r="B28" s="10" t="s">
        <v>1712</v>
      </c>
      <c r="C28" s="10" t="s">
        <v>1571</v>
      </c>
      <c r="D28" s="0" t="n">
        <v>4</v>
      </c>
      <c r="E28" s="10" t="s">
        <v>1571</v>
      </c>
    </row>
    <row r="29" customFormat="false" ht="15" hidden="false" customHeight="false" outlineLevel="0" collapsed="false">
      <c r="A29" s="42" t="n">
        <v>46427.6826388889</v>
      </c>
      <c r="B29" s="10" t="s">
        <v>1708</v>
      </c>
      <c r="C29" s="10" t="s">
        <v>1571</v>
      </c>
      <c r="D29" s="0" t="n">
        <v>3</v>
      </c>
      <c r="E29" s="10" t="s">
        <v>1678</v>
      </c>
      <c r="G29" s="10" t="s">
        <v>491</v>
      </c>
    </row>
    <row r="30" customFormat="false" ht="15" hidden="false" customHeight="false" outlineLevel="0" collapsed="false">
      <c r="A30" s="42" t="n">
        <v>46427.6972222222</v>
      </c>
      <c r="B30" s="10" t="s">
        <v>1710</v>
      </c>
      <c r="C30" s="10" t="s">
        <v>1554</v>
      </c>
      <c r="F30" s="10" t="s">
        <v>1676</v>
      </c>
    </row>
    <row r="31" customFormat="false" ht="15" hidden="false" customHeight="false" outlineLevel="0" collapsed="false">
      <c r="A31" s="42" t="n">
        <v>46428.3770833333</v>
      </c>
      <c r="B31" s="10" t="s">
        <v>1716</v>
      </c>
      <c r="C31" s="10" t="s">
        <v>1571</v>
      </c>
      <c r="D31" s="0" t="n">
        <v>4</v>
      </c>
      <c r="E31" s="10" t="s">
        <v>1678</v>
      </c>
    </row>
    <row r="32" customFormat="false" ht="15" hidden="false" customHeight="false" outlineLevel="0" collapsed="false">
      <c r="A32" s="42" t="n">
        <v>46428.4083333333</v>
      </c>
      <c r="B32" s="10" t="s">
        <v>1710</v>
      </c>
      <c r="C32" s="10" t="s">
        <v>1571</v>
      </c>
      <c r="D32" s="0" t="n">
        <v>4</v>
      </c>
      <c r="E32" s="10" t="s">
        <v>1678</v>
      </c>
    </row>
    <row r="33" customFormat="false" ht="15" hidden="false" customHeight="false" outlineLevel="0" collapsed="false">
      <c r="A33" s="42" t="n">
        <v>46428.4722222222</v>
      </c>
      <c r="B33" s="10" t="s">
        <v>1715</v>
      </c>
      <c r="C33" s="10" t="s">
        <v>1571</v>
      </c>
      <c r="D33" s="0" t="n">
        <v>4</v>
      </c>
      <c r="E33" s="10" t="s">
        <v>1678</v>
      </c>
    </row>
    <row r="34" customFormat="false" ht="15" hidden="false" customHeight="false" outlineLevel="0" collapsed="false">
      <c r="A34" s="42" t="n">
        <v>46428.4965277778</v>
      </c>
      <c r="B34" s="10" t="s">
        <v>1708</v>
      </c>
      <c r="C34" s="10" t="s">
        <v>1554</v>
      </c>
      <c r="F34" s="10" t="s">
        <v>1683</v>
      </c>
      <c r="G34" s="10" t="s">
        <v>512</v>
      </c>
    </row>
    <row r="35" customFormat="false" ht="15" hidden="false" customHeight="false" outlineLevel="0" collapsed="false">
      <c r="A35" s="42" t="n">
        <v>46428.5125</v>
      </c>
      <c r="B35" s="10" t="s">
        <v>1713</v>
      </c>
      <c r="C35" s="10" t="s">
        <v>1571</v>
      </c>
      <c r="D35" s="0" t="n">
        <v>5</v>
      </c>
      <c r="E35" s="10" t="s">
        <v>1678</v>
      </c>
    </row>
    <row r="36" customFormat="false" ht="15" hidden="false" customHeight="false" outlineLevel="0" collapsed="false">
      <c r="A36" s="42" t="n">
        <v>46428.5333333333</v>
      </c>
      <c r="B36" s="10" t="s">
        <v>1711</v>
      </c>
      <c r="C36" s="10" t="s">
        <v>1554</v>
      </c>
      <c r="F36" s="10" t="s">
        <v>1676</v>
      </c>
    </row>
    <row r="37" customFormat="false" ht="15" hidden="false" customHeight="false" outlineLevel="0" collapsed="false">
      <c r="A37" s="42" t="n">
        <v>46428.54375</v>
      </c>
      <c r="B37" s="10" t="s">
        <v>1711</v>
      </c>
      <c r="C37" s="10" t="s">
        <v>1554</v>
      </c>
      <c r="F37" s="10" t="s">
        <v>1683</v>
      </c>
      <c r="G37" s="10" t="s">
        <v>1681</v>
      </c>
    </row>
    <row r="38" customFormat="false" ht="15" hidden="false" customHeight="false" outlineLevel="0" collapsed="false">
      <c r="A38" s="42" t="n">
        <v>46428.5659722222</v>
      </c>
      <c r="B38" s="10" t="s">
        <v>1712</v>
      </c>
      <c r="C38" s="10" t="s">
        <v>1554</v>
      </c>
      <c r="F38" s="10" t="s">
        <v>1679</v>
      </c>
    </row>
    <row r="39" customFormat="false" ht="15" hidden="false" customHeight="false" outlineLevel="0" collapsed="false">
      <c r="A39" s="42" t="n">
        <v>46428.5819444444</v>
      </c>
      <c r="B39" s="10" t="s">
        <v>1711</v>
      </c>
      <c r="C39" s="10" t="s">
        <v>1571</v>
      </c>
      <c r="D39" s="0" t="n">
        <v>5</v>
      </c>
      <c r="E39" s="10" t="s">
        <v>1571</v>
      </c>
    </row>
    <row r="40" customFormat="false" ht="15" hidden="false" customHeight="false" outlineLevel="0" collapsed="false">
      <c r="A40" s="42" t="n">
        <v>46428.6138888889</v>
      </c>
      <c r="B40" s="10" t="s">
        <v>1709</v>
      </c>
      <c r="C40" s="10" t="s">
        <v>1571</v>
      </c>
      <c r="D40" s="0" t="n">
        <v>4</v>
      </c>
      <c r="E40" s="10" t="s">
        <v>1571</v>
      </c>
      <c r="G40" s="10" t="s">
        <v>1684</v>
      </c>
    </row>
    <row r="41" customFormat="false" ht="15" hidden="false" customHeight="false" outlineLevel="0" collapsed="false">
      <c r="A41" s="42" t="n">
        <v>46428.61875</v>
      </c>
      <c r="B41" s="10" t="s">
        <v>1712</v>
      </c>
      <c r="C41" s="10" t="s">
        <v>1571</v>
      </c>
      <c r="D41" s="0" t="n">
        <v>5</v>
      </c>
      <c r="E41" s="10" t="s">
        <v>1571</v>
      </c>
    </row>
    <row r="42" customFormat="false" ht="15" hidden="false" customHeight="false" outlineLevel="0" collapsed="false">
      <c r="A42" s="42" t="n">
        <v>46428.6222222222</v>
      </c>
      <c r="B42" s="10" t="s">
        <v>1715</v>
      </c>
      <c r="C42" s="10" t="s">
        <v>1571</v>
      </c>
      <c r="D42" s="0" t="n">
        <v>5</v>
      </c>
      <c r="E42" s="10" t="s">
        <v>1678</v>
      </c>
    </row>
    <row r="43" customFormat="false" ht="15" hidden="false" customHeight="false" outlineLevel="0" collapsed="false">
      <c r="A43" s="42" t="n">
        <v>46428.6340277778</v>
      </c>
      <c r="B43" s="10" t="s">
        <v>1711</v>
      </c>
      <c r="C43" s="10" t="s">
        <v>1571</v>
      </c>
      <c r="D43" s="0" t="n">
        <v>3</v>
      </c>
      <c r="E43" s="10" t="s">
        <v>1678</v>
      </c>
    </row>
    <row r="44" customFormat="false" ht="15" hidden="false" customHeight="false" outlineLevel="0" collapsed="false">
      <c r="A44" s="42" t="n">
        <v>46428.6625</v>
      </c>
      <c r="B44" s="10" t="s">
        <v>1710</v>
      </c>
      <c r="C44" s="10" t="s">
        <v>1571</v>
      </c>
      <c r="D44" s="0" t="n">
        <v>5</v>
      </c>
      <c r="E44" s="10" t="s">
        <v>1678</v>
      </c>
      <c r="G44" s="10" t="s">
        <v>1684</v>
      </c>
    </row>
    <row r="45" customFormat="false" ht="15" hidden="false" customHeight="false" outlineLevel="0" collapsed="false">
      <c r="A45" s="42" t="n">
        <v>46428.6854166667</v>
      </c>
      <c r="B45" s="10" t="s">
        <v>1716</v>
      </c>
      <c r="C45" s="10" t="s">
        <v>1571</v>
      </c>
      <c r="D45" s="0" t="n">
        <v>5</v>
      </c>
      <c r="E45" s="10" t="s">
        <v>1571</v>
      </c>
    </row>
    <row r="46" customFormat="false" ht="15" hidden="false" customHeight="false" outlineLevel="0" collapsed="false">
      <c r="A46" s="42" t="n">
        <v>46428.7027777778</v>
      </c>
      <c r="B46" s="10" t="s">
        <v>1715</v>
      </c>
      <c r="C46" s="10" t="s">
        <v>1554</v>
      </c>
      <c r="F46" s="10" t="s">
        <v>1683</v>
      </c>
    </row>
    <row r="47" customFormat="false" ht="15" hidden="false" customHeight="false" outlineLevel="0" collapsed="false">
      <c r="A47" s="42" t="n">
        <v>46429.3784722222</v>
      </c>
      <c r="B47" s="10" t="s">
        <v>1714</v>
      </c>
      <c r="C47" s="10" t="s">
        <v>1571</v>
      </c>
      <c r="D47" s="0" t="n">
        <v>5</v>
      </c>
      <c r="E47" s="10" t="s">
        <v>1678</v>
      </c>
    </row>
    <row r="48" customFormat="false" ht="15" hidden="false" customHeight="false" outlineLevel="0" collapsed="false">
      <c r="A48" s="42" t="n">
        <v>46429.38125</v>
      </c>
      <c r="B48" s="10" t="s">
        <v>1715</v>
      </c>
      <c r="C48" s="10" t="s">
        <v>1571</v>
      </c>
      <c r="D48" s="0" t="n">
        <v>5</v>
      </c>
      <c r="E48" s="10" t="s">
        <v>1571</v>
      </c>
      <c r="G48" s="10" t="s">
        <v>1681</v>
      </c>
    </row>
    <row r="49" customFormat="false" ht="15" hidden="false" customHeight="false" outlineLevel="0" collapsed="false">
      <c r="A49" s="42" t="n">
        <v>46429.4409722222</v>
      </c>
      <c r="B49" s="10" t="s">
        <v>1712</v>
      </c>
      <c r="C49" s="10" t="s">
        <v>1554</v>
      </c>
      <c r="F49" s="10" t="s">
        <v>1679</v>
      </c>
    </row>
    <row r="50" customFormat="false" ht="15" hidden="false" customHeight="false" outlineLevel="0" collapsed="false">
      <c r="A50" s="42" t="n">
        <v>46429.4541666667</v>
      </c>
      <c r="B50" s="10" t="s">
        <v>1715</v>
      </c>
      <c r="C50" s="10" t="s">
        <v>1571</v>
      </c>
      <c r="D50" s="0" t="n">
        <v>4</v>
      </c>
      <c r="E50" s="10" t="s">
        <v>1571</v>
      </c>
      <c r="G50" s="10" t="s">
        <v>491</v>
      </c>
    </row>
    <row r="51" customFormat="false" ht="15" hidden="false" customHeight="false" outlineLevel="0" collapsed="false">
      <c r="A51" s="42" t="n">
        <v>46429.4798611111</v>
      </c>
      <c r="B51" s="10" t="s">
        <v>1708</v>
      </c>
      <c r="C51" s="10" t="s">
        <v>1571</v>
      </c>
      <c r="D51" s="0" t="n">
        <v>5</v>
      </c>
      <c r="E51" s="10" t="s">
        <v>1571</v>
      </c>
      <c r="G51" s="10" t="s">
        <v>492</v>
      </c>
    </row>
    <row r="52" customFormat="false" ht="15" hidden="false" customHeight="false" outlineLevel="0" collapsed="false">
      <c r="A52" s="42" t="n">
        <v>46429.4826388889</v>
      </c>
      <c r="B52" s="10" t="s">
        <v>1709</v>
      </c>
      <c r="C52" s="10" t="s">
        <v>1571</v>
      </c>
      <c r="D52" s="0" t="n">
        <v>5</v>
      </c>
      <c r="E52" s="10" t="s">
        <v>1554</v>
      </c>
    </row>
    <row r="53" customFormat="false" ht="15" hidden="false" customHeight="false" outlineLevel="0" collapsed="false">
      <c r="A53" s="42" t="n">
        <v>46429.4868055556</v>
      </c>
      <c r="B53" s="10" t="s">
        <v>1715</v>
      </c>
      <c r="C53" s="10" t="s">
        <v>1571</v>
      </c>
      <c r="D53" s="0" t="n">
        <v>5</v>
      </c>
      <c r="E53" s="10" t="s">
        <v>1571</v>
      </c>
      <c r="G53" s="10" t="s">
        <v>1684</v>
      </c>
    </row>
    <row r="54" customFormat="false" ht="15" hidden="false" customHeight="false" outlineLevel="0" collapsed="false">
      <c r="A54" s="42" t="n">
        <v>46429.5111111111</v>
      </c>
      <c r="B54" s="10" t="s">
        <v>1714</v>
      </c>
      <c r="C54" s="10" t="s">
        <v>1571</v>
      </c>
      <c r="D54" s="0" t="n">
        <v>4</v>
      </c>
      <c r="E54" s="10" t="s">
        <v>1678</v>
      </c>
    </row>
    <row r="55" customFormat="false" ht="15" hidden="false" customHeight="false" outlineLevel="0" collapsed="false">
      <c r="A55" s="42" t="n">
        <v>46429.5159722222</v>
      </c>
      <c r="B55" s="10" t="s">
        <v>1711</v>
      </c>
      <c r="C55" s="10" t="s">
        <v>1571</v>
      </c>
      <c r="D55" s="0" t="n">
        <v>3</v>
      </c>
      <c r="E55" s="10" t="s">
        <v>1678</v>
      </c>
    </row>
    <row r="56" customFormat="false" ht="15" hidden="false" customHeight="false" outlineLevel="0" collapsed="false">
      <c r="A56" s="42" t="n">
        <v>46429.51875</v>
      </c>
      <c r="B56" s="10" t="s">
        <v>1711</v>
      </c>
      <c r="C56" s="10" t="s">
        <v>1571</v>
      </c>
      <c r="D56" s="0" t="n">
        <v>5</v>
      </c>
      <c r="E56" s="10" t="s">
        <v>1678</v>
      </c>
    </row>
    <row r="57" customFormat="false" ht="15" hidden="false" customHeight="false" outlineLevel="0" collapsed="false">
      <c r="A57" s="42" t="n">
        <v>46429.51875</v>
      </c>
      <c r="B57" s="10" t="s">
        <v>1711</v>
      </c>
      <c r="C57" s="10" t="s">
        <v>1554</v>
      </c>
      <c r="F57" s="10" t="s">
        <v>1679</v>
      </c>
    </row>
    <row r="58" customFormat="false" ht="15" hidden="false" customHeight="false" outlineLevel="0" collapsed="false">
      <c r="A58" s="42" t="n">
        <v>46429.5215277778</v>
      </c>
      <c r="B58" s="10" t="s">
        <v>1714</v>
      </c>
      <c r="C58" s="10" t="s">
        <v>1554</v>
      </c>
      <c r="F58" s="10" t="s">
        <v>1679</v>
      </c>
      <c r="G58" s="10" t="s">
        <v>510</v>
      </c>
    </row>
    <row r="59" customFormat="false" ht="15" hidden="false" customHeight="false" outlineLevel="0" collapsed="false">
      <c r="A59" s="42" t="n">
        <v>46429.5305555556</v>
      </c>
      <c r="B59" s="10" t="s">
        <v>1711</v>
      </c>
      <c r="C59" s="10" t="s">
        <v>1571</v>
      </c>
      <c r="D59" s="0" t="n">
        <v>4</v>
      </c>
      <c r="E59" s="10" t="s">
        <v>1678</v>
      </c>
      <c r="G59" s="10" t="s">
        <v>492</v>
      </c>
    </row>
    <row r="60" customFormat="false" ht="15" hidden="false" customHeight="false" outlineLevel="0" collapsed="false">
      <c r="A60" s="42" t="n">
        <v>46429.5465277778</v>
      </c>
      <c r="B60" s="10" t="s">
        <v>1712</v>
      </c>
      <c r="C60" s="10" t="s">
        <v>1571</v>
      </c>
      <c r="D60" s="0" t="n">
        <v>5</v>
      </c>
      <c r="E60" s="10" t="s">
        <v>1571</v>
      </c>
      <c r="G60" s="10" t="s">
        <v>511</v>
      </c>
    </row>
    <row r="61" customFormat="false" ht="15" hidden="false" customHeight="false" outlineLevel="0" collapsed="false">
      <c r="A61" s="42" t="n">
        <v>46429.5722222222</v>
      </c>
      <c r="B61" s="10" t="s">
        <v>1713</v>
      </c>
      <c r="C61" s="10" t="s">
        <v>1571</v>
      </c>
      <c r="D61" s="0" t="n">
        <v>4</v>
      </c>
      <c r="E61" s="10" t="s">
        <v>1554</v>
      </c>
    </row>
    <row r="62" customFormat="false" ht="15" hidden="false" customHeight="false" outlineLevel="0" collapsed="false">
      <c r="A62" s="42" t="n">
        <v>46429.5986111111</v>
      </c>
      <c r="B62" s="10" t="s">
        <v>1713</v>
      </c>
      <c r="C62" s="10" t="s">
        <v>1571</v>
      </c>
      <c r="D62" s="0" t="n">
        <v>3</v>
      </c>
      <c r="E62" s="10" t="s">
        <v>1554</v>
      </c>
    </row>
    <row r="63" customFormat="false" ht="15" hidden="false" customHeight="false" outlineLevel="0" collapsed="false">
      <c r="A63" s="42" t="n">
        <v>46429.6083333333</v>
      </c>
      <c r="B63" s="10" t="s">
        <v>1716</v>
      </c>
      <c r="C63" s="10" t="s">
        <v>1571</v>
      </c>
      <c r="D63" s="0" t="n">
        <v>4</v>
      </c>
      <c r="E63" s="10" t="s">
        <v>1571</v>
      </c>
      <c r="G63" s="10" t="s">
        <v>512</v>
      </c>
    </row>
    <row r="64" customFormat="false" ht="15" hidden="false" customHeight="false" outlineLevel="0" collapsed="false">
      <c r="A64" s="42" t="n">
        <v>46429.6125</v>
      </c>
      <c r="B64" s="10" t="s">
        <v>1710</v>
      </c>
      <c r="C64" s="10" t="s">
        <v>1554</v>
      </c>
      <c r="F64" s="10" t="s">
        <v>1676</v>
      </c>
    </row>
    <row r="65" customFormat="false" ht="15" hidden="false" customHeight="false" outlineLevel="0" collapsed="false">
      <c r="A65" s="42" t="n">
        <v>46429.65</v>
      </c>
      <c r="B65" s="10" t="s">
        <v>1715</v>
      </c>
      <c r="C65" s="10" t="s">
        <v>1554</v>
      </c>
      <c r="F65" s="10" t="s">
        <v>1679</v>
      </c>
      <c r="G65" s="10" t="s">
        <v>1684</v>
      </c>
    </row>
    <row r="66" customFormat="false" ht="15" hidden="false" customHeight="false" outlineLevel="0" collapsed="false">
      <c r="A66" s="42" t="n">
        <v>46429.6736111111</v>
      </c>
      <c r="B66" s="10" t="s">
        <v>1713</v>
      </c>
      <c r="C66" s="10" t="s">
        <v>1571</v>
      </c>
      <c r="D66" s="0" t="n">
        <v>3</v>
      </c>
      <c r="E66" s="10" t="s">
        <v>1571</v>
      </c>
      <c r="G66" s="10" t="s">
        <v>1684</v>
      </c>
    </row>
    <row r="67" customFormat="false" ht="15" hidden="false" customHeight="false" outlineLevel="0" collapsed="false">
      <c r="A67" s="42" t="n">
        <v>46429.7</v>
      </c>
      <c r="B67" s="10" t="s">
        <v>1708</v>
      </c>
      <c r="C67" s="10" t="s">
        <v>1571</v>
      </c>
      <c r="D67" s="0" t="n">
        <v>4</v>
      </c>
      <c r="E67" s="10" t="s">
        <v>1678</v>
      </c>
    </row>
    <row r="68" customFormat="false" ht="15" hidden="false" customHeight="false" outlineLevel="0" collapsed="false">
      <c r="A68" s="42" t="n">
        <v>46430.4375</v>
      </c>
      <c r="B68" s="10" t="s">
        <v>1716</v>
      </c>
      <c r="C68" s="10" t="s">
        <v>1571</v>
      </c>
      <c r="D68" s="0" t="n">
        <v>4</v>
      </c>
      <c r="E68" s="10" t="s">
        <v>1571</v>
      </c>
      <c r="G68" s="10" t="s">
        <v>491</v>
      </c>
    </row>
    <row r="69" customFormat="false" ht="15" hidden="false" customHeight="false" outlineLevel="0" collapsed="false">
      <c r="A69" s="42" t="n">
        <v>46430.4958333333</v>
      </c>
      <c r="B69" s="10" t="s">
        <v>1715</v>
      </c>
      <c r="C69" s="10" t="s">
        <v>1571</v>
      </c>
      <c r="D69" s="0" t="n">
        <v>3</v>
      </c>
      <c r="E69" s="10" t="s">
        <v>1571</v>
      </c>
    </row>
    <row r="70" customFormat="false" ht="15" hidden="false" customHeight="false" outlineLevel="0" collapsed="false">
      <c r="A70" s="42" t="n">
        <v>46430.5486111111</v>
      </c>
      <c r="B70" s="10" t="s">
        <v>1713</v>
      </c>
      <c r="C70" s="10" t="s">
        <v>1554</v>
      </c>
      <c r="F70" s="10" t="s">
        <v>1683</v>
      </c>
      <c r="G70" s="10" t="s">
        <v>1685</v>
      </c>
    </row>
    <row r="71" customFormat="false" ht="15" hidden="false" customHeight="false" outlineLevel="0" collapsed="false">
      <c r="A71" s="42" t="n">
        <v>46430.5777777778</v>
      </c>
      <c r="B71" s="10" t="s">
        <v>1708</v>
      </c>
      <c r="C71" s="10" t="s">
        <v>1571</v>
      </c>
      <c r="D71" s="0" t="n">
        <v>3</v>
      </c>
      <c r="E71" s="10" t="s">
        <v>1678</v>
      </c>
    </row>
    <row r="72" customFormat="false" ht="15" hidden="false" customHeight="false" outlineLevel="0" collapsed="false">
      <c r="A72" s="42" t="n">
        <v>46434.6208333333</v>
      </c>
      <c r="B72" s="10" t="s">
        <v>1711</v>
      </c>
      <c r="C72" s="10" t="s">
        <v>1571</v>
      </c>
      <c r="D72" s="0" t="n">
        <v>4</v>
      </c>
      <c r="E72"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1717</v>
      </c>
      <c r="D1" s="41" t="s">
        <v>1666</v>
      </c>
      <c r="E1" s="41" t="s">
        <v>1667</v>
      </c>
      <c r="F1" s="41" t="s">
        <v>1668</v>
      </c>
      <c r="G1" s="41" t="s">
        <v>1718</v>
      </c>
    </row>
    <row r="2" customFormat="false" ht="15" hidden="false" customHeight="false" outlineLevel="0" collapsed="false">
      <c r="A2" s="42" t="n">
        <v>46427.3965277778</v>
      </c>
      <c r="B2" s="10" t="s">
        <v>1719</v>
      </c>
      <c r="C2" s="10" t="s">
        <v>1571</v>
      </c>
      <c r="D2" s="0" t="n">
        <v>4</v>
      </c>
      <c r="E2" s="10" t="s">
        <v>1571</v>
      </c>
      <c r="G2" s="10" t="s">
        <v>558</v>
      </c>
    </row>
    <row r="3" customFormat="false" ht="15" hidden="false" customHeight="false" outlineLevel="0" collapsed="false">
      <c r="A3" s="42" t="n">
        <v>46427.43125</v>
      </c>
      <c r="B3" s="10" t="s">
        <v>1720</v>
      </c>
      <c r="C3" s="10" t="s">
        <v>1571</v>
      </c>
      <c r="D3" s="0" t="n">
        <v>4</v>
      </c>
      <c r="E3" s="10" t="s">
        <v>1678</v>
      </c>
      <c r="G3" s="10" t="s">
        <v>559</v>
      </c>
    </row>
    <row r="4" customFormat="false" ht="15" hidden="false" customHeight="false" outlineLevel="0" collapsed="false">
      <c r="A4" s="42" t="n">
        <v>46427.5</v>
      </c>
      <c r="B4" s="10" t="s">
        <v>1721</v>
      </c>
      <c r="C4" s="10" t="s">
        <v>1571</v>
      </c>
      <c r="D4" s="0" t="n">
        <v>3</v>
      </c>
      <c r="E4" s="10" t="s">
        <v>1554</v>
      </c>
      <c r="G4" s="10" t="s">
        <v>560</v>
      </c>
    </row>
    <row r="5" customFormat="false" ht="15" hidden="false" customHeight="false" outlineLevel="0" collapsed="false">
      <c r="A5" s="42" t="n">
        <v>46427.5006944445</v>
      </c>
      <c r="B5" s="10" t="s">
        <v>1722</v>
      </c>
      <c r="C5" s="10" t="s">
        <v>1554</v>
      </c>
      <c r="F5" s="10" t="s">
        <v>1676</v>
      </c>
    </row>
    <row r="6" customFormat="false" ht="15" hidden="false" customHeight="false" outlineLevel="0" collapsed="false">
      <c r="A6" s="42" t="n">
        <v>46427.5506944444</v>
      </c>
      <c r="B6" s="10" t="s">
        <v>1721</v>
      </c>
      <c r="C6" s="10" t="s">
        <v>1554</v>
      </c>
      <c r="F6" s="10" t="s">
        <v>1683</v>
      </c>
    </row>
    <row r="7" customFormat="false" ht="15" hidden="false" customHeight="false" outlineLevel="0" collapsed="false">
      <c r="A7" s="42" t="n">
        <v>46427.5694444445</v>
      </c>
      <c r="B7" s="10" t="s">
        <v>1722</v>
      </c>
      <c r="C7" s="10" t="s">
        <v>1571</v>
      </c>
      <c r="D7" s="0" t="n">
        <v>5</v>
      </c>
      <c r="E7" s="10" t="s">
        <v>1554</v>
      </c>
      <c r="G7" s="10" t="s">
        <v>492</v>
      </c>
    </row>
    <row r="8" customFormat="false" ht="15" hidden="false" customHeight="false" outlineLevel="0" collapsed="false">
      <c r="A8" s="42" t="n">
        <v>46427.5708333333</v>
      </c>
      <c r="B8" s="10" t="s">
        <v>1723</v>
      </c>
      <c r="C8" s="10" t="s">
        <v>1554</v>
      </c>
      <c r="F8" s="10" t="s">
        <v>1679</v>
      </c>
      <c r="G8" s="10" t="s">
        <v>1684</v>
      </c>
    </row>
    <row r="9" customFormat="false" ht="15" hidden="false" customHeight="false" outlineLevel="0" collapsed="false">
      <c r="A9" s="42" t="n">
        <v>46427.5722222222</v>
      </c>
      <c r="B9" s="10" t="s">
        <v>1720</v>
      </c>
      <c r="C9" s="10" t="s">
        <v>1571</v>
      </c>
      <c r="D9" s="0" t="n">
        <v>5</v>
      </c>
      <c r="E9" s="10" t="s">
        <v>1554</v>
      </c>
    </row>
    <row r="10" customFormat="false" ht="15" hidden="false" customHeight="false" outlineLevel="0" collapsed="false">
      <c r="A10" s="42" t="n">
        <v>46427.5916666667</v>
      </c>
      <c r="B10" s="10" t="s">
        <v>1724</v>
      </c>
      <c r="C10" s="10" t="s">
        <v>1554</v>
      </c>
      <c r="F10" s="10" t="s">
        <v>1676</v>
      </c>
      <c r="G10" s="10" t="s">
        <v>510</v>
      </c>
    </row>
    <row r="11" customFormat="false" ht="15" hidden="false" customHeight="false" outlineLevel="0" collapsed="false">
      <c r="A11" s="42" t="n">
        <v>46427.5993055556</v>
      </c>
      <c r="B11" s="10" t="s">
        <v>1724</v>
      </c>
      <c r="C11" s="10" t="s">
        <v>1571</v>
      </c>
      <c r="D11" s="0" t="n">
        <v>5</v>
      </c>
      <c r="E11" s="10" t="s">
        <v>1571</v>
      </c>
    </row>
    <row r="12" customFormat="false" ht="15" hidden="false" customHeight="false" outlineLevel="0" collapsed="false">
      <c r="A12" s="42" t="n">
        <v>46427.61875</v>
      </c>
      <c r="B12" s="10" t="s">
        <v>1720</v>
      </c>
      <c r="C12" s="10" t="s">
        <v>1554</v>
      </c>
      <c r="F12" s="10" t="s">
        <v>1683</v>
      </c>
    </row>
    <row r="13" customFormat="false" ht="15" hidden="false" customHeight="false" outlineLevel="0" collapsed="false">
      <c r="A13" s="42" t="n">
        <v>46427.65</v>
      </c>
      <c r="B13" s="10" t="s">
        <v>1725</v>
      </c>
      <c r="C13" s="10" t="s">
        <v>1571</v>
      </c>
      <c r="D13" s="0" t="n">
        <v>3</v>
      </c>
      <c r="E13" s="10" t="s">
        <v>1554</v>
      </c>
    </row>
    <row r="14" customFormat="false" ht="15" hidden="false" customHeight="false" outlineLevel="0" collapsed="false">
      <c r="A14" s="42" t="n">
        <v>46427.6541666667</v>
      </c>
      <c r="B14" s="10" t="s">
        <v>1721</v>
      </c>
      <c r="C14" s="10" t="s">
        <v>1571</v>
      </c>
      <c r="D14" s="0" t="n">
        <v>4</v>
      </c>
      <c r="E14" s="10" t="s">
        <v>1554</v>
      </c>
    </row>
    <row r="15" customFormat="false" ht="15" hidden="false" customHeight="false" outlineLevel="0" collapsed="false">
      <c r="A15" s="42" t="n">
        <v>46427.6701388889</v>
      </c>
      <c r="B15" s="10" t="s">
        <v>1726</v>
      </c>
      <c r="C15" s="10" t="s">
        <v>1571</v>
      </c>
      <c r="D15" s="0" t="n">
        <v>4</v>
      </c>
      <c r="E15" s="10" t="s">
        <v>1678</v>
      </c>
    </row>
    <row r="16" customFormat="false" ht="15" hidden="false" customHeight="false" outlineLevel="0" collapsed="false">
      <c r="A16" s="42" t="n">
        <v>46427.6854166667</v>
      </c>
      <c r="B16" s="10" t="s">
        <v>1723</v>
      </c>
      <c r="C16" s="10" t="s">
        <v>1571</v>
      </c>
      <c r="D16" s="0" t="n">
        <v>5</v>
      </c>
      <c r="E16" s="10" t="s">
        <v>1571</v>
      </c>
    </row>
    <row r="17" customFormat="false" ht="15" hidden="false" customHeight="false" outlineLevel="0" collapsed="false">
      <c r="A17" s="42" t="n">
        <v>46428.3784722222</v>
      </c>
      <c r="B17" s="10" t="s">
        <v>1721</v>
      </c>
      <c r="C17" s="10" t="s">
        <v>1571</v>
      </c>
      <c r="D17" s="0" t="n">
        <v>4</v>
      </c>
      <c r="E17" s="10" t="s">
        <v>1554</v>
      </c>
    </row>
    <row r="18" customFormat="false" ht="15" hidden="false" customHeight="false" outlineLevel="0" collapsed="false">
      <c r="A18" s="42" t="n">
        <v>46428.4055555556</v>
      </c>
      <c r="B18" s="10" t="s">
        <v>1727</v>
      </c>
      <c r="C18" s="10" t="s">
        <v>1571</v>
      </c>
      <c r="D18" s="0" t="n">
        <v>4</v>
      </c>
      <c r="E18" s="10" t="s">
        <v>1678</v>
      </c>
    </row>
    <row r="19" customFormat="false" ht="15" hidden="false" customHeight="false" outlineLevel="0" collapsed="false">
      <c r="A19" s="42" t="n">
        <v>46428.4111111111</v>
      </c>
      <c r="B19" s="10" t="s">
        <v>1726</v>
      </c>
      <c r="C19" s="10" t="s">
        <v>1571</v>
      </c>
      <c r="D19" s="0" t="n">
        <v>5</v>
      </c>
      <c r="E19" s="10" t="s">
        <v>1571</v>
      </c>
      <c r="G19" s="10" t="s">
        <v>511</v>
      </c>
    </row>
    <row r="20" customFormat="false" ht="15" hidden="false" customHeight="false" outlineLevel="0" collapsed="false">
      <c r="A20" s="42" t="n">
        <v>46428.4152777778</v>
      </c>
      <c r="B20" s="10" t="s">
        <v>1723</v>
      </c>
      <c r="C20" s="10" t="s">
        <v>1554</v>
      </c>
      <c r="F20" s="10" t="s">
        <v>1676</v>
      </c>
    </row>
    <row r="21" customFormat="false" ht="15" hidden="false" customHeight="false" outlineLevel="0" collapsed="false">
      <c r="A21" s="42" t="n">
        <v>46428.4486111111</v>
      </c>
      <c r="B21" s="10" t="s">
        <v>1722</v>
      </c>
      <c r="C21" s="10" t="s">
        <v>1571</v>
      </c>
      <c r="D21" s="0" t="n">
        <v>4</v>
      </c>
      <c r="E21" s="10" t="s">
        <v>1554</v>
      </c>
    </row>
    <row r="22" customFormat="false" ht="15" hidden="false" customHeight="false" outlineLevel="0" collapsed="false">
      <c r="A22" s="42" t="n">
        <v>46428.4534722222</v>
      </c>
      <c r="B22" s="10" t="s">
        <v>1727</v>
      </c>
      <c r="C22" s="10" t="s">
        <v>1571</v>
      </c>
      <c r="D22" s="0" t="n">
        <v>5</v>
      </c>
      <c r="E22" s="10" t="s">
        <v>1571</v>
      </c>
      <c r="G22" s="10" t="s">
        <v>492</v>
      </c>
    </row>
    <row r="23" customFormat="false" ht="15" hidden="false" customHeight="false" outlineLevel="0" collapsed="false">
      <c r="A23" s="42" t="n">
        <v>46428.4701388889</v>
      </c>
      <c r="B23" s="10" t="s">
        <v>1726</v>
      </c>
      <c r="C23" s="10" t="s">
        <v>1554</v>
      </c>
      <c r="F23" s="10" t="s">
        <v>1683</v>
      </c>
    </row>
    <row r="24" customFormat="false" ht="15" hidden="false" customHeight="false" outlineLevel="0" collapsed="false">
      <c r="A24" s="42" t="n">
        <v>46428.4756944445</v>
      </c>
      <c r="B24" s="10" t="s">
        <v>1724</v>
      </c>
      <c r="C24" s="10" t="s">
        <v>1571</v>
      </c>
      <c r="D24" s="0" t="n">
        <v>5</v>
      </c>
      <c r="E24" s="10" t="s">
        <v>1678</v>
      </c>
    </row>
    <row r="25" customFormat="false" ht="15" hidden="false" customHeight="false" outlineLevel="0" collapsed="false">
      <c r="A25" s="42" t="n">
        <v>46428.4819444444</v>
      </c>
      <c r="B25" s="10" t="s">
        <v>1726</v>
      </c>
      <c r="C25" s="10" t="s">
        <v>1554</v>
      </c>
      <c r="F25" s="10" t="s">
        <v>1676</v>
      </c>
    </row>
    <row r="26" customFormat="false" ht="15" hidden="false" customHeight="false" outlineLevel="0" collapsed="false">
      <c r="A26" s="42" t="n">
        <v>46428.4888888889</v>
      </c>
      <c r="B26" s="10" t="s">
        <v>1723</v>
      </c>
      <c r="C26" s="10" t="s">
        <v>1571</v>
      </c>
      <c r="D26" s="0" t="n">
        <v>5</v>
      </c>
      <c r="E26" s="10" t="s">
        <v>1678</v>
      </c>
      <c r="G26" s="10" t="s">
        <v>1681</v>
      </c>
    </row>
    <row r="27" customFormat="false" ht="15" hidden="false" customHeight="false" outlineLevel="0" collapsed="false">
      <c r="A27" s="42" t="n">
        <v>46428.5194444444</v>
      </c>
      <c r="B27" s="10" t="s">
        <v>1724</v>
      </c>
      <c r="C27" s="10" t="s">
        <v>1571</v>
      </c>
      <c r="D27" s="0" t="n">
        <v>3</v>
      </c>
      <c r="E27" s="10" t="s">
        <v>1571</v>
      </c>
    </row>
    <row r="28" customFormat="false" ht="15" hidden="false" customHeight="false" outlineLevel="0" collapsed="false">
      <c r="A28" s="42" t="n">
        <v>46428.525</v>
      </c>
      <c r="B28" s="10" t="s">
        <v>1720</v>
      </c>
      <c r="C28" s="10" t="s">
        <v>1571</v>
      </c>
      <c r="D28" s="0" t="n">
        <v>3</v>
      </c>
      <c r="E28" s="10" t="s">
        <v>1678</v>
      </c>
      <c r="G28" s="10" t="s">
        <v>1681</v>
      </c>
    </row>
    <row r="29" customFormat="false" ht="15" hidden="false" customHeight="false" outlineLevel="0" collapsed="false">
      <c r="A29" s="42" t="n">
        <v>46428.5263888889</v>
      </c>
      <c r="B29" s="10" t="s">
        <v>1719</v>
      </c>
      <c r="C29" s="10" t="s">
        <v>1571</v>
      </c>
      <c r="D29" s="0" t="n">
        <v>4</v>
      </c>
      <c r="E29" s="10" t="s">
        <v>1678</v>
      </c>
    </row>
    <row r="30" customFormat="false" ht="15" hidden="false" customHeight="false" outlineLevel="0" collapsed="false">
      <c r="A30" s="42" t="n">
        <v>46428.5347222222</v>
      </c>
      <c r="B30" s="10" t="s">
        <v>1719</v>
      </c>
      <c r="C30" s="10" t="s">
        <v>1571</v>
      </c>
      <c r="D30" s="0" t="n">
        <v>4</v>
      </c>
      <c r="E30" s="10" t="s">
        <v>1571</v>
      </c>
      <c r="G30" s="10" t="s">
        <v>511</v>
      </c>
    </row>
    <row r="31" customFormat="false" ht="15" hidden="false" customHeight="false" outlineLevel="0" collapsed="false">
      <c r="A31" s="42" t="n">
        <v>46428.5388888889</v>
      </c>
      <c r="B31" s="10" t="s">
        <v>1723</v>
      </c>
      <c r="C31" s="10" t="s">
        <v>1554</v>
      </c>
      <c r="F31" s="10" t="s">
        <v>1679</v>
      </c>
    </row>
    <row r="32" customFormat="false" ht="15" hidden="false" customHeight="false" outlineLevel="0" collapsed="false">
      <c r="A32" s="42" t="n">
        <v>46428.5493055556</v>
      </c>
      <c r="B32" s="10" t="s">
        <v>1719</v>
      </c>
      <c r="C32" s="10" t="s">
        <v>1571</v>
      </c>
      <c r="D32" s="0" t="n">
        <v>5</v>
      </c>
      <c r="E32" s="10" t="s">
        <v>1678</v>
      </c>
      <c r="G32" s="10" t="s">
        <v>511</v>
      </c>
    </row>
    <row r="33" customFormat="false" ht="15" hidden="false" customHeight="false" outlineLevel="0" collapsed="false">
      <c r="A33" s="42" t="n">
        <v>46428.55625</v>
      </c>
      <c r="B33" s="10" t="s">
        <v>1723</v>
      </c>
      <c r="C33" s="10" t="s">
        <v>1554</v>
      </c>
      <c r="F33" s="10" t="s">
        <v>1679</v>
      </c>
    </row>
    <row r="34" customFormat="false" ht="15" hidden="false" customHeight="false" outlineLevel="0" collapsed="false">
      <c r="A34" s="42" t="n">
        <v>46428.5604166667</v>
      </c>
      <c r="B34" s="10" t="s">
        <v>1723</v>
      </c>
      <c r="C34" s="10" t="s">
        <v>1571</v>
      </c>
      <c r="D34" s="0" t="n">
        <v>4</v>
      </c>
      <c r="E34" s="10" t="s">
        <v>1678</v>
      </c>
      <c r="G34" s="10" t="s">
        <v>510</v>
      </c>
    </row>
    <row r="35" customFormat="false" ht="15" hidden="false" customHeight="false" outlineLevel="0" collapsed="false">
      <c r="A35" s="42" t="n">
        <v>46428.5763888889</v>
      </c>
      <c r="B35" s="10" t="s">
        <v>1728</v>
      </c>
      <c r="C35" s="10" t="s">
        <v>1571</v>
      </c>
      <c r="D35" s="0" t="n">
        <v>4</v>
      </c>
      <c r="E35" s="10" t="s">
        <v>1678</v>
      </c>
    </row>
    <row r="36" customFormat="false" ht="15" hidden="false" customHeight="false" outlineLevel="0" collapsed="false">
      <c r="A36" s="42" t="n">
        <v>46428.5770833333</v>
      </c>
      <c r="B36" s="10" t="s">
        <v>1727</v>
      </c>
      <c r="C36" s="10" t="s">
        <v>1571</v>
      </c>
      <c r="D36" s="0" t="n">
        <v>5</v>
      </c>
      <c r="E36" s="10" t="s">
        <v>1678</v>
      </c>
    </row>
    <row r="37" customFormat="false" ht="15" hidden="false" customHeight="false" outlineLevel="0" collapsed="false">
      <c r="A37" s="42" t="n">
        <v>46428.5777777778</v>
      </c>
      <c r="B37" s="10" t="s">
        <v>1719</v>
      </c>
      <c r="C37" s="10" t="s">
        <v>1554</v>
      </c>
      <c r="F37" s="10" t="s">
        <v>1683</v>
      </c>
    </row>
    <row r="38" customFormat="false" ht="15" hidden="false" customHeight="false" outlineLevel="0" collapsed="false">
      <c r="A38" s="42" t="n">
        <v>46428.5798611111</v>
      </c>
      <c r="B38" s="10" t="s">
        <v>1728</v>
      </c>
      <c r="C38" s="10" t="s">
        <v>1554</v>
      </c>
      <c r="F38" s="10" t="s">
        <v>1683</v>
      </c>
      <c r="G38" s="10" t="s">
        <v>511</v>
      </c>
    </row>
    <row r="39" customFormat="false" ht="15" hidden="false" customHeight="false" outlineLevel="0" collapsed="false">
      <c r="A39" s="42" t="n">
        <v>46428.5902777778</v>
      </c>
      <c r="B39" s="10" t="s">
        <v>1722</v>
      </c>
      <c r="C39" s="10" t="s">
        <v>1571</v>
      </c>
      <c r="D39" s="0" t="n">
        <v>5</v>
      </c>
      <c r="E39" s="10" t="s">
        <v>1678</v>
      </c>
    </row>
    <row r="40" customFormat="false" ht="15" hidden="false" customHeight="false" outlineLevel="0" collapsed="false">
      <c r="A40" s="42" t="n">
        <v>46428.5972222222</v>
      </c>
      <c r="B40" s="10" t="s">
        <v>1726</v>
      </c>
      <c r="C40" s="10" t="s">
        <v>1571</v>
      </c>
      <c r="D40" s="0" t="n">
        <v>5</v>
      </c>
      <c r="E40" s="10" t="s">
        <v>1554</v>
      </c>
      <c r="G40" s="10" t="s">
        <v>491</v>
      </c>
    </row>
    <row r="41" customFormat="false" ht="15" hidden="false" customHeight="false" outlineLevel="0" collapsed="false">
      <c r="A41" s="42" t="n">
        <v>46428.5993055556</v>
      </c>
      <c r="B41" s="10" t="s">
        <v>1722</v>
      </c>
      <c r="C41" s="10" t="s">
        <v>1571</v>
      </c>
      <c r="D41" s="0" t="n">
        <v>4</v>
      </c>
      <c r="E41" s="10" t="s">
        <v>1678</v>
      </c>
      <c r="G41" s="10" t="s">
        <v>1684</v>
      </c>
    </row>
    <row r="42" customFormat="false" ht="15" hidden="false" customHeight="false" outlineLevel="0" collapsed="false">
      <c r="A42" s="42" t="n">
        <v>46428.6041666667</v>
      </c>
      <c r="B42" s="10" t="s">
        <v>1721</v>
      </c>
      <c r="C42" s="10" t="s">
        <v>1571</v>
      </c>
      <c r="D42" s="0" t="n">
        <v>5</v>
      </c>
      <c r="E42" s="10" t="s">
        <v>1678</v>
      </c>
    </row>
    <row r="43" customFormat="false" ht="15" hidden="false" customHeight="false" outlineLevel="0" collapsed="false">
      <c r="A43" s="42" t="n">
        <v>46428.6118055556</v>
      </c>
      <c r="B43" s="10" t="s">
        <v>1720</v>
      </c>
      <c r="C43" s="10" t="s">
        <v>1571</v>
      </c>
      <c r="D43" s="0" t="n">
        <v>4</v>
      </c>
      <c r="E43" s="10" t="s">
        <v>1571</v>
      </c>
    </row>
    <row r="44" customFormat="false" ht="15" hidden="false" customHeight="false" outlineLevel="0" collapsed="false">
      <c r="A44" s="42" t="n">
        <v>46428.6652777778</v>
      </c>
      <c r="B44" s="10" t="s">
        <v>1721</v>
      </c>
      <c r="C44" s="10" t="s">
        <v>1571</v>
      </c>
      <c r="D44" s="0" t="n">
        <v>4</v>
      </c>
      <c r="E44" s="10" t="s">
        <v>1678</v>
      </c>
      <c r="G44" s="10" t="s">
        <v>512</v>
      </c>
    </row>
    <row r="45" customFormat="false" ht="15" hidden="false" customHeight="false" outlineLevel="0" collapsed="false">
      <c r="A45" s="42" t="n">
        <v>46428.6902777778</v>
      </c>
      <c r="B45" s="10" t="s">
        <v>1719</v>
      </c>
      <c r="C45" s="10" t="s">
        <v>1571</v>
      </c>
      <c r="D45" s="0" t="n">
        <v>5</v>
      </c>
      <c r="E45" s="10" t="s">
        <v>1678</v>
      </c>
      <c r="G45" s="10" t="s">
        <v>1684</v>
      </c>
    </row>
    <row r="46" customFormat="false" ht="15" hidden="false" customHeight="false" outlineLevel="0" collapsed="false">
      <c r="A46" s="42" t="n">
        <v>46428.70625</v>
      </c>
      <c r="B46" s="10" t="s">
        <v>1719</v>
      </c>
      <c r="C46" s="10" t="s">
        <v>1554</v>
      </c>
      <c r="F46" s="10" t="s">
        <v>1676</v>
      </c>
    </row>
    <row r="47" customFormat="false" ht="15" hidden="false" customHeight="false" outlineLevel="0" collapsed="false">
      <c r="A47" s="42" t="n">
        <v>46429.3784722222</v>
      </c>
      <c r="B47" s="10" t="s">
        <v>1727</v>
      </c>
      <c r="C47" s="10" t="s">
        <v>1571</v>
      </c>
      <c r="D47" s="0" t="n">
        <v>4</v>
      </c>
      <c r="E47" s="10" t="s">
        <v>1571</v>
      </c>
      <c r="G47" s="10" t="s">
        <v>512</v>
      </c>
    </row>
    <row r="48" customFormat="false" ht="15" hidden="false" customHeight="false" outlineLevel="0" collapsed="false">
      <c r="A48" s="42" t="n">
        <v>46429.3805555556</v>
      </c>
      <c r="B48" s="10" t="s">
        <v>1724</v>
      </c>
      <c r="C48" s="10" t="s">
        <v>1571</v>
      </c>
      <c r="D48" s="0" t="n">
        <v>5</v>
      </c>
      <c r="E48" s="10" t="s">
        <v>1678</v>
      </c>
    </row>
    <row r="49" customFormat="false" ht="15" hidden="false" customHeight="false" outlineLevel="0" collapsed="false">
      <c r="A49" s="42" t="n">
        <v>46429.3923611111</v>
      </c>
      <c r="B49" s="10" t="s">
        <v>1719</v>
      </c>
      <c r="C49" s="10" t="s">
        <v>1554</v>
      </c>
      <c r="F49" s="10" t="s">
        <v>1676</v>
      </c>
      <c r="G49" s="10" t="s">
        <v>1684</v>
      </c>
    </row>
    <row r="50" customFormat="false" ht="15" hidden="false" customHeight="false" outlineLevel="0" collapsed="false">
      <c r="A50" s="42" t="n">
        <v>46429.3951388889</v>
      </c>
      <c r="B50" s="10" t="s">
        <v>1723</v>
      </c>
      <c r="C50" s="10" t="s">
        <v>1571</v>
      </c>
      <c r="D50" s="0" t="n">
        <v>4</v>
      </c>
      <c r="E50" s="10" t="s">
        <v>1554</v>
      </c>
      <c r="G50" s="10" t="s">
        <v>512</v>
      </c>
    </row>
    <row r="51" customFormat="false" ht="15" hidden="false" customHeight="false" outlineLevel="0" collapsed="false">
      <c r="A51" s="42" t="n">
        <v>46429.4569444444</v>
      </c>
      <c r="B51" s="10" t="s">
        <v>1728</v>
      </c>
      <c r="C51" s="10" t="s">
        <v>1554</v>
      </c>
      <c r="F51" s="10" t="s">
        <v>1679</v>
      </c>
    </row>
    <row r="52" customFormat="false" ht="15" hidden="false" customHeight="false" outlineLevel="0" collapsed="false">
      <c r="A52" s="42" t="n">
        <v>46429.4638888889</v>
      </c>
      <c r="B52" s="10" t="s">
        <v>1728</v>
      </c>
      <c r="C52" s="10" t="s">
        <v>1554</v>
      </c>
      <c r="F52" s="10" t="s">
        <v>1683</v>
      </c>
    </row>
    <row r="53" customFormat="false" ht="15" hidden="false" customHeight="false" outlineLevel="0" collapsed="false">
      <c r="A53" s="42" t="n">
        <v>46429.4708333333</v>
      </c>
      <c r="B53" s="10" t="s">
        <v>1726</v>
      </c>
      <c r="C53" s="10" t="s">
        <v>1571</v>
      </c>
      <c r="D53" s="0" t="n">
        <v>5</v>
      </c>
      <c r="E53" s="10" t="s">
        <v>1678</v>
      </c>
    </row>
    <row r="54" customFormat="false" ht="15" hidden="false" customHeight="false" outlineLevel="0" collapsed="false">
      <c r="A54" s="42" t="n">
        <v>46429.4847222222</v>
      </c>
      <c r="B54" s="10" t="s">
        <v>1727</v>
      </c>
      <c r="C54" s="10" t="s">
        <v>1554</v>
      </c>
      <c r="F54" s="10" t="s">
        <v>1679</v>
      </c>
    </row>
    <row r="55" customFormat="false" ht="15" hidden="false" customHeight="false" outlineLevel="0" collapsed="false">
      <c r="A55" s="42" t="n">
        <v>46429.5243055556</v>
      </c>
      <c r="B55" s="10" t="s">
        <v>1724</v>
      </c>
      <c r="C55" s="10" t="s">
        <v>1571</v>
      </c>
      <c r="D55" s="0" t="n">
        <v>5</v>
      </c>
      <c r="E55" s="10" t="s">
        <v>1678</v>
      </c>
      <c r="G55" s="10" t="s">
        <v>1685</v>
      </c>
    </row>
    <row r="56" customFormat="false" ht="15" hidden="false" customHeight="false" outlineLevel="0" collapsed="false">
      <c r="A56" s="42" t="n">
        <v>46429.5305555556</v>
      </c>
      <c r="B56" s="10" t="s">
        <v>1724</v>
      </c>
      <c r="C56" s="10" t="s">
        <v>1554</v>
      </c>
      <c r="F56" s="10" t="s">
        <v>1683</v>
      </c>
    </row>
    <row r="57" customFormat="false" ht="15" hidden="false" customHeight="false" outlineLevel="0" collapsed="false">
      <c r="A57" s="42" t="n">
        <v>46429.5423611111</v>
      </c>
      <c r="B57" s="10" t="s">
        <v>1722</v>
      </c>
      <c r="C57" s="10" t="s">
        <v>1554</v>
      </c>
      <c r="F57" s="10" t="s">
        <v>1676</v>
      </c>
    </row>
    <row r="58" customFormat="false" ht="15" hidden="false" customHeight="false" outlineLevel="0" collapsed="false">
      <c r="A58" s="42" t="n">
        <v>46429.5555555556</v>
      </c>
      <c r="B58" s="10" t="s">
        <v>1722</v>
      </c>
      <c r="C58" s="10" t="s">
        <v>1571</v>
      </c>
      <c r="D58" s="0" t="n">
        <v>4</v>
      </c>
      <c r="E58" s="10" t="s">
        <v>1678</v>
      </c>
    </row>
    <row r="59" customFormat="false" ht="15" hidden="false" customHeight="false" outlineLevel="0" collapsed="false">
      <c r="A59" s="42" t="n">
        <v>46429.5784722222</v>
      </c>
      <c r="B59" s="10" t="s">
        <v>1725</v>
      </c>
      <c r="C59" s="10" t="s">
        <v>1571</v>
      </c>
      <c r="D59" s="0" t="n">
        <v>3</v>
      </c>
      <c r="E59" s="10" t="s">
        <v>1678</v>
      </c>
    </row>
    <row r="60" customFormat="false" ht="15" hidden="false" customHeight="false" outlineLevel="0" collapsed="false">
      <c r="A60" s="42" t="n">
        <v>46429.5791666667</v>
      </c>
      <c r="B60" s="10" t="s">
        <v>1728</v>
      </c>
      <c r="C60" s="10" t="s">
        <v>1571</v>
      </c>
      <c r="D60" s="0" t="n">
        <v>4</v>
      </c>
      <c r="E60" s="10" t="s">
        <v>1571</v>
      </c>
      <c r="G60" s="10" t="s">
        <v>491</v>
      </c>
    </row>
    <row r="61" customFormat="false" ht="15" hidden="false" customHeight="false" outlineLevel="0" collapsed="false">
      <c r="A61" s="42" t="n">
        <v>46429.6034722222</v>
      </c>
      <c r="B61" s="10" t="s">
        <v>1728</v>
      </c>
      <c r="C61" s="10" t="s">
        <v>1554</v>
      </c>
      <c r="F61" s="10" t="s">
        <v>1679</v>
      </c>
    </row>
    <row r="62" customFormat="false" ht="15" hidden="false" customHeight="false" outlineLevel="0" collapsed="false">
      <c r="A62" s="42" t="n">
        <v>46429.6083333333</v>
      </c>
      <c r="B62" s="10" t="s">
        <v>1725</v>
      </c>
      <c r="C62" s="10" t="s">
        <v>1571</v>
      </c>
      <c r="D62" s="0" t="n">
        <v>4</v>
      </c>
      <c r="E62" s="10" t="s">
        <v>1571</v>
      </c>
      <c r="G62" s="10" t="s">
        <v>510</v>
      </c>
    </row>
    <row r="63" customFormat="false" ht="15" hidden="false" customHeight="false" outlineLevel="0" collapsed="false">
      <c r="A63" s="42" t="n">
        <v>46429.6118055556</v>
      </c>
      <c r="B63" s="10" t="s">
        <v>1727</v>
      </c>
      <c r="C63" s="10" t="s">
        <v>1571</v>
      </c>
      <c r="D63" s="0" t="n">
        <v>4</v>
      </c>
      <c r="E63" s="10" t="s">
        <v>1678</v>
      </c>
    </row>
    <row r="64" customFormat="false" ht="15" hidden="false" customHeight="false" outlineLevel="0" collapsed="false">
      <c r="A64" s="42" t="n">
        <v>46429.6256944445</v>
      </c>
      <c r="B64" s="10" t="s">
        <v>1727</v>
      </c>
      <c r="C64" s="10" t="s">
        <v>1554</v>
      </c>
      <c r="F64" s="10" t="s">
        <v>1683</v>
      </c>
    </row>
    <row r="65" customFormat="false" ht="15" hidden="false" customHeight="false" outlineLevel="0" collapsed="false">
      <c r="A65" s="42" t="n">
        <v>46429.6263888889</v>
      </c>
      <c r="B65" s="10" t="s">
        <v>1721</v>
      </c>
      <c r="C65" s="10" t="s">
        <v>1554</v>
      </c>
      <c r="F65" s="10" t="s">
        <v>1676</v>
      </c>
    </row>
    <row r="66" customFormat="false" ht="15" hidden="false" customHeight="false" outlineLevel="0" collapsed="false">
      <c r="A66" s="42" t="n">
        <v>46429.6638888889</v>
      </c>
      <c r="B66" s="10" t="s">
        <v>1728</v>
      </c>
      <c r="C66" s="10" t="s">
        <v>1554</v>
      </c>
      <c r="F66" s="10" t="s">
        <v>1679</v>
      </c>
    </row>
    <row r="67" customFormat="false" ht="15" hidden="false" customHeight="false" outlineLevel="0" collapsed="false">
      <c r="A67" s="42" t="n">
        <v>46429.6638888889</v>
      </c>
      <c r="B67" s="10" t="s">
        <v>1728</v>
      </c>
      <c r="C67" s="10" t="s">
        <v>1571</v>
      </c>
      <c r="D67" s="0" t="n">
        <v>4</v>
      </c>
      <c r="E67" s="10" t="s">
        <v>1571</v>
      </c>
      <c r="G67" s="10" t="s">
        <v>1685</v>
      </c>
    </row>
    <row r="68" customFormat="false" ht="15" hidden="false" customHeight="false" outlineLevel="0" collapsed="false">
      <c r="A68" s="42" t="n">
        <v>46429.6645833333</v>
      </c>
      <c r="B68" s="10" t="s">
        <v>1722</v>
      </c>
      <c r="C68" s="10" t="s">
        <v>1571</v>
      </c>
      <c r="D68" s="0" t="n">
        <v>3</v>
      </c>
      <c r="E68" s="10" t="s">
        <v>1554</v>
      </c>
    </row>
    <row r="69" customFormat="false" ht="15" hidden="false" customHeight="false" outlineLevel="0" collapsed="false">
      <c r="A69" s="42" t="n">
        <v>46429.6666666667</v>
      </c>
      <c r="B69" s="10" t="s">
        <v>1721</v>
      </c>
      <c r="C69" s="10" t="s">
        <v>1554</v>
      </c>
      <c r="F69" s="10" t="s">
        <v>1683</v>
      </c>
    </row>
    <row r="70" customFormat="false" ht="15" hidden="false" customHeight="false" outlineLevel="0" collapsed="false">
      <c r="A70" s="42" t="n">
        <v>46429.6979166667</v>
      </c>
      <c r="B70" s="10" t="s">
        <v>1720</v>
      </c>
      <c r="C70" s="10" t="s">
        <v>1571</v>
      </c>
      <c r="D70" s="0" t="n">
        <v>5</v>
      </c>
      <c r="E70" s="10" t="s">
        <v>1678</v>
      </c>
      <c r="G70" s="10" t="s">
        <v>510</v>
      </c>
    </row>
    <row r="71" customFormat="false" ht="15" hidden="false" customHeight="false" outlineLevel="0" collapsed="false">
      <c r="A71" s="42" t="n">
        <v>46429.7027777778</v>
      </c>
      <c r="B71" s="10" t="s">
        <v>1727</v>
      </c>
      <c r="C71" s="10" t="s">
        <v>1554</v>
      </c>
      <c r="F71" s="10" t="s">
        <v>1676</v>
      </c>
      <c r="G71" s="10" t="s">
        <v>1684</v>
      </c>
    </row>
    <row r="72" customFormat="false" ht="15" hidden="false" customHeight="false" outlineLevel="0" collapsed="false">
      <c r="A72" s="42" t="n">
        <v>46430.3951388889</v>
      </c>
      <c r="B72" s="10" t="s">
        <v>1727</v>
      </c>
      <c r="C72" s="10" t="s">
        <v>1571</v>
      </c>
      <c r="D72" s="0" t="n">
        <v>5</v>
      </c>
      <c r="E72" s="10" t="s">
        <v>1678</v>
      </c>
    </row>
    <row r="73" customFormat="false" ht="15" hidden="false" customHeight="false" outlineLevel="0" collapsed="false">
      <c r="A73" s="42" t="n">
        <v>46430.4083333333</v>
      </c>
      <c r="B73" s="10" t="s">
        <v>1725</v>
      </c>
      <c r="C73" s="10" t="s">
        <v>1571</v>
      </c>
      <c r="D73" s="0" t="n">
        <v>5</v>
      </c>
      <c r="E73" s="10" t="s">
        <v>1554</v>
      </c>
    </row>
    <row r="74" customFormat="false" ht="15" hidden="false" customHeight="false" outlineLevel="0" collapsed="false">
      <c r="A74" s="42" t="n">
        <v>46430.4215277778</v>
      </c>
      <c r="B74" s="10" t="s">
        <v>1721</v>
      </c>
      <c r="C74" s="10" t="s">
        <v>1554</v>
      </c>
      <c r="F74" s="10" t="s">
        <v>1683</v>
      </c>
      <c r="G74" s="10" t="s">
        <v>1681</v>
      </c>
    </row>
    <row r="75" customFormat="false" ht="15" hidden="false" customHeight="false" outlineLevel="0" collapsed="false">
      <c r="A75" s="42" t="n">
        <v>46430.5631944445</v>
      </c>
      <c r="B75" s="10" t="s">
        <v>1719</v>
      </c>
      <c r="C75" s="10" t="s">
        <v>1571</v>
      </c>
      <c r="D75" s="0" t="n">
        <v>5</v>
      </c>
      <c r="E75" s="10" t="s">
        <v>1571</v>
      </c>
    </row>
    <row r="76" customFormat="false" ht="15" hidden="false" customHeight="false" outlineLevel="0" collapsed="false">
      <c r="A76" s="42" t="n">
        <v>46430.5951388889</v>
      </c>
      <c r="B76" s="10" t="s">
        <v>1723</v>
      </c>
      <c r="C76" s="10" t="s">
        <v>1571</v>
      </c>
      <c r="D76" s="0" t="n">
        <v>4</v>
      </c>
      <c r="E76" s="10" t="s">
        <v>1571</v>
      </c>
    </row>
    <row r="77" customFormat="false" ht="15" hidden="false" customHeight="false" outlineLevel="0" collapsed="false">
      <c r="A77" s="42" t="n">
        <v>46434.4881944444</v>
      </c>
      <c r="B77" s="10" t="s">
        <v>1727</v>
      </c>
      <c r="C77" s="10" t="s">
        <v>1571</v>
      </c>
      <c r="D77" s="0" t="n">
        <v>4</v>
      </c>
      <c r="E77" s="10" t="s">
        <v>1571</v>
      </c>
    </row>
    <row r="78" customFormat="false" ht="15" hidden="false" customHeight="false" outlineLevel="0" collapsed="false">
      <c r="A78" s="42" t="n">
        <v>46434.5694444445</v>
      </c>
      <c r="B78" s="10" t="s">
        <v>1723</v>
      </c>
      <c r="C78" s="10" t="s">
        <v>1571</v>
      </c>
      <c r="D78" s="0" t="n">
        <v>4</v>
      </c>
      <c r="E78"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1729</v>
      </c>
      <c r="D1" s="41" t="s">
        <v>1666</v>
      </c>
      <c r="E1" s="41" t="s">
        <v>1667</v>
      </c>
      <c r="F1" s="41" t="s">
        <v>1668</v>
      </c>
      <c r="G1" s="41" t="s">
        <v>1730</v>
      </c>
    </row>
    <row r="2" customFormat="false" ht="15" hidden="false" customHeight="false" outlineLevel="0" collapsed="false">
      <c r="A2" s="42" t="n">
        <v>46441.3840277778</v>
      </c>
      <c r="B2" s="10" t="s">
        <v>1731</v>
      </c>
      <c r="C2" s="10" t="s">
        <v>1571</v>
      </c>
      <c r="D2" s="0" t="n">
        <v>5</v>
      </c>
      <c r="E2" s="10" t="s">
        <v>1554</v>
      </c>
      <c r="G2" s="10" t="s">
        <v>571</v>
      </c>
    </row>
    <row r="3" customFormat="false" ht="15" hidden="false" customHeight="false" outlineLevel="0" collapsed="false">
      <c r="A3" s="42" t="n">
        <v>46441.3979166667</v>
      </c>
      <c r="B3" s="10" t="s">
        <v>1732</v>
      </c>
      <c r="C3" s="10" t="s">
        <v>1571</v>
      </c>
      <c r="D3" s="0" t="n">
        <v>5</v>
      </c>
      <c r="E3" s="10" t="s">
        <v>1554</v>
      </c>
      <c r="G3" s="10" t="s">
        <v>572</v>
      </c>
    </row>
    <row r="4" customFormat="false" ht="15" hidden="false" customHeight="false" outlineLevel="0" collapsed="false">
      <c r="A4" s="42" t="n">
        <v>46441.4430555556</v>
      </c>
      <c r="B4" s="10" t="s">
        <v>1733</v>
      </c>
      <c r="C4" s="10" t="s">
        <v>1571</v>
      </c>
      <c r="D4" s="0" t="n">
        <v>4</v>
      </c>
      <c r="E4" s="10" t="s">
        <v>1678</v>
      </c>
      <c r="G4" s="10" t="s">
        <v>573</v>
      </c>
    </row>
    <row r="5" customFormat="false" ht="15" hidden="false" customHeight="false" outlineLevel="0" collapsed="false">
      <c r="A5" s="42" t="n">
        <v>46441.4645833333</v>
      </c>
      <c r="B5" s="10" t="s">
        <v>1732</v>
      </c>
      <c r="C5" s="10" t="s">
        <v>1554</v>
      </c>
      <c r="F5" s="10" t="s">
        <v>1679</v>
      </c>
    </row>
    <row r="6" customFormat="false" ht="15" hidden="false" customHeight="false" outlineLevel="0" collapsed="false">
      <c r="A6" s="42" t="n">
        <v>46441.5020833333</v>
      </c>
      <c r="B6" s="10" t="s">
        <v>1731</v>
      </c>
      <c r="C6" s="10" t="s">
        <v>1571</v>
      </c>
      <c r="D6" s="0" t="n">
        <v>4</v>
      </c>
      <c r="E6" s="10" t="s">
        <v>1554</v>
      </c>
    </row>
    <row r="7" customFormat="false" ht="15" hidden="false" customHeight="false" outlineLevel="0" collapsed="false">
      <c r="A7" s="42" t="n">
        <v>46441.525</v>
      </c>
      <c r="B7" s="10" t="s">
        <v>1734</v>
      </c>
      <c r="C7" s="10" t="s">
        <v>1571</v>
      </c>
      <c r="D7" s="0" t="n">
        <v>5</v>
      </c>
      <c r="E7" s="10" t="s">
        <v>1571</v>
      </c>
    </row>
    <row r="8" customFormat="false" ht="15" hidden="false" customHeight="false" outlineLevel="0" collapsed="false">
      <c r="A8" s="42" t="n">
        <v>46441.5472222222</v>
      </c>
      <c r="B8" s="10" t="s">
        <v>1733</v>
      </c>
      <c r="C8" s="10" t="s">
        <v>1554</v>
      </c>
      <c r="F8" s="10" t="s">
        <v>1676</v>
      </c>
      <c r="G8" s="10" t="s">
        <v>491</v>
      </c>
    </row>
    <row r="9" customFormat="false" ht="15" hidden="false" customHeight="false" outlineLevel="0" collapsed="false">
      <c r="A9" s="42" t="n">
        <v>46441.5590277778</v>
      </c>
      <c r="B9" s="10" t="s">
        <v>1735</v>
      </c>
      <c r="C9" s="10" t="s">
        <v>1571</v>
      </c>
      <c r="D9" s="0" t="n">
        <v>5</v>
      </c>
      <c r="E9" s="10" t="s">
        <v>1678</v>
      </c>
      <c r="G9" s="10" t="s">
        <v>510</v>
      </c>
    </row>
    <row r="10" customFormat="false" ht="15" hidden="false" customHeight="false" outlineLevel="0" collapsed="false">
      <c r="A10" s="42" t="n">
        <v>46441.5722222222</v>
      </c>
      <c r="B10" s="10" t="s">
        <v>1734</v>
      </c>
      <c r="C10" s="10" t="s">
        <v>1571</v>
      </c>
      <c r="D10" s="0" t="n">
        <v>5</v>
      </c>
      <c r="E10" s="10" t="s">
        <v>1571</v>
      </c>
    </row>
    <row r="11" customFormat="false" ht="15" hidden="false" customHeight="false" outlineLevel="0" collapsed="false">
      <c r="A11" s="42" t="n">
        <v>46441.5819444444</v>
      </c>
      <c r="B11" s="10" t="s">
        <v>1736</v>
      </c>
      <c r="C11" s="10" t="s">
        <v>1554</v>
      </c>
      <c r="F11" s="10" t="s">
        <v>1679</v>
      </c>
      <c r="G11" s="10" t="s">
        <v>492</v>
      </c>
    </row>
    <row r="12" customFormat="false" ht="15" hidden="false" customHeight="false" outlineLevel="0" collapsed="false">
      <c r="A12" s="42" t="n">
        <v>46441.5819444444</v>
      </c>
      <c r="B12" s="10" t="s">
        <v>1736</v>
      </c>
      <c r="C12" s="10" t="s">
        <v>1554</v>
      </c>
      <c r="F12" s="10" t="s">
        <v>1683</v>
      </c>
    </row>
    <row r="13" customFormat="false" ht="15" hidden="false" customHeight="false" outlineLevel="0" collapsed="false">
      <c r="A13" s="42" t="n">
        <v>46441.5979166667</v>
      </c>
      <c r="B13" s="10" t="s">
        <v>1731</v>
      </c>
      <c r="C13" s="10" t="s">
        <v>1571</v>
      </c>
      <c r="D13" s="0" t="n">
        <v>5</v>
      </c>
      <c r="E13" s="10" t="s">
        <v>1571</v>
      </c>
      <c r="G13" s="10" t="s">
        <v>512</v>
      </c>
    </row>
    <row r="14" customFormat="false" ht="15" hidden="false" customHeight="false" outlineLevel="0" collapsed="false">
      <c r="A14" s="42" t="n">
        <v>46441.6173611111</v>
      </c>
      <c r="B14" s="10" t="s">
        <v>1737</v>
      </c>
      <c r="C14" s="10" t="s">
        <v>1571</v>
      </c>
      <c r="D14" s="0" t="n">
        <v>4</v>
      </c>
      <c r="E14" s="10" t="s">
        <v>1678</v>
      </c>
    </row>
    <row r="15" customFormat="false" ht="15" hidden="false" customHeight="false" outlineLevel="0" collapsed="false">
      <c r="A15" s="42" t="n">
        <v>46441.6527777778</v>
      </c>
      <c r="B15" s="10" t="s">
        <v>1735</v>
      </c>
      <c r="C15" s="10" t="s">
        <v>1571</v>
      </c>
      <c r="D15" s="0" t="n">
        <v>4</v>
      </c>
      <c r="E15" s="10" t="s">
        <v>1554</v>
      </c>
    </row>
    <row r="16" customFormat="false" ht="15" hidden="false" customHeight="false" outlineLevel="0" collapsed="false">
      <c r="A16" s="42" t="n">
        <v>46441.6770833333</v>
      </c>
      <c r="B16" s="10" t="s">
        <v>1738</v>
      </c>
      <c r="C16" s="10" t="s">
        <v>1571</v>
      </c>
      <c r="D16" s="0" t="n">
        <v>5</v>
      </c>
      <c r="E16" s="10" t="s">
        <v>1554</v>
      </c>
    </row>
    <row r="17" customFormat="false" ht="15" hidden="false" customHeight="false" outlineLevel="0" collapsed="false">
      <c r="A17" s="42" t="n">
        <v>46441.6847222222</v>
      </c>
      <c r="B17" s="10" t="s">
        <v>1732</v>
      </c>
      <c r="C17" s="10" t="s">
        <v>1571</v>
      </c>
      <c r="D17" s="0" t="n">
        <v>5</v>
      </c>
      <c r="E17" s="10" t="s">
        <v>1678</v>
      </c>
    </row>
    <row r="18" customFormat="false" ht="15" hidden="false" customHeight="false" outlineLevel="0" collapsed="false">
      <c r="A18" s="42" t="n">
        <v>46441.6881944445</v>
      </c>
      <c r="B18" s="10" t="s">
        <v>1731</v>
      </c>
      <c r="C18" s="10" t="s">
        <v>1571</v>
      </c>
      <c r="D18" s="0" t="n">
        <v>4</v>
      </c>
      <c r="E18" s="10" t="s">
        <v>1554</v>
      </c>
      <c r="G18" s="10" t="s">
        <v>1685</v>
      </c>
    </row>
    <row r="19" customFormat="false" ht="15" hidden="false" customHeight="false" outlineLevel="0" collapsed="false">
      <c r="A19" s="42" t="n">
        <v>46441.6930555556</v>
      </c>
      <c r="B19" s="10" t="s">
        <v>1734</v>
      </c>
      <c r="C19" s="10" t="s">
        <v>1571</v>
      </c>
      <c r="D19" s="0" t="n">
        <v>4</v>
      </c>
      <c r="E19" s="10" t="s">
        <v>1678</v>
      </c>
      <c r="G19" s="10" t="s">
        <v>511</v>
      </c>
    </row>
    <row r="20" customFormat="false" ht="15" hidden="false" customHeight="false" outlineLevel="0" collapsed="false">
      <c r="A20" s="42" t="n">
        <v>46442.3770833333</v>
      </c>
      <c r="B20" s="10" t="s">
        <v>1734</v>
      </c>
      <c r="C20" s="10" t="s">
        <v>1571</v>
      </c>
      <c r="D20" s="0" t="n">
        <v>4</v>
      </c>
      <c r="E20" s="10" t="s">
        <v>1571</v>
      </c>
    </row>
    <row r="21" customFormat="false" ht="15" hidden="false" customHeight="false" outlineLevel="0" collapsed="false">
      <c r="A21" s="42" t="n">
        <v>46442.3819444445</v>
      </c>
      <c r="B21" s="10" t="s">
        <v>1734</v>
      </c>
      <c r="C21" s="10" t="s">
        <v>1571</v>
      </c>
      <c r="D21" s="0" t="n">
        <v>3</v>
      </c>
      <c r="E21" s="10" t="s">
        <v>1678</v>
      </c>
    </row>
    <row r="22" customFormat="false" ht="15" hidden="false" customHeight="false" outlineLevel="0" collapsed="false">
      <c r="A22" s="42" t="n">
        <v>46442.3868055556</v>
      </c>
      <c r="B22" s="10" t="s">
        <v>1738</v>
      </c>
      <c r="C22" s="10" t="s">
        <v>1571</v>
      </c>
      <c r="D22" s="0" t="n">
        <v>5</v>
      </c>
      <c r="E22" s="10" t="s">
        <v>1678</v>
      </c>
    </row>
    <row r="23" customFormat="false" ht="15" hidden="false" customHeight="false" outlineLevel="0" collapsed="false">
      <c r="A23" s="42" t="n">
        <v>46442.4291666667</v>
      </c>
      <c r="B23" s="10" t="s">
        <v>1733</v>
      </c>
      <c r="C23" s="10" t="s">
        <v>1571</v>
      </c>
      <c r="D23" s="0" t="n">
        <v>4</v>
      </c>
      <c r="E23" s="10" t="s">
        <v>1571</v>
      </c>
    </row>
    <row r="24" customFormat="false" ht="15" hidden="false" customHeight="false" outlineLevel="0" collapsed="false">
      <c r="A24" s="42" t="n">
        <v>46442.4291666667</v>
      </c>
      <c r="B24" s="10" t="s">
        <v>1733</v>
      </c>
      <c r="C24" s="10" t="s">
        <v>1571</v>
      </c>
      <c r="D24" s="0" t="n">
        <v>4</v>
      </c>
      <c r="E24" s="10" t="s">
        <v>1554</v>
      </c>
    </row>
    <row r="25" customFormat="false" ht="15" hidden="false" customHeight="false" outlineLevel="0" collapsed="false">
      <c r="A25" s="42" t="n">
        <v>46442.4777777778</v>
      </c>
      <c r="B25" s="10" t="s">
        <v>1736</v>
      </c>
      <c r="C25" s="10" t="s">
        <v>1571</v>
      </c>
      <c r="D25" s="0" t="n">
        <v>5</v>
      </c>
      <c r="E25" s="10" t="s">
        <v>1554</v>
      </c>
    </row>
    <row r="26" customFormat="false" ht="15" hidden="false" customHeight="false" outlineLevel="0" collapsed="false">
      <c r="A26" s="42" t="n">
        <v>46442.4826388889</v>
      </c>
      <c r="B26" s="10" t="s">
        <v>1737</v>
      </c>
      <c r="C26" s="10" t="s">
        <v>1571</v>
      </c>
      <c r="D26" s="0" t="n">
        <v>5</v>
      </c>
      <c r="E26" s="10" t="s">
        <v>1554</v>
      </c>
    </row>
    <row r="27" customFormat="false" ht="15" hidden="false" customHeight="false" outlineLevel="0" collapsed="false">
      <c r="A27" s="42" t="n">
        <v>46442.4847222222</v>
      </c>
      <c r="B27" s="10" t="s">
        <v>1734</v>
      </c>
      <c r="C27" s="10" t="s">
        <v>1554</v>
      </c>
      <c r="F27" s="10" t="s">
        <v>1676</v>
      </c>
    </row>
    <row r="28" customFormat="false" ht="15" hidden="false" customHeight="false" outlineLevel="0" collapsed="false">
      <c r="A28" s="42" t="n">
        <v>46442.5090277778</v>
      </c>
      <c r="B28" s="10" t="s">
        <v>1735</v>
      </c>
      <c r="C28" s="10" t="s">
        <v>1571</v>
      </c>
      <c r="D28" s="0" t="n">
        <v>5</v>
      </c>
      <c r="E28" s="10" t="s">
        <v>1571</v>
      </c>
    </row>
    <row r="29" customFormat="false" ht="15" hidden="false" customHeight="false" outlineLevel="0" collapsed="false">
      <c r="A29" s="42" t="n">
        <v>46442.5201388889</v>
      </c>
      <c r="B29" s="10" t="s">
        <v>1738</v>
      </c>
      <c r="C29" s="10" t="s">
        <v>1571</v>
      </c>
      <c r="D29" s="0" t="n">
        <v>4</v>
      </c>
      <c r="E29" s="10" t="s">
        <v>1571</v>
      </c>
      <c r="G29" s="10" t="s">
        <v>1685</v>
      </c>
    </row>
    <row r="30" customFormat="false" ht="15" hidden="false" customHeight="false" outlineLevel="0" collapsed="false">
      <c r="A30" s="42" t="n">
        <v>46442.5333333333</v>
      </c>
      <c r="B30" s="10" t="s">
        <v>1739</v>
      </c>
      <c r="C30" s="10" t="s">
        <v>1571</v>
      </c>
      <c r="D30" s="0" t="n">
        <v>4</v>
      </c>
      <c r="E30" s="10" t="s">
        <v>1571</v>
      </c>
    </row>
    <row r="31" customFormat="false" ht="15" hidden="false" customHeight="false" outlineLevel="0" collapsed="false">
      <c r="A31" s="42" t="n">
        <v>46442.55625</v>
      </c>
      <c r="B31" s="10" t="s">
        <v>1738</v>
      </c>
      <c r="C31" s="10" t="s">
        <v>1554</v>
      </c>
      <c r="F31" s="10" t="s">
        <v>1676</v>
      </c>
    </row>
    <row r="32" customFormat="false" ht="15" hidden="false" customHeight="false" outlineLevel="0" collapsed="false">
      <c r="A32" s="42" t="n">
        <v>46442.5625</v>
      </c>
      <c r="B32" s="10" t="s">
        <v>1735</v>
      </c>
      <c r="C32" s="10" t="s">
        <v>1571</v>
      </c>
      <c r="D32" s="0" t="n">
        <v>5</v>
      </c>
      <c r="E32" s="10" t="s">
        <v>1678</v>
      </c>
    </row>
    <row r="33" customFormat="false" ht="15" hidden="false" customHeight="false" outlineLevel="0" collapsed="false">
      <c r="A33" s="42" t="n">
        <v>46442.5645833333</v>
      </c>
      <c r="B33" s="10" t="s">
        <v>1739</v>
      </c>
      <c r="C33" s="10" t="s">
        <v>1571</v>
      </c>
      <c r="D33" s="0" t="n">
        <v>4</v>
      </c>
      <c r="E33" s="10" t="s">
        <v>1678</v>
      </c>
    </row>
    <row r="34" customFormat="false" ht="15" hidden="false" customHeight="false" outlineLevel="0" collapsed="false">
      <c r="A34" s="42" t="n">
        <v>46442.5777777778</v>
      </c>
      <c r="B34" s="10" t="s">
        <v>1732</v>
      </c>
      <c r="C34" s="10" t="s">
        <v>1571</v>
      </c>
      <c r="D34" s="0" t="n">
        <v>4</v>
      </c>
      <c r="E34" s="10" t="s">
        <v>1554</v>
      </c>
      <c r="G34" s="10" t="s">
        <v>491</v>
      </c>
    </row>
    <row r="35" customFormat="false" ht="15" hidden="false" customHeight="false" outlineLevel="0" collapsed="false">
      <c r="A35" s="42" t="n">
        <v>46442.5965277778</v>
      </c>
      <c r="B35" s="10" t="s">
        <v>1739</v>
      </c>
      <c r="C35" s="10" t="s">
        <v>1554</v>
      </c>
      <c r="F35" s="10" t="s">
        <v>1683</v>
      </c>
      <c r="G35" s="10" t="s">
        <v>492</v>
      </c>
    </row>
    <row r="36" customFormat="false" ht="15" hidden="false" customHeight="false" outlineLevel="0" collapsed="false">
      <c r="A36" s="42" t="n">
        <v>46442.6375</v>
      </c>
      <c r="B36" s="10" t="s">
        <v>1735</v>
      </c>
      <c r="C36" s="10" t="s">
        <v>1571</v>
      </c>
      <c r="D36" s="0" t="n">
        <v>4</v>
      </c>
      <c r="E36" s="10" t="s">
        <v>1678</v>
      </c>
    </row>
    <row r="37" customFormat="false" ht="15" hidden="false" customHeight="false" outlineLevel="0" collapsed="false">
      <c r="A37" s="42" t="n">
        <v>46442.65</v>
      </c>
      <c r="B37" s="10" t="s">
        <v>1739</v>
      </c>
      <c r="C37" s="10" t="s">
        <v>1554</v>
      </c>
      <c r="F37" s="10" t="s">
        <v>1679</v>
      </c>
    </row>
    <row r="38" customFormat="false" ht="15" hidden="false" customHeight="false" outlineLevel="0" collapsed="false">
      <c r="A38" s="42" t="n">
        <v>46442.6993055556</v>
      </c>
      <c r="B38" s="10" t="s">
        <v>1736</v>
      </c>
      <c r="C38" s="10" t="s">
        <v>1571</v>
      </c>
      <c r="D38" s="0" t="n">
        <v>4</v>
      </c>
      <c r="E38" s="10" t="s">
        <v>1678</v>
      </c>
    </row>
    <row r="39" customFormat="false" ht="15" hidden="false" customHeight="false" outlineLevel="0" collapsed="false">
      <c r="A39" s="42" t="n">
        <v>46443.3770833333</v>
      </c>
      <c r="B39" s="10" t="s">
        <v>1739</v>
      </c>
      <c r="C39" s="10" t="s">
        <v>1571</v>
      </c>
      <c r="D39" s="0" t="n">
        <v>4</v>
      </c>
      <c r="E39" s="10" t="s">
        <v>1678</v>
      </c>
    </row>
    <row r="40" customFormat="false" ht="15" hidden="false" customHeight="false" outlineLevel="0" collapsed="false">
      <c r="A40" s="42" t="n">
        <v>46443.38125</v>
      </c>
      <c r="B40" s="10" t="s">
        <v>1737</v>
      </c>
      <c r="C40" s="10" t="s">
        <v>1554</v>
      </c>
      <c r="F40" s="10" t="s">
        <v>1676</v>
      </c>
    </row>
    <row r="41" customFormat="false" ht="15" hidden="false" customHeight="false" outlineLevel="0" collapsed="false">
      <c r="A41" s="42" t="n">
        <v>46443.4020833333</v>
      </c>
      <c r="B41" s="10" t="s">
        <v>1734</v>
      </c>
      <c r="C41" s="10" t="s">
        <v>1571</v>
      </c>
      <c r="D41" s="0" t="n">
        <v>4</v>
      </c>
      <c r="E41" s="10" t="s">
        <v>1678</v>
      </c>
    </row>
    <row r="42" customFormat="false" ht="15" hidden="false" customHeight="false" outlineLevel="0" collapsed="false">
      <c r="A42" s="42" t="n">
        <v>46443.4034722222</v>
      </c>
      <c r="B42" s="10" t="s">
        <v>1732</v>
      </c>
      <c r="C42" s="10" t="s">
        <v>1571</v>
      </c>
      <c r="D42" s="0" t="n">
        <v>4</v>
      </c>
      <c r="E42" s="10" t="s">
        <v>1678</v>
      </c>
    </row>
    <row r="43" customFormat="false" ht="15" hidden="false" customHeight="false" outlineLevel="0" collapsed="false">
      <c r="A43" s="42" t="n">
        <v>46443.4166666667</v>
      </c>
      <c r="B43" s="10" t="s">
        <v>1738</v>
      </c>
      <c r="C43" s="10" t="s">
        <v>1571</v>
      </c>
      <c r="D43" s="0" t="n">
        <v>4</v>
      </c>
      <c r="E43" s="10" t="s">
        <v>1554</v>
      </c>
      <c r="G43" s="10" t="s">
        <v>511</v>
      </c>
    </row>
    <row r="44" customFormat="false" ht="15" hidden="false" customHeight="false" outlineLevel="0" collapsed="false">
      <c r="A44" s="42" t="n">
        <v>46443.4291666667</v>
      </c>
      <c r="B44" s="10" t="s">
        <v>1735</v>
      </c>
      <c r="C44" s="10" t="s">
        <v>1571</v>
      </c>
      <c r="D44" s="0" t="n">
        <v>5</v>
      </c>
      <c r="E44" s="10" t="s">
        <v>1554</v>
      </c>
      <c r="G44" s="10" t="s">
        <v>491</v>
      </c>
    </row>
    <row r="45" customFormat="false" ht="15" hidden="false" customHeight="false" outlineLevel="0" collapsed="false">
      <c r="A45" s="42" t="n">
        <v>46443.4597222222</v>
      </c>
      <c r="B45" s="10" t="s">
        <v>1735</v>
      </c>
      <c r="C45" s="10" t="s">
        <v>1571</v>
      </c>
      <c r="D45" s="0" t="n">
        <v>5</v>
      </c>
      <c r="E45" s="10" t="s">
        <v>1678</v>
      </c>
      <c r="G45" s="10" t="s">
        <v>491</v>
      </c>
    </row>
    <row r="46" customFormat="false" ht="15" hidden="false" customHeight="false" outlineLevel="0" collapsed="false">
      <c r="A46" s="42" t="n">
        <v>46443.4736111111</v>
      </c>
      <c r="B46" s="10" t="s">
        <v>1733</v>
      </c>
      <c r="C46" s="10" t="s">
        <v>1571</v>
      </c>
      <c r="D46" s="0" t="n">
        <v>5</v>
      </c>
      <c r="E46" s="10" t="s">
        <v>1678</v>
      </c>
      <c r="G46" s="10" t="s">
        <v>511</v>
      </c>
    </row>
    <row r="47" customFormat="false" ht="15" hidden="false" customHeight="false" outlineLevel="0" collapsed="false">
      <c r="A47" s="42" t="n">
        <v>46443.4972222222</v>
      </c>
      <c r="B47" s="10" t="s">
        <v>1738</v>
      </c>
      <c r="C47" s="10" t="s">
        <v>1571</v>
      </c>
      <c r="D47" s="0" t="n">
        <v>4</v>
      </c>
      <c r="E47" s="10" t="s">
        <v>1678</v>
      </c>
      <c r="G47" s="10" t="s">
        <v>511</v>
      </c>
    </row>
    <row r="48" customFormat="false" ht="15" hidden="false" customHeight="false" outlineLevel="0" collapsed="false">
      <c r="A48" s="42" t="n">
        <v>46443.5180555556</v>
      </c>
      <c r="B48" s="10" t="s">
        <v>1732</v>
      </c>
      <c r="C48" s="10" t="s">
        <v>1571</v>
      </c>
      <c r="D48" s="0" t="n">
        <v>4</v>
      </c>
      <c r="E48" s="10" t="s">
        <v>1678</v>
      </c>
    </row>
    <row r="49" customFormat="false" ht="15" hidden="false" customHeight="false" outlineLevel="0" collapsed="false">
      <c r="A49" s="42" t="n">
        <v>46443.5229166667</v>
      </c>
      <c r="B49" s="10" t="s">
        <v>1731</v>
      </c>
      <c r="C49" s="10" t="s">
        <v>1571</v>
      </c>
      <c r="D49" s="0" t="n">
        <v>4</v>
      </c>
      <c r="E49" s="10" t="s">
        <v>1571</v>
      </c>
    </row>
    <row r="50" customFormat="false" ht="15" hidden="false" customHeight="false" outlineLevel="0" collapsed="false">
      <c r="A50" s="42" t="n">
        <v>46443.5277777778</v>
      </c>
      <c r="B50" s="10" t="s">
        <v>1731</v>
      </c>
      <c r="C50" s="10" t="s">
        <v>1554</v>
      </c>
      <c r="F50" s="10" t="s">
        <v>1676</v>
      </c>
      <c r="G50" s="10" t="s">
        <v>512</v>
      </c>
    </row>
    <row r="51" customFormat="false" ht="15" hidden="false" customHeight="false" outlineLevel="0" collapsed="false">
      <c r="A51" s="42" t="n">
        <v>46443.5423611111</v>
      </c>
      <c r="B51" s="10" t="s">
        <v>1739</v>
      </c>
      <c r="C51" s="10" t="s">
        <v>1571</v>
      </c>
      <c r="D51" s="0" t="n">
        <v>5</v>
      </c>
      <c r="E51" s="10" t="s">
        <v>1554</v>
      </c>
    </row>
    <row r="52" customFormat="false" ht="15" hidden="false" customHeight="false" outlineLevel="0" collapsed="false">
      <c r="A52" s="42" t="n">
        <v>46443.5479166667</v>
      </c>
      <c r="B52" s="10" t="s">
        <v>1737</v>
      </c>
      <c r="C52" s="10" t="s">
        <v>1571</v>
      </c>
      <c r="D52" s="0" t="n">
        <v>4</v>
      </c>
      <c r="E52" s="10" t="s">
        <v>1554</v>
      </c>
    </row>
    <row r="53" customFormat="false" ht="15" hidden="false" customHeight="false" outlineLevel="0" collapsed="false">
      <c r="A53" s="42" t="n">
        <v>46443.5486111111</v>
      </c>
      <c r="B53" s="10" t="s">
        <v>1732</v>
      </c>
      <c r="C53" s="10" t="s">
        <v>1571</v>
      </c>
      <c r="D53" s="0" t="n">
        <v>5</v>
      </c>
      <c r="E53" s="10" t="s">
        <v>1678</v>
      </c>
      <c r="G53" s="10" t="s">
        <v>1685</v>
      </c>
    </row>
    <row r="54" customFormat="false" ht="15" hidden="false" customHeight="false" outlineLevel="0" collapsed="false">
      <c r="A54" s="42" t="n">
        <v>46443.6256944445</v>
      </c>
      <c r="B54" s="10" t="s">
        <v>1732</v>
      </c>
      <c r="C54" s="10" t="s">
        <v>1571</v>
      </c>
      <c r="D54" s="0" t="n">
        <v>4</v>
      </c>
      <c r="E54" s="10" t="s">
        <v>1571</v>
      </c>
      <c r="G54" s="10" t="s">
        <v>1681</v>
      </c>
    </row>
    <row r="55" customFormat="false" ht="15" hidden="false" customHeight="false" outlineLevel="0" collapsed="false">
      <c r="A55" s="42" t="n">
        <v>46443.6270833333</v>
      </c>
      <c r="B55" s="10" t="s">
        <v>1735</v>
      </c>
      <c r="C55" s="10" t="s">
        <v>1571</v>
      </c>
      <c r="D55" s="0" t="n">
        <v>3</v>
      </c>
      <c r="E55" s="10" t="s">
        <v>1678</v>
      </c>
      <c r="G55" s="10" t="s">
        <v>491</v>
      </c>
    </row>
    <row r="56" customFormat="false" ht="15" hidden="false" customHeight="false" outlineLevel="0" collapsed="false">
      <c r="A56" s="42" t="n">
        <v>46443.64375</v>
      </c>
      <c r="B56" s="10" t="s">
        <v>1733</v>
      </c>
      <c r="C56" s="10" t="s">
        <v>1554</v>
      </c>
      <c r="F56" s="10" t="s">
        <v>1683</v>
      </c>
    </row>
    <row r="57" customFormat="false" ht="15" hidden="false" customHeight="false" outlineLevel="0" collapsed="false">
      <c r="A57" s="42" t="n">
        <v>46443.6833333333</v>
      </c>
      <c r="B57" s="10" t="s">
        <v>1739</v>
      </c>
      <c r="C57" s="10" t="s">
        <v>1554</v>
      </c>
      <c r="F57" s="10" t="s">
        <v>1679</v>
      </c>
      <c r="G57" s="10" t="s">
        <v>510</v>
      </c>
    </row>
    <row r="58" customFormat="false" ht="15" hidden="false" customHeight="false" outlineLevel="0" collapsed="false">
      <c r="A58" s="42" t="n">
        <v>46443.6868055556</v>
      </c>
      <c r="B58" s="10" t="s">
        <v>1739</v>
      </c>
      <c r="C58" s="10" t="s">
        <v>1554</v>
      </c>
      <c r="F58" s="10" t="s">
        <v>1679</v>
      </c>
      <c r="G58" s="10" t="s">
        <v>1685</v>
      </c>
    </row>
    <row r="59" customFormat="false" ht="15" hidden="false" customHeight="false" outlineLevel="0" collapsed="false">
      <c r="A59" s="42" t="n">
        <v>46444.5548611111</v>
      </c>
      <c r="B59" s="10" t="s">
        <v>1734</v>
      </c>
      <c r="C59" s="10" t="s">
        <v>1571</v>
      </c>
      <c r="D59" s="0" t="n">
        <v>4</v>
      </c>
      <c r="E59" s="10" t="s">
        <v>1554</v>
      </c>
    </row>
    <row r="60" customFormat="false" ht="15" hidden="false" customHeight="false" outlineLevel="0" collapsed="false">
      <c r="A60" s="42" t="n">
        <v>46444.5673611111</v>
      </c>
      <c r="B60" s="10" t="s">
        <v>1738</v>
      </c>
      <c r="C60" s="10" t="s">
        <v>1571</v>
      </c>
      <c r="D60" s="0" t="n">
        <v>4</v>
      </c>
      <c r="E60" s="10" t="s">
        <v>1678</v>
      </c>
    </row>
    <row r="61" customFormat="false" ht="15" hidden="false" customHeight="false" outlineLevel="0" collapsed="false">
      <c r="A61" s="42" t="n">
        <v>46444.6569444445</v>
      </c>
      <c r="B61" s="10" t="s">
        <v>1734</v>
      </c>
      <c r="C61" s="10" t="s">
        <v>1571</v>
      </c>
      <c r="D61" s="0" t="n">
        <v>4</v>
      </c>
      <c r="E61" s="10" t="s">
        <v>1571</v>
      </c>
      <c r="G61" s="10" t="s">
        <v>512</v>
      </c>
    </row>
    <row r="62" customFormat="false" ht="15" hidden="false" customHeight="false" outlineLevel="0" collapsed="false">
      <c r="A62" s="42" t="n">
        <v>46447.5402777778</v>
      </c>
      <c r="B62" s="10" t="s">
        <v>1737</v>
      </c>
      <c r="C62" s="10" t="s">
        <v>1571</v>
      </c>
      <c r="D62" s="0" t="n">
        <v>5</v>
      </c>
      <c r="E62" s="10" t="s">
        <v>1678</v>
      </c>
    </row>
    <row r="63" customFormat="false" ht="15" hidden="false" customHeight="false" outlineLevel="0" collapsed="false">
      <c r="A63" s="42" t="n">
        <v>46447.5777777778</v>
      </c>
      <c r="B63" s="10" t="s">
        <v>1736</v>
      </c>
      <c r="C63" s="10" t="s">
        <v>1571</v>
      </c>
      <c r="D63" s="0" t="n">
        <v>5</v>
      </c>
      <c r="E63" s="10" t="s">
        <v>1571</v>
      </c>
      <c r="G63" s="10"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1671</v>
      </c>
      <c r="D1" s="41" t="s">
        <v>1666</v>
      </c>
      <c r="E1" s="41" t="s">
        <v>1667</v>
      </c>
      <c r="F1" s="41" t="s">
        <v>1668</v>
      </c>
      <c r="G1" s="41" t="s">
        <v>1672</v>
      </c>
    </row>
    <row r="2" customFormat="false" ht="15" hidden="false" customHeight="false" outlineLevel="0" collapsed="false">
      <c r="A2" s="42" t="n">
        <v>46469.3777777778</v>
      </c>
      <c r="B2" s="10" t="s">
        <v>1740</v>
      </c>
      <c r="C2" s="10" t="s">
        <v>1571</v>
      </c>
      <c r="D2" s="0" t="n">
        <v>5</v>
      </c>
      <c r="E2" s="10" t="s">
        <v>1571</v>
      </c>
      <c r="G2" s="10" t="s">
        <v>579</v>
      </c>
    </row>
    <row r="3" customFormat="false" ht="15" hidden="false" customHeight="false" outlineLevel="0" collapsed="false">
      <c r="A3" s="42" t="n">
        <v>46469.3881944444</v>
      </c>
      <c r="B3" s="10" t="s">
        <v>1741</v>
      </c>
      <c r="C3" s="10" t="s">
        <v>1571</v>
      </c>
      <c r="D3" s="0" t="n">
        <v>4</v>
      </c>
      <c r="E3" s="10" t="s">
        <v>1678</v>
      </c>
      <c r="G3" s="10" t="s">
        <v>580</v>
      </c>
    </row>
    <row r="4" customFormat="false" ht="15" hidden="false" customHeight="false" outlineLevel="0" collapsed="false">
      <c r="A4" s="42" t="n">
        <v>46469.4020833333</v>
      </c>
      <c r="B4" s="10" t="s">
        <v>1741</v>
      </c>
      <c r="C4" s="10" t="s">
        <v>1571</v>
      </c>
      <c r="D4" s="0" t="n">
        <v>4</v>
      </c>
      <c r="E4" s="10" t="s">
        <v>1678</v>
      </c>
      <c r="G4" s="10" t="s">
        <v>581</v>
      </c>
    </row>
    <row r="5" customFormat="false" ht="15" hidden="false" customHeight="false" outlineLevel="0" collapsed="false">
      <c r="A5" s="42" t="n">
        <v>46469.4111111111</v>
      </c>
      <c r="B5" s="10" t="s">
        <v>1742</v>
      </c>
      <c r="C5" s="10" t="s">
        <v>1554</v>
      </c>
      <c r="F5" s="10" t="s">
        <v>1683</v>
      </c>
    </row>
    <row r="6" customFormat="false" ht="15" hidden="false" customHeight="false" outlineLevel="0" collapsed="false">
      <c r="A6" s="42" t="n">
        <v>46469.4125</v>
      </c>
      <c r="B6" s="10" t="s">
        <v>1743</v>
      </c>
      <c r="C6" s="10" t="s">
        <v>1554</v>
      </c>
      <c r="F6" s="10" t="s">
        <v>1683</v>
      </c>
      <c r="G6" s="10" t="s">
        <v>1684</v>
      </c>
    </row>
    <row r="7" customFormat="false" ht="15" hidden="false" customHeight="false" outlineLevel="0" collapsed="false">
      <c r="A7" s="42" t="n">
        <v>46469.4145833333</v>
      </c>
      <c r="B7" s="10" t="s">
        <v>1742</v>
      </c>
      <c r="C7" s="10" t="s">
        <v>1571</v>
      </c>
      <c r="D7" s="0" t="n">
        <v>5</v>
      </c>
      <c r="E7" s="10" t="s">
        <v>1571</v>
      </c>
      <c r="G7" s="10" t="s">
        <v>492</v>
      </c>
    </row>
    <row r="8" customFormat="false" ht="15" hidden="false" customHeight="false" outlineLevel="0" collapsed="false">
      <c r="A8" s="42" t="n">
        <v>46469.4395833333</v>
      </c>
      <c r="B8" s="10" t="s">
        <v>1740</v>
      </c>
      <c r="C8" s="10" t="s">
        <v>1571</v>
      </c>
      <c r="D8" s="0" t="n">
        <v>5</v>
      </c>
      <c r="E8" s="10" t="s">
        <v>1678</v>
      </c>
    </row>
    <row r="9" customFormat="false" ht="15" hidden="false" customHeight="false" outlineLevel="0" collapsed="false">
      <c r="A9" s="42" t="n">
        <v>46469.4569444444</v>
      </c>
      <c r="B9" s="10" t="s">
        <v>1744</v>
      </c>
      <c r="C9" s="10" t="s">
        <v>1571</v>
      </c>
      <c r="D9" s="0" t="n">
        <v>4</v>
      </c>
      <c r="E9" s="10" t="s">
        <v>1554</v>
      </c>
    </row>
    <row r="10" customFormat="false" ht="15" hidden="false" customHeight="false" outlineLevel="0" collapsed="false">
      <c r="A10" s="42" t="n">
        <v>46469.4597222222</v>
      </c>
      <c r="B10" s="10" t="s">
        <v>1741</v>
      </c>
      <c r="C10" s="10" t="s">
        <v>1554</v>
      </c>
      <c r="F10" s="10" t="s">
        <v>1679</v>
      </c>
    </row>
    <row r="11" customFormat="false" ht="15" hidden="false" customHeight="false" outlineLevel="0" collapsed="false">
      <c r="A11" s="42" t="n">
        <v>46469.4666666667</v>
      </c>
      <c r="B11" s="10" t="s">
        <v>1743</v>
      </c>
      <c r="C11" s="10" t="s">
        <v>1571</v>
      </c>
      <c r="D11" s="0" t="n">
        <v>4</v>
      </c>
      <c r="E11" s="10" t="s">
        <v>1678</v>
      </c>
    </row>
    <row r="12" customFormat="false" ht="15" hidden="false" customHeight="false" outlineLevel="0" collapsed="false">
      <c r="A12" s="42" t="n">
        <v>46469.5020833333</v>
      </c>
      <c r="B12" s="10" t="s">
        <v>1745</v>
      </c>
      <c r="C12" s="10" t="s">
        <v>1554</v>
      </c>
      <c r="F12" s="10" t="s">
        <v>1676</v>
      </c>
    </row>
    <row r="13" customFormat="false" ht="15" hidden="false" customHeight="false" outlineLevel="0" collapsed="false">
      <c r="A13" s="42" t="n">
        <v>46469.5083333333</v>
      </c>
      <c r="B13" s="10" t="s">
        <v>1746</v>
      </c>
      <c r="C13" s="10" t="s">
        <v>1571</v>
      </c>
      <c r="D13" s="0" t="n">
        <v>4</v>
      </c>
      <c r="E13" s="10" t="s">
        <v>1678</v>
      </c>
    </row>
    <row r="14" customFormat="false" ht="15" hidden="false" customHeight="false" outlineLevel="0" collapsed="false">
      <c r="A14" s="42" t="n">
        <v>46469.5222222222</v>
      </c>
      <c r="B14" s="10" t="s">
        <v>1747</v>
      </c>
      <c r="C14" s="10" t="s">
        <v>1571</v>
      </c>
      <c r="D14" s="0" t="n">
        <v>4</v>
      </c>
      <c r="E14" s="10" t="s">
        <v>1571</v>
      </c>
    </row>
    <row r="15" customFormat="false" ht="15" hidden="false" customHeight="false" outlineLevel="0" collapsed="false">
      <c r="A15" s="42" t="n">
        <v>46469.5263888889</v>
      </c>
      <c r="B15" s="10" t="s">
        <v>1742</v>
      </c>
      <c r="C15" s="10" t="s">
        <v>1571</v>
      </c>
      <c r="D15" s="0" t="n">
        <v>4</v>
      </c>
      <c r="E15" s="10" t="s">
        <v>1571</v>
      </c>
    </row>
    <row r="16" customFormat="false" ht="15" hidden="false" customHeight="false" outlineLevel="0" collapsed="false">
      <c r="A16" s="42" t="n">
        <v>46469.5416666667</v>
      </c>
      <c r="B16" s="10" t="s">
        <v>1748</v>
      </c>
      <c r="C16" s="10" t="s">
        <v>1571</v>
      </c>
      <c r="D16" s="0" t="n">
        <v>5</v>
      </c>
      <c r="E16" s="10" t="s">
        <v>1571</v>
      </c>
    </row>
    <row r="17" customFormat="false" ht="15" hidden="false" customHeight="false" outlineLevel="0" collapsed="false">
      <c r="A17" s="42" t="n">
        <v>46469.5479166667</v>
      </c>
      <c r="B17" s="10" t="s">
        <v>1745</v>
      </c>
      <c r="C17" s="10" t="s">
        <v>1571</v>
      </c>
      <c r="D17" s="0" t="n">
        <v>4</v>
      </c>
      <c r="E17" s="10" t="s">
        <v>1571</v>
      </c>
    </row>
    <row r="18" customFormat="false" ht="15" hidden="false" customHeight="false" outlineLevel="0" collapsed="false">
      <c r="A18" s="42" t="n">
        <v>46469.5513888889</v>
      </c>
      <c r="B18" s="10" t="s">
        <v>1743</v>
      </c>
      <c r="C18" s="10" t="s">
        <v>1571</v>
      </c>
      <c r="D18" s="0" t="n">
        <v>5</v>
      </c>
      <c r="E18" s="10" t="s">
        <v>1678</v>
      </c>
      <c r="G18" s="10" t="s">
        <v>1685</v>
      </c>
    </row>
    <row r="19" customFormat="false" ht="15" hidden="false" customHeight="false" outlineLevel="0" collapsed="false">
      <c r="A19" s="42" t="n">
        <v>46469.55625</v>
      </c>
      <c r="B19" s="10" t="s">
        <v>1743</v>
      </c>
      <c r="C19" s="10" t="s">
        <v>1571</v>
      </c>
      <c r="D19" s="0" t="n">
        <v>5</v>
      </c>
      <c r="E19" s="10" t="s">
        <v>1571</v>
      </c>
      <c r="G19" s="10" t="s">
        <v>1685</v>
      </c>
    </row>
    <row r="20" customFormat="false" ht="15" hidden="false" customHeight="false" outlineLevel="0" collapsed="false">
      <c r="A20" s="42" t="n">
        <v>46469.5763888889</v>
      </c>
      <c r="B20" s="10" t="s">
        <v>1742</v>
      </c>
      <c r="C20" s="10" t="s">
        <v>1554</v>
      </c>
      <c r="F20" s="10" t="s">
        <v>1679</v>
      </c>
    </row>
    <row r="21" customFormat="false" ht="15" hidden="false" customHeight="false" outlineLevel="0" collapsed="false">
      <c r="A21" s="42" t="n">
        <v>46469.5875</v>
      </c>
      <c r="B21" s="10" t="s">
        <v>1740</v>
      </c>
      <c r="C21" s="10" t="s">
        <v>1554</v>
      </c>
      <c r="F21" s="10" t="s">
        <v>1679</v>
      </c>
      <c r="G21" s="10" t="s">
        <v>1681</v>
      </c>
    </row>
    <row r="22" customFormat="false" ht="15" hidden="false" customHeight="false" outlineLevel="0" collapsed="false">
      <c r="A22" s="42" t="n">
        <v>46469.6645833333</v>
      </c>
      <c r="B22" s="10" t="s">
        <v>1745</v>
      </c>
      <c r="C22" s="10" t="s">
        <v>1554</v>
      </c>
      <c r="F22" s="10" t="s">
        <v>1683</v>
      </c>
    </row>
    <row r="23" customFormat="false" ht="15" hidden="false" customHeight="false" outlineLevel="0" collapsed="false">
      <c r="A23" s="42" t="n">
        <v>46469.6736111111</v>
      </c>
      <c r="B23" s="10" t="s">
        <v>1740</v>
      </c>
      <c r="C23" s="10" t="s">
        <v>1571</v>
      </c>
      <c r="D23" s="0" t="n">
        <v>3</v>
      </c>
      <c r="E23" s="10" t="s">
        <v>1554</v>
      </c>
      <c r="G23" s="10" t="s">
        <v>1685</v>
      </c>
    </row>
    <row r="24" customFormat="false" ht="15" hidden="false" customHeight="false" outlineLevel="0" collapsed="false">
      <c r="A24" s="42" t="n">
        <v>46469.6881944445</v>
      </c>
      <c r="B24" s="10" t="s">
        <v>1744</v>
      </c>
      <c r="C24" s="10" t="s">
        <v>1571</v>
      </c>
      <c r="D24" s="0" t="n">
        <v>4</v>
      </c>
      <c r="E24" s="10" t="s">
        <v>1678</v>
      </c>
    </row>
    <row r="25" customFormat="false" ht="15" hidden="false" customHeight="false" outlineLevel="0" collapsed="false">
      <c r="A25" s="42" t="n">
        <v>46469.7013888889</v>
      </c>
      <c r="B25" s="10" t="s">
        <v>1740</v>
      </c>
      <c r="C25" s="10" t="s">
        <v>1571</v>
      </c>
      <c r="D25" s="0" t="n">
        <v>4</v>
      </c>
      <c r="E25" s="10" t="s">
        <v>1554</v>
      </c>
      <c r="G25" s="10" t="s">
        <v>1681</v>
      </c>
    </row>
    <row r="26" customFormat="false" ht="15" hidden="false" customHeight="false" outlineLevel="0" collapsed="false">
      <c r="A26" s="42" t="n">
        <v>46470.3763888889</v>
      </c>
      <c r="B26" s="10" t="s">
        <v>1741</v>
      </c>
      <c r="C26" s="10" t="s">
        <v>1554</v>
      </c>
      <c r="F26" s="10" t="s">
        <v>1679</v>
      </c>
    </row>
    <row r="27" customFormat="false" ht="15" hidden="false" customHeight="false" outlineLevel="0" collapsed="false">
      <c r="A27" s="42" t="n">
        <v>46470.4215277778</v>
      </c>
      <c r="B27" s="10" t="s">
        <v>1747</v>
      </c>
      <c r="C27" s="10" t="s">
        <v>1571</v>
      </c>
      <c r="D27" s="0" t="n">
        <v>4</v>
      </c>
      <c r="E27" s="10" t="s">
        <v>1678</v>
      </c>
    </row>
    <row r="28" customFormat="false" ht="15" hidden="false" customHeight="false" outlineLevel="0" collapsed="false">
      <c r="A28" s="42" t="n">
        <v>46470.4305555556</v>
      </c>
      <c r="B28" s="10" t="s">
        <v>1746</v>
      </c>
      <c r="C28" s="10" t="s">
        <v>1554</v>
      </c>
      <c r="F28" s="10" t="s">
        <v>1683</v>
      </c>
      <c r="G28" s="10" t="s">
        <v>1684</v>
      </c>
    </row>
    <row r="29" customFormat="false" ht="15" hidden="false" customHeight="false" outlineLevel="0" collapsed="false">
      <c r="A29" s="42" t="n">
        <v>46470.4402777778</v>
      </c>
      <c r="B29" s="10" t="s">
        <v>1744</v>
      </c>
      <c r="C29" s="10" t="s">
        <v>1571</v>
      </c>
      <c r="D29" s="0" t="n">
        <v>4</v>
      </c>
      <c r="E29" s="10" t="s">
        <v>1678</v>
      </c>
    </row>
    <row r="30" customFormat="false" ht="15" hidden="false" customHeight="false" outlineLevel="0" collapsed="false">
      <c r="A30" s="42" t="n">
        <v>46470.4451388889</v>
      </c>
      <c r="B30" s="10" t="s">
        <v>1742</v>
      </c>
      <c r="C30" s="10" t="s">
        <v>1554</v>
      </c>
      <c r="F30" s="10" t="s">
        <v>1683</v>
      </c>
      <c r="G30" s="10" t="s">
        <v>1681</v>
      </c>
    </row>
    <row r="31" customFormat="false" ht="15" hidden="false" customHeight="false" outlineLevel="0" collapsed="false">
      <c r="A31" s="42" t="n">
        <v>46470.4527777778</v>
      </c>
      <c r="B31" s="10" t="s">
        <v>1746</v>
      </c>
      <c r="C31" s="10" t="s">
        <v>1571</v>
      </c>
      <c r="D31" s="0" t="n">
        <v>4</v>
      </c>
      <c r="E31" s="10" t="s">
        <v>1678</v>
      </c>
      <c r="G31" s="10" t="s">
        <v>492</v>
      </c>
    </row>
    <row r="32" customFormat="false" ht="15" hidden="false" customHeight="false" outlineLevel="0" collapsed="false">
      <c r="A32" s="42" t="n">
        <v>46470.4722222222</v>
      </c>
      <c r="B32" s="10" t="s">
        <v>1747</v>
      </c>
      <c r="C32" s="10" t="s">
        <v>1571</v>
      </c>
      <c r="D32" s="0" t="n">
        <v>4</v>
      </c>
      <c r="E32" s="10" t="s">
        <v>1571</v>
      </c>
    </row>
    <row r="33" customFormat="false" ht="15" hidden="false" customHeight="false" outlineLevel="0" collapsed="false">
      <c r="A33" s="42" t="n">
        <v>46470.48125</v>
      </c>
      <c r="B33" s="10" t="s">
        <v>1741</v>
      </c>
      <c r="C33" s="10" t="s">
        <v>1571</v>
      </c>
      <c r="D33" s="0" t="n">
        <v>5</v>
      </c>
      <c r="E33" s="10" t="s">
        <v>1571</v>
      </c>
      <c r="G33" s="10" t="s">
        <v>1685</v>
      </c>
    </row>
    <row r="34" customFormat="false" ht="15" hidden="false" customHeight="false" outlineLevel="0" collapsed="false">
      <c r="A34" s="42" t="n">
        <v>46470.4902777778</v>
      </c>
      <c r="B34" s="10" t="s">
        <v>1749</v>
      </c>
      <c r="C34" s="10" t="s">
        <v>1571</v>
      </c>
      <c r="D34" s="0" t="n">
        <v>4</v>
      </c>
      <c r="E34" s="10" t="s">
        <v>1678</v>
      </c>
      <c r="G34" s="10" t="s">
        <v>491</v>
      </c>
    </row>
    <row r="35" customFormat="false" ht="15" hidden="false" customHeight="false" outlineLevel="0" collapsed="false">
      <c r="A35" s="42" t="n">
        <v>46470.4916666667</v>
      </c>
      <c r="B35" s="10" t="s">
        <v>1743</v>
      </c>
      <c r="C35" s="10" t="s">
        <v>1571</v>
      </c>
      <c r="D35" s="0" t="n">
        <v>4</v>
      </c>
      <c r="E35" s="10" t="s">
        <v>1678</v>
      </c>
    </row>
    <row r="36" customFormat="false" ht="15" hidden="false" customHeight="false" outlineLevel="0" collapsed="false">
      <c r="A36" s="42" t="n">
        <v>46470.5034722222</v>
      </c>
      <c r="B36" s="10" t="s">
        <v>1742</v>
      </c>
      <c r="C36" s="10" t="s">
        <v>1554</v>
      </c>
      <c r="F36" s="10" t="s">
        <v>1683</v>
      </c>
    </row>
    <row r="37" customFormat="false" ht="15" hidden="false" customHeight="false" outlineLevel="0" collapsed="false">
      <c r="A37" s="42" t="n">
        <v>46470.5673611111</v>
      </c>
      <c r="B37" s="10" t="s">
        <v>1749</v>
      </c>
      <c r="C37" s="10" t="s">
        <v>1571</v>
      </c>
      <c r="D37" s="0" t="n">
        <v>5</v>
      </c>
      <c r="E37" s="10" t="s">
        <v>1678</v>
      </c>
    </row>
    <row r="38" customFormat="false" ht="15" hidden="false" customHeight="false" outlineLevel="0" collapsed="false">
      <c r="A38" s="42" t="n">
        <v>46470.6</v>
      </c>
      <c r="B38" s="10" t="s">
        <v>1743</v>
      </c>
      <c r="C38" s="10" t="s">
        <v>1571</v>
      </c>
      <c r="D38" s="0" t="n">
        <v>4</v>
      </c>
      <c r="E38" s="10" t="s">
        <v>1678</v>
      </c>
    </row>
    <row r="39" customFormat="false" ht="15" hidden="false" customHeight="false" outlineLevel="0" collapsed="false">
      <c r="A39" s="42" t="n">
        <v>46470.6138888889</v>
      </c>
      <c r="B39" s="10" t="s">
        <v>1744</v>
      </c>
      <c r="C39" s="10" t="s">
        <v>1554</v>
      </c>
      <c r="F39" s="10" t="s">
        <v>1679</v>
      </c>
    </row>
    <row r="40" customFormat="false" ht="15" hidden="false" customHeight="false" outlineLevel="0" collapsed="false">
      <c r="A40" s="42" t="n">
        <v>46470.6208333333</v>
      </c>
      <c r="B40" s="10" t="s">
        <v>1746</v>
      </c>
      <c r="C40" s="10" t="s">
        <v>1571</v>
      </c>
      <c r="D40" s="0" t="n">
        <v>5</v>
      </c>
      <c r="E40" s="10" t="s">
        <v>1678</v>
      </c>
    </row>
    <row r="41" customFormat="false" ht="15" hidden="false" customHeight="false" outlineLevel="0" collapsed="false">
      <c r="A41" s="42" t="n">
        <v>46470.6972222222</v>
      </c>
      <c r="B41" s="10" t="s">
        <v>1744</v>
      </c>
      <c r="C41" s="10" t="s">
        <v>1571</v>
      </c>
      <c r="D41" s="0" t="n">
        <v>4</v>
      </c>
      <c r="E41" s="10" t="s">
        <v>1571</v>
      </c>
    </row>
    <row r="42" customFormat="false" ht="15" hidden="false" customHeight="false" outlineLevel="0" collapsed="false">
      <c r="A42" s="42" t="n">
        <v>46470.7006944444</v>
      </c>
      <c r="B42" s="10" t="s">
        <v>1740</v>
      </c>
      <c r="C42" s="10" t="s">
        <v>1571</v>
      </c>
      <c r="D42" s="0" t="n">
        <v>5</v>
      </c>
      <c r="E42" s="10" t="s">
        <v>1571</v>
      </c>
    </row>
    <row r="43" customFormat="false" ht="15" hidden="false" customHeight="false" outlineLevel="0" collapsed="false">
      <c r="A43" s="42" t="n">
        <v>46470.7034722222</v>
      </c>
      <c r="B43" s="10" t="s">
        <v>1749</v>
      </c>
      <c r="C43" s="10" t="s">
        <v>1571</v>
      </c>
      <c r="D43" s="0" t="n">
        <v>4</v>
      </c>
      <c r="E43" s="10" t="s">
        <v>1678</v>
      </c>
    </row>
    <row r="44" customFormat="false" ht="15" hidden="false" customHeight="false" outlineLevel="0" collapsed="false">
      <c r="A44" s="42" t="n">
        <v>46471.4104166667</v>
      </c>
      <c r="B44" s="10" t="s">
        <v>1748</v>
      </c>
      <c r="C44" s="10" t="s">
        <v>1571</v>
      </c>
      <c r="D44" s="0" t="n">
        <v>5</v>
      </c>
      <c r="E44" s="10" t="s">
        <v>1571</v>
      </c>
    </row>
    <row r="45" customFormat="false" ht="15" hidden="false" customHeight="false" outlineLevel="0" collapsed="false">
      <c r="A45" s="42" t="n">
        <v>46471.4152777778</v>
      </c>
      <c r="B45" s="10" t="s">
        <v>1743</v>
      </c>
      <c r="C45" s="10" t="s">
        <v>1571</v>
      </c>
      <c r="D45" s="0" t="n">
        <v>4</v>
      </c>
      <c r="E45" s="10" t="s">
        <v>1678</v>
      </c>
    </row>
    <row r="46" customFormat="false" ht="15" hidden="false" customHeight="false" outlineLevel="0" collapsed="false">
      <c r="A46" s="42" t="n">
        <v>46471.4208333333</v>
      </c>
      <c r="B46" s="10" t="s">
        <v>1748</v>
      </c>
      <c r="C46" s="10" t="s">
        <v>1571</v>
      </c>
      <c r="D46" s="0" t="n">
        <v>5</v>
      </c>
      <c r="E46" s="10" t="s">
        <v>1571</v>
      </c>
    </row>
    <row r="47" customFormat="false" ht="15" hidden="false" customHeight="false" outlineLevel="0" collapsed="false">
      <c r="A47" s="42" t="n">
        <v>46471.4375</v>
      </c>
      <c r="B47" s="10" t="s">
        <v>1742</v>
      </c>
      <c r="C47" s="10" t="s">
        <v>1571</v>
      </c>
      <c r="D47" s="0" t="n">
        <v>5</v>
      </c>
      <c r="E47" s="10" t="s">
        <v>1571</v>
      </c>
    </row>
    <row r="48" customFormat="false" ht="15" hidden="false" customHeight="false" outlineLevel="0" collapsed="false">
      <c r="A48" s="42" t="n">
        <v>46471.4472222222</v>
      </c>
      <c r="B48" s="10" t="s">
        <v>1747</v>
      </c>
      <c r="C48" s="10" t="s">
        <v>1571</v>
      </c>
      <c r="D48" s="0" t="n">
        <v>5</v>
      </c>
      <c r="E48" s="10" t="s">
        <v>1571</v>
      </c>
    </row>
    <row r="49" customFormat="false" ht="15" hidden="false" customHeight="false" outlineLevel="0" collapsed="false">
      <c r="A49" s="42" t="n">
        <v>46471.4736111111</v>
      </c>
      <c r="B49" s="10" t="s">
        <v>1742</v>
      </c>
      <c r="C49" s="10" t="s">
        <v>1571</v>
      </c>
      <c r="D49" s="0" t="n">
        <v>3</v>
      </c>
      <c r="E49" s="10" t="s">
        <v>1554</v>
      </c>
    </row>
    <row r="50" customFormat="false" ht="15" hidden="false" customHeight="false" outlineLevel="0" collapsed="false">
      <c r="A50" s="42" t="n">
        <v>46471.4861111111</v>
      </c>
      <c r="B50" s="10" t="s">
        <v>1745</v>
      </c>
      <c r="C50" s="10" t="s">
        <v>1554</v>
      </c>
      <c r="F50" s="10" t="s">
        <v>1676</v>
      </c>
    </row>
    <row r="51" customFormat="false" ht="15" hidden="false" customHeight="false" outlineLevel="0" collapsed="false">
      <c r="A51" s="42" t="n">
        <v>46471.4902777778</v>
      </c>
      <c r="B51" s="10" t="s">
        <v>1745</v>
      </c>
      <c r="C51" s="10" t="s">
        <v>1571</v>
      </c>
      <c r="D51" s="0" t="n">
        <v>3</v>
      </c>
      <c r="E51" s="10" t="s">
        <v>1571</v>
      </c>
    </row>
    <row r="52" customFormat="false" ht="15" hidden="false" customHeight="false" outlineLevel="0" collapsed="false">
      <c r="A52" s="42" t="n">
        <v>46471.5527777778</v>
      </c>
      <c r="B52" s="10" t="s">
        <v>1744</v>
      </c>
      <c r="C52" s="10" t="s">
        <v>1571</v>
      </c>
      <c r="D52" s="0" t="n">
        <v>5</v>
      </c>
      <c r="E52" s="10" t="s">
        <v>1678</v>
      </c>
      <c r="G52" s="10" t="s">
        <v>511</v>
      </c>
    </row>
    <row r="53" customFormat="false" ht="15" hidden="false" customHeight="false" outlineLevel="0" collapsed="false">
      <c r="A53" s="42" t="n">
        <v>46471.5805555556</v>
      </c>
      <c r="B53" s="10" t="s">
        <v>1749</v>
      </c>
      <c r="C53" s="10" t="s">
        <v>1554</v>
      </c>
      <c r="F53" s="10" t="s">
        <v>1683</v>
      </c>
    </row>
    <row r="54" customFormat="false" ht="15" hidden="false" customHeight="false" outlineLevel="0" collapsed="false">
      <c r="A54" s="42" t="n">
        <v>46471.5847222222</v>
      </c>
      <c r="B54" s="10" t="s">
        <v>1744</v>
      </c>
      <c r="C54" s="10" t="s">
        <v>1554</v>
      </c>
      <c r="F54" s="10" t="s">
        <v>1683</v>
      </c>
      <c r="G54" s="10" t="s">
        <v>512</v>
      </c>
    </row>
    <row r="55" customFormat="false" ht="15" hidden="false" customHeight="false" outlineLevel="0" collapsed="false">
      <c r="A55" s="42" t="n">
        <v>46471.6055555556</v>
      </c>
      <c r="B55" s="10" t="s">
        <v>1746</v>
      </c>
      <c r="C55" s="10" t="s">
        <v>1554</v>
      </c>
      <c r="F55" s="10" t="s">
        <v>1683</v>
      </c>
    </row>
    <row r="56" customFormat="false" ht="15" hidden="false" customHeight="false" outlineLevel="0" collapsed="false">
      <c r="A56" s="42" t="n">
        <v>46471.6180555556</v>
      </c>
      <c r="B56" s="10" t="s">
        <v>1741</v>
      </c>
      <c r="C56" s="10" t="s">
        <v>1571</v>
      </c>
      <c r="D56" s="0" t="n">
        <v>3</v>
      </c>
      <c r="E56" s="10" t="s">
        <v>1678</v>
      </c>
      <c r="G56" s="10" t="s">
        <v>491</v>
      </c>
    </row>
    <row r="57" customFormat="false" ht="15" hidden="false" customHeight="false" outlineLevel="0" collapsed="false">
      <c r="A57" s="42" t="n">
        <v>46471.6375</v>
      </c>
      <c r="B57" s="10" t="s">
        <v>1745</v>
      </c>
      <c r="C57" s="10" t="s">
        <v>1571</v>
      </c>
      <c r="D57" s="0" t="n">
        <v>3</v>
      </c>
      <c r="E57" s="10" t="s">
        <v>1571</v>
      </c>
    </row>
    <row r="58" customFormat="false" ht="15" hidden="false" customHeight="false" outlineLevel="0" collapsed="false">
      <c r="A58" s="42" t="n">
        <v>46471.6451388889</v>
      </c>
      <c r="B58" s="10" t="s">
        <v>1745</v>
      </c>
      <c r="C58" s="10" t="s">
        <v>1554</v>
      </c>
      <c r="F58" s="10" t="s">
        <v>1683</v>
      </c>
      <c r="G58" s="10" t="s">
        <v>1681</v>
      </c>
    </row>
    <row r="59" customFormat="false" ht="15" hidden="false" customHeight="false" outlineLevel="0" collapsed="false">
      <c r="A59" s="42" t="n">
        <v>46471.6986111111</v>
      </c>
      <c r="B59" s="10" t="s">
        <v>1741</v>
      </c>
      <c r="C59" s="10" t="s">
        <v>1571</v>
      </c>
      <c r="D59" s="0" t="n">
        <v>3</v>
      </c>
      <c r="E59" s="10" t="s">
        <v>1678</v>
      </c>
      <c r="G59" s="10" t="s">
        <v>492</v>
      </c>
    </row>
    <row r="60" customFormat="false" ht="15" hidden="false" customHeight="false" outlineLevel="0" collapsed="false">
      <c r="A60" s="42" t="n">
        <v>46471.6993055556</v>
      </c>
      <c r="B60" s="10" t="s">
        <v>1743</v>
      </c>
      <c r="C60" s="10" t="s">
        <v>1571</v>
      </c>
      <c r="D60" s="0" t="n">
        <v>4</v>
      </c>
      <c r="E60" s="10" t="s">
        <v>1678</v>
      </c>
      <c r="G60" s="10" t="s">
        <v>491</v>
      </c>
    </row>
    <row r="61" customFormat="false" ht="15" hidden="false" customHeight="false" outlineLevel="0" collapsed="false">
      <c r="A61" s="42" t="n">
        <v>46472.5916666667</v>
      </c>
      <c r="B61" s="10" t="s">
        <v>1745</v>
      </c>
      <c r="C61" s="10" t="s">
        <v>1571</v>
      </c>
      <c r="D61" s="0" t="n">
        <v>4</v>
      </c>
      <c r="E61" s="10" t="s">
        <v>1678</v>
      </c>
    </row>
    <row r="62" customFormat="false" ht="15" hidden="false" customHeight="false" outlineLevel="0" collapsed="false">
      <c r="A62" s="42" t="n">
        <v>46472.6034722222</v>
      </c>
      <c r="B62" s="10" t="s">
        <v>1748</v>
      </c>
      <c r="C62" s="10" t="s">
        <v>1571</v>
      </c>
      <c r="D62" s="0" t="n">
        <v>5</v>
      </c>
      <c r="E62" s="10" t="s">
        <v>1571</v>
      </c>
    </row>
    <row r="63" customFormat="false" ht="15" hidden="false" customHeight="false" outlineLevel="0" collapsed="false">
      <c r="A63" s="42" t="n">
        <v>46472.625</v>
      </c>
      <c r="B63" s="10" t="s">
        <v>1743</v>
      </c>
      <c r="C63" s="10" t="s">
        <v>1571</v>
      </c>
      <c r="D63" s="0" t="n">
        <v>5</v>
      </c>
      <c r="E63" s="10" t="s">
        <v>1678</v>
      </c>
    </row>
    <row r="64" customFormat="false" ht="15" hidden="false" customHeight="false" outlineLevel="0" collapsed="false">
      <c r="A64" s="42" t="n">
        <v>46472.6673611111</v>
      </c>
      <c r="B64" s="10" t="s">
        <v>1746</v>
      </c>
      <c r="C64" s="10" t="s">
        <v>1571</v>
      </c>
      <c r="D64" s="0" t="n">
        <v>3</v>
      </c>
      <c r="E64" s="10" t="s">
        <v>1571</v>
      </c>
    </row>
    <row r="65" customFormat="false" ht="15" hidden="false" customHeight="false" outlineLevel="0" collapsed="false">
      <c r="A65" s="42" t="n">
        <v>46472.6680555556</v>
      </c>
      <c r="B65" s="10" t="s">
        <v>1742</v>
      </c>
      <c r="C65" s="10" t="s">
        <v>1554</v>
      </c>
      <c r="F65" s="10" t="s">
        <v>1683</v>
      </c>
    </row>
    <row r="66" customFormat="false" ht="15" hidden="false" customHeight="false" outlineLevel="0" collapsed="false">
      <c r="A66" s="42" t="n">
        <v>46475.5458333333</v>
      </c>
      <c r="B66" s="10" t="s">
        <v>1747</v>
      </c>
      <c r="C66" s="10" t="s">
        <v>1571</v>
      </c>
      <c r="D66" s="0" t="n">
        <v>3</v>
      </c>
      <c r="E66" s="10" t="s">
        <v>1678</v>
      </c>
    </row>
    <row r="67" customFormat="false" ht="15" hidden="false" customHeight="false" outlineLevel="0" collapsed="false">
      <c r="A67" s="42" t="n">
        <v>46475.6875</v>
      </c>
      <c r="B67" s="10" t="s">
        <v>1749</v>
      </c>
      <c r="C67" s="10" t="s">
        <v>1571</v>
      </c>
      <c r="D67" s="0" t="n">
        <v>5</v>
      </c>
      <c r="E67"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1694</v>
      </c>
      <c r="D1" s="41" t="s">
        <v>1666</v>
      </c>
      <c r="E1" s="41" t="s">
        <v>1667</v>
      </c>
      <c r="F1" s="41" t="s">
        <v>1668</v>
      </c>
      <c r="G1" s="41" t="s">
        <v>1695</v>
      </c>
    </row>
    <row r="2" customFormat="false" ht="15" hidden="false" customHeight="false" outlineLevel="0" collapsed="false">
      <c r="A2" s="42" t="n">
        <v>46469.3833333333</v>
      </c>
      <c r="B2" s="10" t="s">
        <v>1750</v>
      </c>
      <c r="C2" s="10" t="s">
        <v>1571</v>
      </c>
      <c r="D2" s="0" t="n">
        <v>4</v>
      </c>
      <c r="E2" s="10" t="s">
        <v>1554</v>
      </c>
      <c r="G2" s="10" t="s">
        <v>587</v>
      </c>
    </row>
    <row r="3" customFormat="false" ht="15" hidden="false" customHeight="false" outlineLevel="0" collapsed="false">
      <c r="A3" s="42" t="n">
        <v>46469.4125</v>
      </c>
      <c r="B3" s="10" t="s">
        <v>1751</v>
      </c>
      <c r="C3" s="10" t="s">
        <v>1554</v>
      </c>
      <c r="F3" s="10" t="s">
        <v>1676</v>
      </c>
    </row>
    <row r="4" customFormat="false" ht="15" hidden="false" customHeight="false" outlineLevel="0" collapsed="false">
      <c r="A4" s="42" t="n">
        <v>46469.4298611111</v>
      </c>
      <c r="B4" s="10" t="s">
        <v>1752</v>
      </c>
      <c r="C4" s="10" t="s">
        <v>1571</v>
      </c>
      <c r="D4" s="0" t="n">
        <v>4</v>
      </c>
      <c r="E4" s="10" t="s">
        <v>1571</v>
      </c>
      <c r="G4" s="10" t="s">
        <v>588</v>
      </c>
    </row>
    <row r="5" customFormat="false" ht="15" hidden="false" customHeight="false" outlineLevel="0" collapsed="false">
      <c r="A5" s="42" t="n">
        <v>46469.4319444444</v>
      </c>
      <c r="B5" s="10" t="s">
        <v>1750</v>
      </c>
      <c r="C5" s="10" t="s">
        <v>1571</v>
      </c>
      <c r="D5" s="0" t="n">
        <v>5</v>
      </c>
      <c r="E5" s="10" t="s">
        <v>1678</v>
      </c>
      <c r="G5" s="10" t="s">
        <v>589</v>
      </c>
    </row>
    <row r="6" customFormat="false" ht="15" hidden="false" customHeight="false" outlineLevel="0" collapsed="false">
      <c r="A6" s="42" t="n">
        <v>46469.4618055556</v>
      </c>
      <c r="B6" s="10" t="s">
        <v>1753</v>
      </c>
      <c r="C6" s="10" t="s">
        <v>1554</v>
      </c>
      <c r="F6" s="10" t="s">
        <v>1679</v>
      </c>
    </row>
    <row r="7" customFormat="false" ht="15" hidden="false" customHeight="false" outlineLevel="0" collapsed="false">
      <c r="A7" s="42" t="n">
        <v>46469.4625</v>
      </c>
      <c r="B7" s="10" t="s">
        <v>1752</v>
      </c>
      <c r="C7" s="10" t="s">
        <v>1571</v>
      </c>
      <c r="D7" s="0" t="n">
        <v>5</v>
      </c>
      <c r="E7" s="10" t="s">
        <v>1678</v>
      </c>
    </row>
    <row r="8" customFormat="false" ht="15" hidden="false" customHeight="false" outlineLevel="0" collapsed="false">
      <c r="A8" s="42" t="n">
        <v>46469.4951388889</v>
      </c>
      <c r="B8" s="10" t="s">
        <v>1754</v>
      </c>
      <c r="C8" s="10" t="s">
        <v>1554</v>
      </c>
      <c r="F8" s="10" t="s">
        <v>1683</v>
      </c>
      <c r="G8" s="10" t="s">
        <v>1685</v>
      </c>
    </row>
    <row r="9" customFormat="false" ht="15" hidden="false" customHeight="false" outlineLevel="0" collapsed="false">
      <c r="A9" s="42" t="n">
        <v>46469.5208333333</v>
      </c>
      <c r="B9" s="10" t="s">
        <v>1755</v>
      </c>
      <c r="C9" s="10" t="s">
        <v>1571</v>
      </c>
      <c r="D9" s="0" t="n">
        <v>4</v>
      </c>
      <c r="E9" s="10" t="s">
        <v>1678</v>
      </c>
    </row>
    <row r="10" customFormat="false" ht="15" hidden="false" customHeight="false" outlineLevel="0" collapsed="false">
      <c r="A10" s="42" t="n">
        <v>46469.5472222222</v>
      </c>
      <c r="B10" s="10" t="s">
        <v>1756</v>
      </c>
      <c r="C10" s="10" t="s">
        <v>1571</v>
      </c>
      <c r="D10" s="0" t="n">
        <v>4</v>
      </c>
      <c r="E10" s="10" t="s">
        <v>1554</v>
      </c>
    </row>
    <row r="11" customFormat="false" ht="15" hidden="false" customHeight="false" outlineLevel="0" collapsed="false">
      <c r="A11" s="42" t="n">
        <v>46469.5576388889</v>
      </c>
      <c r="B11" s="10" t="s">
        <v>1757</v>
      </c>
      <c r="C11" s="10" t="s">
        <v>1571</v>
      </c>
      <c r="D11" s="0" t="n">
        <v>3</v>
      </c>
      <c r="E11" s="10" t="s">
        <v>1554</v>
      </c>
      <c r="G11" s="10" t="s">
        <v>1685</v>
      </c>
    </row>
    <row r="12" customFormat="false" ht="15" hidden="false" customHeight="false" outlineLevel="0" collapsed="false">
      <c r="A12" s="42" t="n">
        <v>46469.5694444445</v>
      </c>
      <c r="B12" s="10" t="s">
        <v>1757</v>
      </c>
      <c r="C12" s="10" t="s">
        <v>1571</v>
      </c>
      <c r="D12" s="0" t="n">
        <v>4</v>
      </c>
      <c r="E12" s="10" t="s">
        <v>1571</v>
      </c>
      <c r="G12" s="10" t="s">
        <v>1684</v>
      </c>
    </row>
    <row r="13" customFormat="false" ht="15" hidden="false" customHeight="false" outlineLevel="0" collapsed="false">
      <c r="A13" s="42" t="n">
        <v>46469.58125</v>
      </c>
      <c r="B13" s="10" t="s">
        <v>1751</v>
      </c>
      <c r="C13" s="10" t="s">
        <v>1571</v>
      </c>
      <c r="D13" s="0" t="n">
        <v>4</v>
      </c>
      <c r="E13" s="10" t="s">
        <v>1554</v>
      </c>
    </row>
    <row r="14" customFormat="false" ht="15" hidden="false" customHeight="false" outlineLevel="0" collapsed="false">
      <c r="A14" s="42" t="n">
        <v>46469.6006944445</v>
      </c>
      <c r="B14" s="10" t="s">
        <v>1752</v>
      </c>
      <c r="C14" s="10" t="s">
        <v>1554</v>
      </c>
      <c r="F14" s="10" t="s">
        <v>1683</v>
      </c>
    </row>
    <row r="15" customFormat="false" ht="15" hidden="false" customHeight="false" outlineLevel="0" collapsed="false">
      <c r="A15" s="42" t="n">
        <v>46469.6034722222</v>
      </c>
      <c r="B15" s="10" t="s">
        <v>1756</v>
      </c>
      <c r="C15" s="10" t="s">
        <v>1571</v>
      </c>
      <c r="D15" s="0" t="n">
        <v>4</v>
      </c>
      <c r="E15" s="10" t="s">
        <v>1571</v>
      </c>
    </row>
    <row r="16" customFormat="false" ht="15" hidden="false" customHeight="false" outlineLevel="0" collapsed="false">
      <c r="A16" s="42" t="n">
        <v>46469.6131944444</v>
      </c>
      <c r="B16" s="10" t="s">
        <v>1758</v>
      </c>
      <c r="C16" s="10" t="s">
        <v>1571</v>
      </c>
      <c r="D16" s="0" t="n">
        <v>5</v>
      </c>
      <c r="E16" s="10" t="s">
        <v>1678</v>
      </c>
    </row>
    <row r="17" customFormat="false" ht="15" hidden="false" customHeight="false" outlineLevel="0" collapsed="false">
      <c r="A17" s="42" t="n">
        <v>46469.6180555556</v>
      </c>
      <c r="B17" s="10" t="s">
        <v>1759</v>
      </c>
      <c r="C17" s="10" t="s">
        <v>1571</v>
      </c>
      <c r="D17" s="0" t="n">
        <v>4</v>
      </c>
      <c r="E17" s="10" t="s">
        <v>1571</v>
      </c>
    </row>
    <row r="18" customFormat="false" ht="15" hidden="false" customHeight="false" outlineLevel="0" collapsed="false">
      <c r="A18" s="42" t="n">
        <v>46469.625</v>
      </c>
      <c r="B18" s="10" t="s">
        <v>1754</v>
      </c>
      <c r="C18" s="10" t="s">
        <v>1571</v>
      </c>
      <c r="D18" s="0" t="n">
        <v>4</v>
      </c>
      <c r="E18" s="10" t="s">
        <v>1678</v>
      </c>
    </row>
    <row r="19" customFormat="false" ht="15" hidden="false" customHeight="false" outlineLevel="0" collapsed="false">
      <c r="A19" s="42" t="n">
        <v>46469.6458333333</v>
      </c>
      <c r="B19" s="10" t="s">
        <v>1751</v>
      </c>
      <c r="C19" s="10" t="s">
        <v>1554</v>
      </c>
      <c r="F19" s="10" t="s">
        <v>1679</v>
      </c>
    </row>
    <row r="20" customFormat="false" ht="15" hidden="false" customHeight="false" outlineLevel="0" collapsed="false">
      <c r="A20" s="42" t="n">
        <v>46469.6902777778</v>
      </c>
      <c r="B20" s="10" t="s">
        <v>1757</v>
      </c>
      <c r="C20" s="10" t="s">
        <v>1554</v>
      </c>
      <c r="F20" s="10" t="s">
        <v>1676</v>
      </c>
    </row>
    <row r="21" customFormat="false" ht="15" hidden="false" customHeight="false" outlineLevel="0" collapsed="false">
      <c r="A21" s="42" t="n">
        <v>46470.3875</v>
      </c>
      <c r="B21" s="10" t="s">
        <v>1759</v>
      </c>
      <c r="C21" s="10" t="s">
        <v>1571</v>
      </c>
      <c r="D21" s="0" t="n">
        <v>4</v>
      </c>
      <c r="E21" s="10" t="s">
        <v>1678</v>
      </c>
    </row>
    <row r="22" customFormat="false" ht="15" hidden="false" customHeight="false" outlineLevel="0" collapsed="false">
      <c r="A22" s="42" t="n">
        <v>46470.4027777778</v>
      </c>
      <c r="B22" s="10" t="s">
        <v>1753</v>
      </c>
      <c r="C22" s="10" t="s">
        <v>1554</v>
      </c>
      <c r="F22" s="10" t="s">
        <v>1679</v>
      </c>
      <c r="G22" s="10" t="s">
        <v>1760</v>
      </c>
    </row>
    <row r="23" customFormat="false" ht="15" hidden="false" customHeight="false" outlineLevel="0" collapsed="false">
      <c r="A23" s="42" t="n">
        <v>46470.4048611111</v>
      </c>
      <c r="B23" s="10" t="s">
        <v>1751</v>
      </c>
      <c r="C23" s="10" t="s">
        <v>1554</v>
      </c>
      <c r="F23" s="10" t="s">
        <v>1676</v>
      </c>
      <c r="G23" s="10" t="s">
        <v>1685</v>
      </c>
    </row>
    <row r="24" customFormat="false" ht="15" hidden="false" customHeight="false" outlineLevel="0" collapsed="false">
      <c r="A24" s="42" t="n">
        <v>46470.4055555556</v>
      </c>
      <c r="B24" s="10" t="s">
        <v>1758</v>
      </c>
      <c r="C24" s="10" t="s">
        <v>1571</v>
      </c>
      <c r="D24" s="0" t="n">
        <v>5</v>
      </c>
      <c r="E24" s="10" t="s">
        <v>1554</v>
      </c>
      <c r="G24" s="10" t="s">
        <v>511</v>
      </c>
    </row>
    <row r="25" customFormat="false" ht="15" hidden="false" customHeight="false" outlineLevel="0" collapsed="false">
      <c r="A25" s="42" t="n">
        <v>46470.4111111111</v>
      </c>
      <c r="B25" s="10" t="s">
        <v>1759</v>
      </c>
      <c r="C25" s="10" t="s">
        <v>1554</v>
      </c>
      <c r="F25" s="10" t="s">
        <v>1679</v>
      </c>
      <c r="G25" s="10" t="s">
        <v>1681</v>
      </c>
    </row>
    <row r="26" customFormat="false" ht="15" hidden="false" customHeight="false" outlineLevel="0" collapsed="false">
      <c r="A26" s="42" t="n">
        <v>46470.4270833333</v>
      </c>
      <c r="B26" s="10" t="s">
        <v>1757</v>
      </c>
      <c r="C26" s="10" t="s">
        <v>1571</v>
      </c>
      <c r="D26" s="0" t="n">
        <v>5</v>
      </c>
      <c r="E26" s="10" t="s">
        <v>1678</v>
      </c>
      <c r="G26" s="10" t="s">
        <v>491</v>
      </c>
    </row>
    <row r="27" customFormat="false" ht="15" hidden="false" customHeight="false" outlineLevel="0" collapsed="false">
      <c r="A27" s="42" t="n">
        <v>46470.4541666667</v>
      </c>
      <c r="B27" s="10" t="s">
        <v>1756</v>
      </c>
      <c r="C27" s="10" t="s">
        <v>1571</v>
      </c>
      <c r="D27" s="0" t="n">
        <v>4</v>
      </c>
      <c r="E27" s="10" t="s">
        <v>1571</v>
      </c>
    </row>
    <row r="28" customFormat="false" ht="15" hidden="false" customHeight="false" outlineLevel="0" collapsed="false">
      <c r="A28" s="42" t="n">
        <v>46470.45625</v>
      </c>
      <c r="B28" s="10" t="s">
        <v>1751</v>
      </c>
      <c r="C28" s="10" t="s">
        <v>1554</v>
      </c>
      <c r="F28" s="10" t="s">
        <v>1683</v>
      </c>
    </row>
    <row r="29" customFormat="false" ht="15" hidden="false" customHeight="false" outlineLevel="0" collapsed="false">
      <c r="A29" s="42" t="n">
        <v>46470.4819444444</v>
      </c>
      <c r="B29" s="10" t="s">
        <v>1752</v>
      </c>
      <c r="C29" s="10" t="s">
        <v>1571</v>
      </c>
      <c r="D29" s="0" t="n">
        <v>4</v>
      </c>
      <c r="E29" s="10" t="s">
        <v>1678</v>
      </c>
    </row>
    <row r="30" customFormat="false" ht="15" hidden="false" customHeight="false" outlineLevel="0" collapsed="false">
      <c r="A30" s="42" t="n">
        <v>46470.50625</v>
      </c>
      <c r="B30" s="10" t="s">
        <v>1750</v>
      </c>
      <c r="C30" s="10" t="s">
        <v>1571</v>
      </c>
      <c r="D30" s="0" t="n">
        <v>5</v>
      </c>
      <c r="E30" s="10" t="s">
        <v>1678</v>
      </c>
    </row>
    <row r="31" customFormat="false" ht="15" hidden="false" customHeight="false" outlineLevel="0" collapsed="false">
      <c r="A31" s="42" t="n">
        <v>46470.5256944444</v>
      </c>
      <c r="B31" s="10" t="s">
        <v>1755</v>
      </c>
      <c r="C31" s="10" t="s">
        <v>1571</v>
      </c>
      <c r="D31" s="0" t="n">
        <v>5</v>
      </c>
      <c r="E31" s="10" t="s">
        <v>1554</v>
      </c>
    </row>
    <row r="32" customFormat="false" ht="15" hidden="false" customHeight="false" outlineLevel="0" collapsed="false">
      <c r="A32" s="42" t="n">
        <v>46470.5430555556</v>
      </c>
      <c r="B32" s="10" t="s">
        <v>1759</v>
      </c>
      <c r="C32" s="10" t="s">
        <v>1571</v>
      </c>
      <c r="D32" s="0" t="n">
        <v>4</v>
      </c>
      <c r="E32" s="10" t="s">
        <v>1571</v>
      </c>
    </row>
    <row r="33" customFormat="false" ht="15" hidden="false" customHeight="false" outlineLevel="0" collapsed="false">
      <c r="A33" s="42" t="n">
        <v>46470.5520833333</v>
      </c>
      <c r="B33" s="10" t="s">
        <v>1754</v>
      </c>
      <c r="C33" s="10" t="s">
        <v>1571</v>
      </c>
      <c r="D33" s="0" t="n">
        <v>5</v>
      </c>
      <c r="E33" s="10" t="s">
        <v>1678</v>
      </c>
    </row>
    <row r="34" customFormat="false" ht="15" hidden="false" customHeight="false" outlineLevel="0" collapsed="false">
      <c r="A34" s="42" t="n">
        <v>46470.55625</v>
      </c>
      <c r="B34" s="10" t="s">
        <v>1750</v>
      </c>
      <c r="C34" s="10" t="s">
        <v>1554</v>
      </c>
      <c r="F34" s="10" t="s">
        <v>1676</v>
      </c>
      <c r="G34" s="10" t="s">
        <v>511</v>
      </c>
    </row>
    <row r="35" customFormat="false" ht="15" hidden="false" customHeight="false" outlineLevel="0" collapsed="false">
      <c r="A35" s="42" t="n">
        <v>46470.5631944445</v>
      </c>
      <c r="B35" s="10" t="s">
        <v>1757</v>
      </c>
      <c r="C35" s="10" t="s">
        <v>1571</v>
      </c>
      <c r="D35" s="0" t="n">
        <v>5</v>
      </c>
      <c r="E35" s="10" t="s">
        <v>1678</v>
      </c>
    </row>
    <row r="36" customFormat="false" ht="15" hidden="false" customHeight="false" outlineLevel="0" collapsed="false">
      <c r="A36" s="42" t="n">
        <v>46470.6277777778</v>
      </c>
      <c r="B36" s="10" t="s">
        <v>1752</v>
      </c>
      <c r="C36" s="10" t="s">
        <v>1554</v>
      </c>
      <c r="F36" s="10" t="s">
        <v>1683</v>
      </c>
    </row>
    <row r="37" customFormat="false" ht="15" hidden="false" customHeight="false" outlineLevel="0" collapsed="false">
      <c r="A37" s="42" t="n">
        <v>46470.6506944444</v>
      </c>
      <c r="B37" s="10" t="s">
        <v>1758</v>
      </c>
      <c r="C37" s="10" t="s">
        <v>1554</v>
      </c>
      <c r="F37" s="10" t="s">
        <v>1683</v>
      </c>
    </row>
    <row r="38" customFormat="false" ht="15" hidden="false" customHeight="false" outlineLevel="0" collapsed="false">
      <c r="A38" s="42" t="n">
        <v>46470.6597222222</v>
      </c>
      <c r="B38" s="10" t="s">
        <v>1757</v>
      </c>
      <c r="C38" s="10" t="s">
        <v>1554</v>
      </c>
      <c r="F38" s="10" t="s">
        <v>1683</v>
      </c>
    </row>
    <row r="39" customFormat="false" ht="15" hidden="false" customHeight="false" outlineLevel="0" collapsed="false">
      <c r="A39" s="42" t="n">
        <v>46470.6645833333</v>
      </c>
      <c r="B39" s="10" t="s">
        <v>1758</v>
      </c>
      <c r="C39" s="10" t="s">
        <v>1571</v>
      </c>
      <c r="D39" s="0" t="n">
        <v>5</v>
      </c>
      <c r="E39" s="10" t="s">
        <v>1678</v>
      </c>
    </row>
    <row r="40" customFormat="false" ht="15" hidden="false" customHeight="false" outlineLevel="0" collapsed="false">
      <c r="A40" s="42" t="n">
        <v>46470.6770833333</v>
      </c>
      <c r="B40" s="10" t="s">
        <v>1759</v>
      </c>
      <c r="C40" s="10" t="s">
        <v>1571</v>
      </c>
      <c r="D40" s="0" t="n">
        <v>5</v>
      </c>
      <c r="E40" s="10" t="s">
        <v>1571</v>
      </c>
    </row>
    <row r="41" customFormat="false" ht="15" hidden="false" customHeight="false" outlineLevel="0" collapsed="false">
      <c r="A41" s="42" t="n">
        <v>46471.3854166667</v>
      </c>
      <c r="B41" s="10" t="s">
        <v>1757</v>
      </c>
      <c r="C41" s="10" t="s">
        <v>1571</v>
      </c>
      <c r="D41" s="0" t="n">
        <v>4</v>
      </c>
      <c r="E41" s="10" t="s">
        <v>1554</v>
      </c>
      <c r="G41" s="10" t="s">
        <v>491</v>
      </c>
    </row>
    <row r="42" customFormat="false" ht="15" hidden="false" customHeight="false" outlineLevel="0" collapsed="false">
      <c r="A42" s="42" t="n">
        <v>46471.4041666667</v>
      </c>
      <c r="B42" s="10" t="s">
        <v>1759</v>
      </c>
      <c r="C42" s="10" t="s">
        <v>1571</v>
      </c>
      <c r="D42" s="0" t="n">
        <v>5</v>
      </c>
      <c r="E42" s="10" t="s">
        <v>1554</v>
      </c>
    </row>
    <row r="43" customFormat="false" ht="15" hidden="false" customHeight="false" outlineLevel="0" collapsed="false">
      <c r="A43" s="42" t="n">
        <v>46471.4104166667</v>
      </c>
      <c r="B43" s="10" t="s">
        <v>1750</v>
      </c>
      <c r="C43" s="10" t="s">
        <v>1571</v>
      </c>
      <c r="D43" s="0" t="n">
        <v>4</v>
      </c>
      <c r="E43" s="10" t="s">
        <v>1571</v>
      </c>
    </row>
    <row r="44" customFormat="false" ht="15" hidden="false" customHeight="false" outlineLevel="0" collapsed="false">
      <c r="A44" s="42" t="n">
        <v>46471.4131944445</v>
      </c>
      <c r="B44" s="10" t="s">
        <v>1759</v>
      </c>
      <c r="C44" s="10" t="s">
        <v>1571</v>
      </c>
      <c r="D44" s="0" t="n">
        <v>5</v>
      </c>
      <c r="E44" s="10" t="s">
        <v>1554</v>
      </c>
    </row>
    <row r="45" customFormat="false" ht="15" hidden="false" customHeight="false" outlineLevel="0" collapsed="false">
      <c r="A45" s="42" t="n">
        <v>46471.4645833333</v>
      </c>
      <c r="B45" s="10" t="s">
        <v>1756</v>
      </c>
      <c r="C45" s="10" t="s">
        <v>1571</v>
      </c>
      <c r="D45" s="0" t="n">
        <v>3</v>
      </c>
      <c r="E45" s="10" t="s">
        <v>1678</v>
      </c>
    </row>
    <row r="46" customFormat="false" ht="15" hidden="false" customHeight="false" outlineLevel="0" collapsed="false">
      <c r="A46" s="42" t="n">
        <v>46471.4763888889</v>
      </c>
      <c r="B46" s="10" t="s">
        <v>1751</v>
      </c>
      <c r="C46" s="10" t="s">
        <v>1571</v>
      </c>
      <c r="D46" s="0" t="n">
        <v>3</v>
      </c>
      <c r="E46" s="10" t="s">
        <v>1571</v>
      </c>
    </row>
    <row r="47" customFormat="false" ht="15" hidden="false" customHeight="false" outlineLevel="0" collapsed="false">
      <c r="A47" s="42" t="n">
        <v>46471.5159722222</v>
      </c>
      <c r="B47" s="10" t="s">
        <v>1758</v>
      </c>
      <c r="C47" s="10" t="s">
        <v>1571</v>
      </c>
      <c r="D47" s="0" t="n">
        <v>5</v>
      </c>
      <c r="E47" s="10" t="s">
        <v>1571</v>
      </c>
      <c r="G47" s="10" t="s">
        <v>512</v>
      </c>
    </row>
    <row r="48" customFormat="false" ht="15" hidden="false" customHeight="false" outlineLevel="0" collapsed="false">
      <c r="A48" s="42" t="n">
        <v>46471.5208333333</v>
      </c>
      <c r="B48" s="10" t="s">
        <v>1751</v>
      </c>
      <c r="C48" s="10" t="s">
        <v>1571</v>
      </c>
      <c r="D48" s="0" t="n">
        <v>4</v>
      </c>
      <c r="E48" s="10" t="s">
        <v>1678</v>
      </c>
      <c r="G48" s="10" t="s">
        <v>1685</v>
      </c>
    </row>
    <row r="49" customFormat="false" ht="15" hidden="false" customHeight="false" outlineLevel="0" collapsed="false">
      <c r="A49" s="42" t="n">
        <v>46471.5729166667</v>
      </c>
      <c r="B49" s="10" t="s">
        <v>1754</v>
      </c>
      <c r="C49" s="10" t="s">
        <v>1554</v>
      </c>
      <c r="F49" s="10" t="s">
        <v>1679</v>
      </c>
      <c r="G49" s="10" t="s">
        <v>1684</v>
      </c>
    </row>
    <row r="50" customFormat="false" ht="15" hidden="false" customHeight="false" outlineLevel="0" collapsed="false">
      <c r="A50" s="42" t="n">
        <v>46471.5805555556</v>
      </c>
      <c r="B50" s="10" t="s">
        <v>1754</v>
      </c>
      <c r="C50" s="10" t="s">
        <v>1571</v>
      </c>
      <c r="D50" s="0" t="n">
        <v>5</v>
      </c>
      <c r="E50" s="10" t="s">
        <v>1554</v>
      </c>
    </row>
    <row r="51" customFormat="false" ht="15" hidden="false" customHeight="false" outlineLevel="0" collapsed="false">
      <c r="A51" s="42" t="n">
        <v>46471.5958333333</v>
      </c>
      <c r="B51" s="10" t="s">
        <v>1751</v>
      </c>
      <c r="C51" s="10" t="s">
        <v>1571</v>
      </c>
      <c r="D51" s="0" t="n">
        <v>4</v>
      </c>
      <c r="E51" s="10" t="s">
        <v>1678</v>
      </c>
    </row>
    <row r="52" customFormat="false" ht="15" hidden="false" customHeight="false" outlineLevel="0" collapsed="false">
      <c r="A52" s="42" t="n">
        <v>46471.6152777778</v>
      </c>
      <c r="B52" s="10" t="s">
        <v>1755</v>
      </c>
      <c r="C52" s="10" t="s">
        <v>1571</v>
      </c>
      <c r="D52" s="0" t="n">
        <v>3</v>
      </c>
      <c r="E52" s="10" t="s">
        <v>1678</v>
      </c>
    </row>
    <row r="53" customFormat="false" ht="15" hidden="false" customHeight="false" outlineLevel="0" collapsed="false">
      <c r="A53" s="42" t="n">
        <v>46471.6340277778</v>
      </c>
      <c r="B53" s="10" t="s">
        <v>1750</v>
      </c>
      <c r="C53" s="10" t="s">
        <v>1571</v>
      </c>
      <c r="D53" s="0" t="n">
        <v>4</v>
      </c>
      <c r="E53" s="10" t="s">
        <v>1554</v>
      </c>
      <c r="G53" s="10" t="s">
        <v>1685</v>
      </c>
    </row>
    <row r="54" customFormat="false" ht="15" hidden="false" customHeight="false" outlineLevel="0" collapsed="false">
      <c r="A54" s="42" t="n">
        <v>46471.6430555556</v>
      </c>
      <c r="B54" s="10" t="s">
        <v>1758</v>
      </c>
      <c r="C54" s="10" t="s">
        <v>1571</v>
      </c>
      <c r="D54" s="0" t="n">
        <v>4</v>
      </c>
      <c r="E54" s="10" t="s">
        <v>1678</v>
      </c>
    </row>
    <row r="55" customFormat="false" ht="15" hidden="false" customHeight="false" outlineLevel="0" collapsed="false">
      <c r="A55" s="42" t="n">
        <v>46471.6527777778</v>
      </c>
      <c r="B55" s="10" t="s">
        <v>1759</v>
      </c>
      <c r="C55" s="10" t="s">
        <v>1571</v>
      </c>
      <c r="D55" s="0" t="n">
        <v>4</v>
      </c>
      <c r="E55" s="10" t="s">
        <v>1571</v>
      </c>
    </row>
    <row r="56" customFormat="false" ht="15" hidden="false" customHeight="false" outlineLevel="0" collapsed="false">
      <c r="A56" s="42" t="n">
        <v>46471.6555555556</v>
      </c>
      <c r="B56" s="10" t="s">
        <v>1752</v>
      </c>
      <c r="C56" s="10" t="s">
        <v>1571</v>
      </c>
      <c r="D56" s="0" t="n">
        <v>5</v>
      </c>
      <c r="E56" s="10" t="s">
        <v>1678</v>
      </c>
    </row>
    <row r="57" customFormat="false" ht="15" hidden="false" customHeight="false" outlineLevel="0" collapsed="false">
      <c r="A57" s="42" t="n">
        <v>46471.6777777778</v>
      </c>
      <c r="B57" s="10" t="s">
        <v>1750</v>
      </c>
      <c r="C57" s="10" t="s">
        <v>1571</v>
      </c>
      <c r="D57" s="0" t="n">
        <v>3</v>
      </c>
      <c r="E57" s="10" t="s">
        <v>1678</v>
      </c>
    </row>
    <row r="58" customFormat="false" ht="15" hidden="false" customHeight="false" outlineLevel="0" collapsed="false">
      <c r="A58" s="42" t="n">
        <v>46471.6895833333</v>
      </c>
      <c r="B58" s="10" t="s">
        <v>1755</v>
      </c>
      <c r="C58" s="10" t="s">
        <v>1571</v>
      </c>
      <c r="D58" s="0" t="n">
        <v>4</v>
      </c>
      <c r="E58" s="10" t="s">
        <v>1678</v>
      </c>
      <c r="G58" s="10" t="s">
        <v>510</v>
      </c>
    </row>
    <row r="59" customFormat="false" ht="15" hidden="false" customHeight="false" outlineLevel="0" collapsed="false">
      <c r="A59" s="42" t="n">
        <v>46472.3805555556</v>
      </c>
      <c r="B59" s="10" t="s">
        <v>1758</v>
      </c>
      <c r="C59" s="10" t="s">
        <v>1554</v>
      </c>
      <c r="F59" s="10" t="s">
        <v>1683</v>
      </c>
    </row>
    <row r="60" customFormat="false" ht="15" hidden="false" customHeight="false" outlineLevel="0" collapsed="false">
      <c r="A60" s="42" t="n">
        <v>46472.4597222222</v>
      </c>
      <c r="B60" s="10" t="s">
        <v>1759</v>
      </c>
      <c r="C60" s="10" t="s">
        <v>1554</v>
      </c>
      <c r="F60" s="10" t="s">
        <v>1679</v>
      </c>
    </row>
    <row r="61" customFormat="false" ht="15" hidden="false" customHeight="false" outlineLevel="0" collapsed="false">
      <c r="A61" s="42" t="n">
        <v>46472.6041666667</v>
      </c>
      <c r="B61" s="10" t="s">
        <v>1750</v>
      </c>
      <c r="C61" s="10" t="s">
        <v>1571</v>
      </c>
      <c r="D61" s="0" t="n">
        <v>5</v>
      </c>
      <c r="E61" s="10" t="s">
        <v>1678</v>
      </c>
      <c r="G61" s="10" t="s">
        <v>1684</v>
      </c>
    </row>
    <row r="62" customFormat="false" ht="15" hidden="false" customHeight="false" outlineLevel="0" collapsed="false">
      <c r="A62" s="42" t="n">
        <v>46472.6951388889</v>
      </c>
      <c r="B62" s="10" t="s">
        <v>1754</v>
      </c>
      <c r="C62" s="10" t="s">
        <v>1554</v>
      </c>
      <c r="F62" s="10" t="s">
        <v>1676</v>
      </c>
    </row>
    <row r="63" customFormat="false" ht="15" hidden="false" customHeight="false" outlineLevel="0" collapsed="false">
      <c r="A63" s="42" t="n">
        <v>46475.3951388889</v>
      </c>
      <c r="B63" s="10" t="s">
        <v>1755</v>
      </c>
      <c r="C63" s="10" t="s">
        <v>1554</v>
      </c>
      <c r="F63" s="10" t="s">
        <v>1679</v>
      </c>
    </row>
    <row r="64" customFormat="false" ht="15" hidden="false" customHeight="false" outlineLevel="0" collapsed="false">
      <c r="A64" s="42" t="n">
        <v>46475.6013888889</v>
      </c>
      <c r="B64" s="10" t="s">
        <v>1756</v>
      </c>
      <c r="C64" s="10" t="s">
        <v>1571</v>
      </c>
      <c r="D64" s="0" t="n">
        <v>5</v>
      </c>
      <c r="E64" s="10" t="s">
        <v>1554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2026-10-24T11:58:53Z</dcterms:created>
  <dc:creator>openpyxl</dc:creator>
  <dc:description/>
  <dc:language>en-US</dc:language>
  <cp:lastModifiedBy/>
  <dcterms:modified xsi:type="dcterms:W3CDTF">2026-10-24T11:58:56Z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