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<sst xmlns="http://schemas.openxmlformats.org/spreadsheetml/2006/main" count="2527" uniqueCount="1032">
  <si>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</si>
  <si>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</si>
  <si>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</si>
  <si>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</si>
  <si>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</si>
  <si>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</si>
  <si>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</si>
  <si>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</si>
  <si>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</si>
  <si>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</si>
  <si>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</si>
  <si>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</si>
  <si>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</si>
  <si>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</si>
  <si>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</si>
  <si>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</si>
  <si>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</si>
  <si>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</si>
  <si>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</si>
  <si>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</si>
  <si>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</si>
  <si>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</si>
  <si>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</si>
  <si>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</si>
  <si>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</si>
  <si>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</si>
  <si>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</si>
  <si>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</si>
  <si>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</si>
  <si>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</si>
  <si>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</si>
  <si>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</si>
  <si>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</si>
  <si>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</si>
  <si>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</si>
  <si>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</si>
  <si>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</si>
  <si>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</si>
  <si>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</si>
  <si>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</si>
  <si>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</si>
  <si>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</si>
  <si>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</si>
  <si>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</si>
  <si>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</si>
  <si>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</si>
  <si>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</si>
  <si>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</si>
  <si>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</si>
  <si>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</si>
  <si>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</si>
  <si>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</si>
  <si>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</si>
  <si>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</si>
  <si>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</si>
  <si>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</si>
  <si>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</si>
  <si>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</si>
  <si>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</si>
  <si>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</si>
  <si>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</si>
  <si>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</si>
  <si>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</si>
  <si>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</si>
  <si>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</si>
  <si>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</si>
  <si>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</si>
  <si>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</si>
  <si>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</si>
  <si>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</si>
  <si>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</si>
  <si>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</si>
  <si>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</si>
  <si>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</si>
  <si>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</si>
  <si>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</si>
  <si>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</si>
  <si>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</si>
  <si>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</si>
  <si>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</si>
  <si>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</si>
  <si>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</si>
  <si>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</si>
  <si>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</si>
  <si>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</si>
  <si>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</si>
  <si>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</si>
  <si>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</si>
  <si>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</si>
  <si>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</si>
  <si>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</si>
  <si>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</si>
  <si>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</si>
  <si>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</si>
  <si>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</si>
  <si>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</si>
  <si>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</si>
  <si>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</si>
  <si>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</si>
  <si>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</si>
  <si>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</si>
  <si>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</si>
  <si>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</si>
  <si>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</si>
  <si>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</si>
  <si>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</si>
  <si>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</si>
  <si>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</si>
  <si>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</si>
  <si>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</si>
  <si>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</si>
  <si>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</si>
  <si>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</si>
  <si>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</si>
  <si>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</si>
  <si>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</si>
  <si>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</si>
  <si>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</si>
  <si>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</si>
  <si>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</si>
  <si>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</si>
  <si>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</si>
  <si>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</si>
  <si>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</si>
  <si>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</si>
  <si>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</si>
  <si>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</si>
  <si>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</si>
  <si>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</si>
  <si>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</si>
  <si>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</si>
  <si>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</si>
  <si>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</si>
  <si>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</si>
  <si>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</si>
  <si>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</si>
  <si>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</si>
  <si>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</si>
  <si>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</si>
  <si>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</si>
  <si>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</si>
  <si>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</si>
  <si>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</si>
  <si>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</si>
  <si>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</si>
  <si>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</si>
  <si>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</si>
  <si>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</si>
  <si>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</si>
  <si>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</si>
  <si>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</si>
  <si>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</si>
  <si>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</si>
  <si>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</si>
  <si>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</si>
  <si>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</si>
  <si>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</si>
  <si>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</si>
  <si>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</si>
  <si>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</si>
  <si>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</si>
  <si>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</si>
  <si>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</si>
  <si>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</si>
  <si>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</si>
  <si>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</si>
  <si>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</si>
  <si>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</si>
  <si>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</si>
  <si>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</si>
  <si>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</si>
  <si>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</si>
  <si>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</si>
  <si>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</si>
  <si>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</si>
  <si>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</si>
  <si>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</si>
  <si>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</si>
  <si>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</si>
  <si>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</si>
  <si>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</si>
  <si>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</si>
  <si>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</si>
  <si>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</si>
  <si>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</si>
  <si>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</si>
  <si>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</si>
  <si>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</si>
  <si>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</si>
  <si>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</si>
  <si>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</si>
  <si>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</si>
  <si>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</si>
  <si>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</si>
  <si>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</si>
  <si>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</si>
  <si>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</si>
  <si>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</si>
  <si>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</si>
  <si>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</si>
  <si>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</si>
  <si>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</si>
  <si>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</si>
  <si>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</si>
  <si>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</si>
  <si>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</si>
  <si>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</si>
  <si>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</si>
  <si>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</si>
  <si>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</si>
  <si>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</si>
  <si>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</si>
  <si>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</si>
  <si>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</si>
  <si>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</si>
  <si>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</si>
  <si>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</si>
  <si>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</si>
  <si>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</si>
  <si>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</si>
  <si>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</si>
  <si>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</si>
  <si>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</si>
  <si>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</si>
  <si>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</si>
  <si>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</si>
  <si>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</si>
  <si>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</si>
  <si>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</si>
  <si>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</si>
  <si>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</si>
  <si>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</si>
  <si>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</si>
  <si>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</si>
  <si>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</si>
  <si>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</si>
  <si>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</si>
  <si>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</si>
  <si>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</si>
  <si>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</si>
  <si>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</si>
  <si>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</si>
  <si>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</si>
  <si>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</si>
  <si>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</si>
  <si>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</si>
  <si>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</si>
  <si>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</si>
  <si>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</si>
  <si>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</si>
  <si>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</si>
  <si>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</si>
  <si>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</si>
  <si>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</si>
  <si>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</si>
  <si>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</si>
  <si>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</si>
  <si>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</si>
  <si>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</si>
  <si>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</si>
  <si>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</si>
  <si>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</si>
  <si>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</si>
  <si>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</si>
  <si>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</si>
  <si>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</si>
  <si>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</si>
  <si>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</si>
  <si>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</si>
  <si>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</si>
  <si>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</si>
  <si>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</si>
  <si>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</si>
  <si>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</si>
  <si>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</si>
  <si>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</si>
  <si>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</si>
  <si>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</si>
  <si>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</si>
  <si>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</si>
  <si>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</si>
  <si>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</si>
  <si>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</si>
  <si>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</si>
  <si>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</si>
  <si>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</si>
  <si>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</si>
  <si>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</si>
  <si>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</si>
  <si>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</si>
  <si>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</si>
  <si>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</si>
  <si>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</si>
  <si>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</si>
  <si>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</si>
  <si>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</si>
  <si>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</si>
  <si>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</si>
  <si>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</si>
  <si>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</si>
  <si>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</si>
  <si>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</si>
  <si>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</si>
  <si>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</si>
  <si>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</si>
  <si>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</si>
  <si>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</si>
  <si>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</si>
  <si>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</si>
  <si>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</si>
  <si>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</si>
  <si>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</si>
  <si>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</si>
  <si>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</si>
  <si>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</si>
  <si>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</si>
  <si>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</si>
  <si>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</si>
  <si>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</si>
  <si>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</si>
  <si>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</si>
  <si>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</si>
  <si>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</si>
  <si>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</si>
  <si>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</si>
  <si>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</si>
  <si>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</si>
  <si>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</si>
  <si>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</si>
  <si>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</si>
  <si>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</si>
  <si>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</si>
  <si>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</si>
  <si>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</si>
  <si>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</si>
  <si>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</si>
  <si>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</si>
  <si>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</si>
  <si>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</si>
  <si>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</si>
  <si>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</si>
  <si>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</si>
  <si>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</si>
  <si>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</si>
  <si>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</si>
  <si>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</si>
  <si>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</si>
  <si>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</si>
  <si>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</si>
  <si>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</si>
  <si>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</si>
  <si>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</si>
  <si>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</si>
  <si>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</si>
  <si>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</si>
  <si>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</si>
  <si>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</si>
  <si>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</si>
  <si>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</si>
  <si>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</si>
  <si>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</si>
  <si>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</si>
  <si>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</si>
  <si>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</si>
  <si>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</si>
  <si>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</si>
  <si>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</si>
  <si>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</si>
  <si>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</si>
  <si>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</si>
  <si>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</si>
  <si>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</si>
  <si>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</si>
  <si>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</si>
  <si>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</si>
  <si>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</si>
  <si>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</si>
  <si>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</si>
  <si>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</si>
  <si>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</si>
  <si>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</si>
  <si>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</si>
  <si>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</si>
  <si>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</si>
  <si>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</si>
  <si>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</si>
  <si>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</si>
  <si>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</si>
  <si>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</si>
  <si>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</si>
  <si>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</si>
  <si>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</si>
  <si>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</si>
  <si>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</si>
  <si>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</si>
  <si>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</si>
  <si>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</si>
  <si>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</si>
  <si>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</si>
  <si>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</si>
  <si>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</si>
  <si>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</si>
  <si>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</si>
  <si>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</si>
  <si>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</si>
  <si>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</si>
  <si>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</si>
  <si>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</si>
  <si>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</si>
  <si>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</si>
  <si>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</si>
  <si>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</si>
  <si>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</si>
  <si>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</si>
  <si>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</si>
  <si>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</si>
  <si>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</si>
  <si>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</si>
  <si>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</si>
  <si>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</si>
  <si>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</si>
  <si>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</si>
  <si>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</si>
  <si>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</si>
  <si>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</si>
  <si>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</si>
  <si>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</si>
  <si>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</si>
  <si>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</si>
  <si>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</si>
  <si>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</si>
  <si>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</si>
  <si>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</si>
  <si>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</si>
  <si>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</si>
  <si>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</si>
  <si>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</si>
  <si>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</si>
  <si>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</si>
  <si>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</si>
  <si>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</si>
  <si>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</si>
  <si>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</si>
  <si>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</si>
  <si>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</si>
  <si>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</si>
  <si>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</si>
  <si>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</si>
  <si>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</si>
  <si>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</si>
  <si>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</si>
  <si>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</si>
  <si>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</si>
  <si>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</si>
  <si>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</si>
  <si>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</si>
  <si>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</si>
  <si>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</si>
  <si>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</si>
  <si>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</si>
  <si>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</si>
  <si>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</si>
  <si>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</si>
  <si>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</si>
  <si>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</si>
  <si>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</si>
  <si>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</si>
  <si>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</si>
  <si>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</si>
  <si>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</si>
  <si>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</si>
  <si>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</si>
  <si>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</si>
  <si>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</si>
  <si>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</si>
  <si>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</si>
  <si>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</si>
  <si>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</si>
  <si>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</si>
  <si>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</si>
  <si>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</si>
  <si>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</si>
  <si>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</si>
  <si>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</si>
  <si>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</si>
  <si>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</si>
  <si>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</si>
  <si>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</si>
  <si>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</si>
  <si>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</si>
  <si>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</si>
  <si>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</si>
  <si>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</si>
  <si>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</si>
  <si>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</si>
  <si>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</si>
  <si>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</si>
  <si>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</si>
  <si>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</si>
  <si>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</si>
  <si>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</si>
  <si>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</si>
  <si>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</si>
  <si>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</si>
  <si>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</si>
  <si>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</si>
  <si>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</si>
  <si>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</si>
  <si>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</si>
  <si>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</si>
  <si>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</si>
  <si>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</si>
  <si>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</si>
  <si>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</si>
  <si>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</si>
  <si>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</si>
  <si>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</si>
  <si>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</si>
  <si>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</si>
  <si>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</si>
  <si>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</si>
  <si>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</si>
  <si>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</si>
  <si>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</si>
  <si>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</si>
  <si>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</si>
  <si>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</si>
  <si>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</si>
  <si>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</si>
  <si>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</si>
  <si>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</si>
  <si>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</si>
  <si>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</si>
  <si>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</si>
  <si>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</si>
  <si>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</si>
  <si>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</si>
  <si>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</si>
  <si>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</si>
  <si>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</si>
  <si>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</si>
  <si>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</si>
  <si>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</si>
  <si>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</si>
  <si>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</si>
  <si>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</si>
  <si>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</si>
  <si>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</si>
  <si>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</si>
  <si>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</si>
  <si>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</si>
  <si>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</si>
  <si>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</si>
  <si>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</si>
  <si>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</si>
  <si>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</si>
  <si>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</si>
  <si>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</si>
  <si>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</si>
  <si>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</si>
  <si>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</si>
  <si>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</si>
  <si>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</si>
  <si>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</si>
  <si>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</si>
  <si>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</si>
  <si>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</si>
  <si>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</si>
  <si>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</si>
  <si>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</si>
  <si>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</si>
  <si>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</si>
  <si>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</si>
  <si>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</si>
  <si>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</si>
  <si>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</si>
  <si>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</si>
  <si>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</si>
  <si>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</si>
  <si>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</si>
  <si>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</si>
  <si>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</si>
  <si>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</si>
  <si>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</si>
  <si>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</si>
  <si>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</si>
  <si>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</si>
  <si>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</si>
  <si>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</si>
  <si>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</si>
  <si>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</si>
  <si>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</si>
  <si>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</si>
  <si>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</si>
  <si>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</si>
  <si>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</si>
  <si>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</si>
  <si>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</si>
  <si>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</si>
  <si>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</si>
  <si>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</si>
  <si>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</si>
  <si>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</si>
  <si>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</si>
  <si>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</si>
  <si>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</si>
  <si>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</si>
  <si>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</si>
  <si>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</si>
  <si>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</si>
  <si>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</si>
  <si>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</si>
  <si>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</si>
  <si>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</si>
  <si>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</si>
  <si>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</si>
  <si>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</si>
  <si>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</si>
  <si>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</si>
  <si>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</si>
  <si>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</si>
  <si>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</si>
  <si>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</si>
  <si>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</si>
  <si>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</si>
  <si>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</si>
  <si>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</si>
  <si>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</si>
  <si>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</si>
  <si>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</si>
  <si>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</si>
  <si>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</si>
  <si>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</si>
  <si>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</si>
  <si>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</si>
  <si>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</si>
  <si>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</si>
  <si>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</si>
  <si>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</si>
  <si>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</si>
  <si>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</si>
  <si>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</si>
  <si>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</si>
  <si>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</si>
  <si>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</si>
  <si>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</si>
  <si>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</si>
  <si>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</si>
  <si>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</si>
  <si>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</si>
  <si>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</si>
  <si>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</si>
  <si>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</si>
  <si>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</si>
  <si>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</si>
  <si>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</si>
  <si>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</si>
  <si>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</si>
  <si>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</si>
  <si>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</si>
  <si>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</si>
  <si>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</si>
  <si>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</si>
  <si>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</si>
  <si>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</si>
  <si>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</si>
  <si>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</si>
  <si>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</si>
  <si>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</si>
  <si>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</si>
  <si>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</si>
  <si>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</si>
  <si>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</si>
  <si>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</si>
  <si>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</si>
  <si>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</si>
  <si>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</si>
  <si>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</si>
  <si>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</si>
  <si>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</si>
  <si>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</si>
  <si>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</si>
  <si>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</si>
  <si>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</si>
  <si>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</si>
  <si>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</si>
  <si>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</si>
  <si>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</si>
  <si>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</si>
  <si>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</si>
  <si>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</si>
  <si>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</si>
  <si>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</si>
  <si>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</si>
  <si>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</si>
  <si>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</si>
  <si>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</si>
  <si>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</si>
  <si>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</si>
  <si>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</si>
  <si>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</si>
  <si>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</si>
  <si>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</si>
  <si>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</si>
  <si>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</si>
  <si>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</si>
  <si>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</si>
  <si>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</si>
  <si>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</si>
  <si>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</si>
  <si>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</si>
  <si>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</si>
  <si>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</si>
  <si>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</si>
  <si>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</si>
  <si>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</si>
  <si>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</si>
  <si>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</si>
  <si>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</si>
  <si>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</si>
  <si>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</si>
  <si>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</si>
  <si>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</si>
  <si>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</si>
  <si>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</si>
  <si>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</si>
  <si>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</si>
  <si>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</si>
  <si>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</si>
  <si>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</si>
  <si>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</si>
  <si>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</si>
  <si>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</si>
  <si>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</si>
  <si>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</si>
  <si>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</si>
  <si>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</si>
  <si>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</si>
  <si>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</si>
  <si>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</si>
  <si>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</si>
  <si>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</si>
  <si>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</si>
  <si>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</si>
  <si>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</si>
  <si>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</si>
  <si>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</si>
  <si>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</si>
  <si>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</si>
  <si>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</si>
  <si>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</si>
  <si>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</si>
  <si>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</si>
  <si>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</si>
  <si>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</si>
  <si>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</si>
  <si>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</si>
  <si>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</si>
  <si>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</si>
  <si>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</si>
  <si>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</si>
  <si>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</si>
  <si>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</si>
  <si>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</si>
  <si>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</si>
  <si>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</si>
  <si>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</si>
  <si>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</si>
  <si>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</si>
  <si>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</si>
  <si>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</si>
  <si>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</si>
  <si>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</si>
  <si>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</si>
  <si>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</si>
  <si>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</si>
  <si>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</si>
  <si>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</si>
  <si>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</si>
  <si>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</si>
  <si>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</si>
  <si>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</si>
  <si>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</si>
  <si>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</si>
  <si>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</si>
  <si>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</si>
  <si>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</si>
  <si>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</si>
  <si>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</si>
  <si>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</si>
  <si>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</si>
  <si>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</si>
  <si>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</si>
  <si>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</si>
  <si>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</si>
  <si>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</si>
  <si>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</si>
  <si>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</si>
  <si>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</si>
  <si>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</si>
  <si>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</si>
  <si>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</si>
  <si>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</si>
  <si>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</si>
  <si>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</si>
  <si>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</si>
  <si>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</si>
  <si>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</si>
  <si>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</si>
  <si>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</si>
  <si>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</si>
  <si>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</si>
  <si>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</si>
  <si>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</si>
  <si>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</si>
  <si>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</si>
  <si>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</si>
  <si>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</si>
  <si>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</si>
  <si>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</si>
  <si>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</si>
  <si>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</si>
  <si>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</si>
  <si>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</si>
  <si>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</si>
  <si>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</si>
  <si>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</si>
  <si>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</si>
  <si>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</si>
  <si>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</si>
  <si>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</si>
  <si>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</si>
  <si>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</si>
  <si>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</si>
  <si>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</si>
  <si>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</si>
  <si>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</si>
  <si>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</si>
  <si>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</si>
  <si>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</si>
  <si>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</si>
  <si>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</si>
  <si>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</si>
  <si>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</si>
  <si>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</si>
  <si>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</si>
  <si>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</si>
  <si>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</si>
  <si>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</si>
  <si>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</si>
  <si>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</si>
  <si>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</si>
  <si>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</si>
  <si>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</si>
  <si>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</si>
  <si>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</si>
  <si>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</si>
  <si>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</si>
  <si>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</si>
  <si>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</si>
  <si>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</si>
  <si>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</si>
  <si>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</si>
  <si>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</si>
  <si>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</si>
  <si>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</si>
  <si>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</si>
  <si>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</si>
  <si>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</si>
  <si>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</si>
  <si>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</si>
  <si>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</si>
  <si>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</si>
  <si>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</si>
  <si>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</si>
  <si>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</si>
  <si>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</si>
  <si>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</si>
  <si>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</si>
  <si>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</si>
  <si>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</si>
  <si>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</si>
  <si>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</si>
  <si>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</si>
  <si>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</si>
  <si>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</si>
  <si>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</si>
  <si>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</si>
  <si>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</si>
  <si>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</si>
  <si>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</si>
  <si>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</si>
  <si>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</si>
  <si>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</si>
  <si>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</si>
  <si>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</si>
  <si>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</si>
  <si>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</si>
  <si>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</si>
  <si>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</si>
  <si>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</si>
  <si>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</si>
  <si>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</si>
  <si>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</si>
  <si>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</si>
  <si>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</si>
  <si>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</si>
  <si>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</si>
  <si>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</si>
  <si>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</si>
  <si>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</si>
  <si>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</si>
  <si>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</si>
  <si>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</si>
  <si>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</si>
  <si>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</si>
  <si>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</si>
  <si>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</si>
  <si>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</si>
  <si>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</si>
  <si>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</si>
  <si>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</si>
  <si>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</si>
  <si>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</si>
  <si>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</si>
  <si>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</si>
  <si>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</si>
  <si>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</si>
  <si>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</si>
  <si>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</si>
  <si>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</si>
  <si>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</si>
  <si>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</si>
  <si>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</si>
  <si>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</si>
  <si>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</si>
  <si>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</si>
  <si>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</si>
  <si>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</si>
  <si>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</si>
  <si>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</si>
  <si>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</si>
  <si>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</si>
  <si>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</si>
  <si>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</si>
  <si>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</si>
  <si>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</si>
  <si>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</si>
  <si>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</si>
  <si>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</si>
  <si>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</si>
  <si>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</si>
  <si>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</si>
  <si>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</si>
  <si>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</si>
  <si>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</si>
  <si>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</si>
  <si>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</si>
  <si>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</si>
  <si>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</si>
  <si>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</si>
  <si>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</si>
  <si>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</si>
  <si>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</si>
  <si>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</si>
  <si>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</si>
  <si>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Yes</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</si>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</sst>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46438</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
      </c>
      <c r="B33" s="11" t="str">
        <f aca="false">IF(INDEX(drops!$A$2:$A$21,2)="","",INDEX(drops!$B$2:$B$21,2))</f>
        <v/>
      </c>
      <c r="C33" s="0" t="str">
        <f aca="false">IF(INDEX(drops!$A$2:$A$21,2)="","",INDEX(drops!$C$2:$C$21,2))</f>
        <v/>
      </c>
      <c r="D33" s="0" t="str">
        <f aca="false">IF(INDEX(drops!$A$2:$A$21,2)="","",INDEX(drops!$D$2:$D$21,2))</f>
        <v/>
      </c>
      <c r="E33" s="0" t="str">
        <f aca="false">IF(INDEX(drops!$A$2:$A$21,2)="","",INDEX(drops!$I$2:$I$21,2))</f>
        <v/>
      </c>
      <c r="F33" s="0" t="str">
        <f aca="false">IF(INDEX(drops!$A$2:$A$21,2)="","",INDEX(drops!$X$2:$X$21,2))</f>
        <v/>
      </c>
      <c r="G33" s="11" t="str">
        <f aca="false">IF(INDEX(drops!$A$2:$A$21,2)="","",INDEX(drops!$Y$2:$Y$21,2))</f>
        <v/>
      </c>
      <c r="H33" s="0" t="str">
        <f aca="false">IF(INDEX(drops!$A$2:$A$21,2)="","",INDEX(drops!$AA$2:$AA$21,2))</f>
        <v/>
      </c>
      <c r="I33" s="0" t="str">
        <f aca="false">IF(INDEX(drops!$A$2:$A$21,2)="","",INDEX(drops!$Z$2:$Z$21,2))</f>
        <v/>
      </c>
      <c r="J33" s="0" t="str">
        <f aca="false">IF(INDEX(drops!$A$2:$A$21,2)="","",INDEX(drops!$AB$2:$AB$21,2))</f>
        <v/>
      </c>
      <c r="K33" s="12" t="str">
        <f aca="false">IF(INDEX(drops!$A$2:$A$21,2)="","",INDEX(drops!$AC$2:$AC$21,2))</f>
        <v/>
      </c>
      <c r="L33" s="12" t="str">
        <f aca="false">IF(INDEX(drops!$A$2:$A$21,2)="","",INDEX(drops!$AG$2:$AG$21,2))</f>
        <v/>
      </c>
      <c r="M33" s="12" t="str">
        <f aca="false">IF(INDEX(drops!$A$2:$A$21,2)="","",INDEX(drops!$AH$2:$AH$21,2))</f>
        <v/>
      </c>
      <c r="N33" s="13" t="str">
        <f aca="false">IF(INDEX(drops!$A$2:$A$21,2)="","",INDEX(drops!$AI$2:$AI$21,2))</f>
        <v/>
      </c>
      <c r="O33" s="12" t="str">
        <f aca="false">IF(INDEX(drops!$A$2:$A$21,2)="","",INDEX(drops!$AJ$2:$AJ$21,2))</f>
        <v/>
      </c>
      <c r="P33" s="12" t="str">
        <f aca="false">IF(INDEX(drops!$A$2:$A$21,2)="","",INDEX(drops!$AK$2:$AK$21,2))</f>
        <v/>
      </c>
      <c r="Q33" s="14" t="str">
        <f aca="false">IF(INDEX(drops!$A$2:$A$21,2)="","",INDEX(drops!$AL$2:$AL$21,2))</f>
        <v/>
      </c>
      <c r="R33" s="0" t="str">
        <f aca="false">IF(INDEX(drops!$A$2:$A$21,2)="","",INDEX(drops!$AM$2:$AM$21,2))</f>
        <v/>
      </c>
      <c r="S33" s="0" t="str">
        <f aca="false">IF(INDEX(drops!$A$2:$A$21,2)="","",INDEX(drops!$AN$2:$AN$21,2))</f>
        <v/>
      </c>
      <c r="T33" s="0" t="str">
        <f aca="false">IF(INDEX(drops!$A$2:$A$21,2)="","",INDEX(drops!$AO$2:$AO$21,2))</f>
        <v/>
      </c>
    </row>
    <row r="34" customFormat="false" ht="15" hidden="false" customHeight="false" outlineLevel="0" collapsed="false">
      <c r="A34" s="0" t="str">
        <f aca="false">IF(INDEX(drops!$A$2:$A$21,3)="","",INDEX(drops!$A$2:$A$21,3))</f>
        <v/>
      </c>
      <c r="B34" s="11" t="str">
        <f aca="false">IF(INDEX(drops!$A$2:$A$21,3)="","",INDEX(drops!$B$2:$B$21,3))</f>
        <v/>
      </c>
      <c r="C34" s="0" t="str">
        <f aca="false">IF(INDEX(drops!$A$2:$A$21,3)="","",INDEX(drops!$C$2:$C$21,3))</f>
        <v/>
      </c>
      <c r="D34" s="0" t="str">
        <f aca="false">IF(INDEX(drops!$A$2:$A$21,3)="","",INDEX(drops!$D$2:$D$21,3))</f>
        <v/>
      </c>
      <c r="E34" s="0" t="str">
        <f aca="false">IF(INDEX(drops!$A$2:$A$21,3)="","",INDEX(drops!$I$2:$I$21,3))</f>
        <v/>
      </c>
      <c r="F34" s="0" t="str">
        <f aca="false">IF(INDEX(drops!$A$2:$A$21,3)="","",INDEX(drops!$X$2:$X$21,3))</f>
        <v/>
      </c>
      <c r="G34" s="11" t="str">
        <f aca="false">IF(INDEX(drops!$A$2:$A$21,3)="","",INDEX(drops!$Y$2:$Y$21,3))</f>
        <v/>
      </c>
      <c r="H34" s="0" t="str">
        <f aca="false">IF(INDEX(drops!$A$2:$A$21,3)="","",INDEX(drops!$AA$2:$AA$21,3))</f>
        <v/>
      </c>
      <c r="I34" s="0" t="str">
        <f aca="false">IF(INDEX(drops!$A$2:$A$21,3)="","",INDEX(drops!$Z$2:$Z$21,3))</f>
        <v/>
      </c>
      <c r="J34" s="0" t="str">
        <f aca="false">IF(INDEX(drops!$A$2:$A$21,3)="","",INDEX(drops!$AB$2:$AB$21,3))</f>
        <v/>
      </c>
      <c r="K34" s="12" t="str">
        <f aca="false">IF(INDEX(drops!$A$2:$A$21,3)="","",INDEX(drops!$AC$2:$AC$21,3))</f>
        <v/>
      </c>
      <c r="L34" s="12" t="str">
        <f aca="false">IF(INDEX(drops!$A$2:$A$21,3)="","",INDEX(drops!$AG$2:$AG$21,3))</f>
        <v/>
      </c>
      <c r="M34" s="12" t="str">
        <f aca="false">IF(INDEX(drops!$A$2:$A$21,3)="","",INDEX(drops!$AH$2:$AH$21,3))</f>
        <v/>
      </c>
      <c r="N34" s="13" t="str">
        <f aca="false">IF(INDEX(drops!$A$2:$A$21,3)="","",INDEX(drops!$AI$2:$AI$21,3))</f>
        <v/>
      </c>
      <c r="O34" s="12" t="str">
        <f aca="false">IF(INDEX(drops!$A$2:$A$21,3)="","",INDEX(drops!$AJ$2:$AJ$21,3))</f>
        <v/>
      </c>
      <c r="P34" s="12" t="str">
        <f aca="false">IF(INDEX(drops!$A$2:$A$21,3)="","",INDEX(drops!$AK$2:$AK$21,3))</f>
        <v/>
      </c>
      <c r="Q34" s="14" t="str">
        <f aca="false">IF(INDEX(drops!$A$2:$A$21,3)="","",INDEX(drops!$AL$2:$AL$21,3))</f>
        <v/>
      </c>
      <c r="R34" s="0" t="str">
        <f aca="false">IF(INDEX(drops!$A$2:$A$21,3)="","",INDEX(drops!$AM$2:$AM$21,3))</f>
        <v/>
      </c>
      <c r="S34" s="0" t="str">
        <f aca="false">IF(INDEX(drops!$A$2:$A$21,3)="","",INDEX(drops!$AN$2:$AN$21,3))</f>
        <v/>
      </c>
      <c r="T34" s="0" t="str">
        <f aca="false">IF(INDEX(drops!$A$2:$A$21,3)="","",INDEX(drops!$AO$2:$AO$21,3))</f>
        <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
      </c>
      <c r="B52" s="0" t="str">
        <f aca="false">IF(INDEX(campaigns!$A$2:$A$51,3)="","",INDEX(campaigns!$BE$2:$BE$51,3))</f>
        <v/>
      </c>
      <c r="C52" s="11" t="str">
        <f aca="false">IF(INDEX(campaigns!$A$2:$A$51,3)="","",INDEX(campaigns!$BG$2:$BG$51,3))</f>
        <v/>
      </c>
      <c r="D52" s="0" t="str">
        <f aca="false">IF(INDEX(campaigns!$A$2:$A$51,3)="","",INDEX(campaigns!$D$2:$D$51,3))</f>
        <v/>
      </c>
      <c r="E52" s="0" t="str">
        <f aca="false">IF(INDEX(campaigns!$A$2:$A$51,3)="","",INDEX(campaigns!$BW$2:$BW$51,3))</f>
        <v/>
      </c>
      <c r="F52" s="0" t="str">
        <f aca="false">IF(INDEX(campaigns!$A$2:$A$51,3)="","",INDEX(campaigns!$BO$2:$BO$51,3))</f>
        <v/>
      </c>
      <c r="G52" s="0" t="str">
        <f aca="false">IF(INDEX(campaigns!$A$2:$A$51,3)="","",INDEX(campaigns!$BP$2:$BP$51,3))</f>
        <v/>
      </c>
      <c r="H52" s="0" t="str">
        <f aca="false">IF(INDEX(campaigns!$A$2:$A$51,3)="","",INDEX(campaigns!$F$2:$F$51,3))</f>
        <v/>
      </c>
      <c r="I52" s="0" t="str">
        <f aca="false">IF(INDEX(campaigns!$A$2:$A$51,3)="","",INDEX(campaigns!$CB$2:$CB$51,3))</f>
        <v/>
      </c>
      <c r="J52" s="0" t="str">
        <f aca="false">IF(INDEX(campaigns!$A$2:$A$51,3)="","",INDEX(campaigns!$CD$2:$CD$51,3))</f>
        <v/>
      </c>
      <c r="K52" s="14" t="str">
        <f aca="false">IF(INDEX(campaigns!$A$2:$A$51,3)="","",INDEX(campaigns!$CE$2:$CE$51,3))</f>
        <v/>
      </c>
      <c r="L52" s="0" t="str">
        <f aca="false">IF(INDEX(campaigns!$A$2:$A$51,3)="","",INDEX(campaigns!$CF$2:$CF$51,3))</f>
        <v/>
      </c>
      <c r="M52" s="0" t="str">
        <f aca="false">IF(INDEX(campaigns!$A$2:$A$51,3)="","",INDEX(campaigns!$CG$2:$CG$51,3))</f>
        <v/>
      </c>
      <c r="N52" s="0" t="str">
        <f aca="false">IF(INDEX(campaigns!$A$2:$A$51,3)="","",INDEX(campaigns!$CH$2:$CH$51,3))</f>
        <v/>
      </c>
      <c r="O52" s="0" t="str">
        <f aca="false">IF(INDEX(campaigns!$A$2:$A$51,3)="","",INDEX(campaigns!$CI$2:$CI$51,3))</f>
        <v/>
      </c>
      <c r="P52" s="0" t="str">
        <f aca="false">IF(INDEX(campaigns!$A$2:$A$51,3)="","",INDEX(campaigns!$CK$2:$CK$51,3))</f>
        <v/>
      </c>
      <c r="Q52" s="13" t="str">
        <f aca="false">IF(INDEX(campaigns!$A$2:$A$51,3)="","",INDEX(campaigns!$CP$2:$CP$51,3))</f>
        <v/>
      </c>
      <c r="R52" s="0" t="str">
        <f aca="false">IF(INDEX(campaigns!$A$2:$A$51,3)="","",INDEX(campaigns!$CX$2:$CX$51,3))</f>
        <v/>
      </c>
      <c r="S52" s="0" t="str">
        <f aca="false">IF(INDEX(campaigns!$A$2:$A$51,3)="","",INDEX(campaigns!$CZ$2:$CZ$51,3))</f>
        <v/>
      </c>
      <c r="T52" s="12" t="str">
        <f aca="false">IF(INDEX(campaigns!$A$2:$A$51,3)="","",INDEX(campaigns!$DC$2:$DC$51,3))</f>
        <v/>
      </c>
      <c r="U52" s="12" t="str">
        <f aca="false">IF(INDEX(campaigns!$A$2:$A$51,3)="","",INDEX(campaigns!$DM$2:$DM$51,3))</f>
        <v/>
      </c>
      <c r="V52" s="0" t="str">
        <f aca="false">IF(INDEX(campaigns!$A$2:$A$51,3)="","",INDEX(campaigns!$DS$2:$DS$51,3))</f>
        <v/>
      </c>
      <c r="W52" s="0" t="str">
        <f aca="false">IF(INDEX(campaigns!$A$2:$A$51,3)="","",INDEX(campaigns!$DT$2:$DT$51,3))</f>
        <v/>
      </c>
      <c r="X52" s="0" t="str">
        <f aca="false">IF(INDEX(campaigns!$A$2:$A$51,3)="","",INDEX(campaigns!$DU$2:$DU$51,3))</f>
        <v/>
      </c>
      <c r="Y52" s="0" t="str">
        <f aca="false">IF(INDEX(campaigns!$A$2:$A$51,3)="","",INDEX(campaigns!$AV$2:$AV$51,3))</f>
        <v/>
      </c>
      <c r="Z52" s="0" t="str">
        <f aca="false">IF(INDEX(campaigns!$A$2:$A$51,3)="","",INDEX(campaigns!$DV$2:$DV$51,3))</f>
        <v/>
      </c>
    </row>
    <row r="53" customFormat="false" ht="15" hidden="false" customHeight="false" outlineLevel="0" collapsed="false">
      <c r="A53" s="0" t="str">
        <f aca="false">IF(INDEX(campaigns!$A$2:$A$51,4)="","",INDEX(campaigns!$A$2:$A$51,4))</f>
        <v/>
      </c>
      <c r="B53" s="0" t="str">
        <f aca="false">IF(INDEX(campaigns!$A$2:$A$51,4)="","",INDEX(campaigns!$BE$2:$BE$51,4))</f>
        <v/>
      </c>
      <c r="C53" s="11" t="str">
        <f aca="false">IF(INDEX(campaigns!$A$2:$A$51,4)="","",INDEX(campaigns!$BG$2:$BG$51,4))</f>
        <v/>
      </c>
      <c r="D53" s="0" t="str">
        <f aca="false">IF(INDEX(campaigns!$A$2:$A$51,4)="","",INDEX(campaigns!$D$2:$D$51,4))</f>
        <v/>
      </c>
      <c r="E53" s="0" t="str">
        <f aca="false">IF(INDEX(campaigns!$A$2:$A$51,4)="","",INDEX(campaigns!$BW$2:$BW$51,4))</f>
        <v/>
      </c>
      <c r="F53" s="0" t="str">
        <f aca="false">IF(INDEX(campaigns!$A$2:$A$51,4)="","",INDEX(campaigns!$BO$2:$BO$51,4))</f>
        <v/>
      </c>
      <c r="G53" s="0" t="str">
        <f aca="false">IF(INDEX(campaigns!$A$2:$A$51,4)="","",INDEX(campaigns!$BP$2:$BP$51,4))</f>
        <v/>
      </c>
      <c r="H53" s="0" t="str">
        <f aca="false">IF(INDEX(campaigns!$A$2:$A$51,4)="","",INDEX(campaigns!$F$2:$F$51,4))</f>
        <v/>
      </c>
      <c r="I53" s="0" t="str">
        <f aca="false">IF(INDEX(campaigns!$A$2:$A$51,4)="","",INDEX(campaigns!$CB$2:$CB$51,4))</f>
        <v/>
      </c>
      <c r="J53" s="0" t="str">
        <f aca="false">IF(INDEX(campaigns!$A$2:$A$51,4)="","",INDEX(campaigns!$CD$2:$CD$51,4))</f>
        <v/>
      </c>
      <c r="K53" s="14" t="str">
        <f aca="false">IF(INDEX(campaigns!$A$2:$A$51,4)="","",INDEX(campaigns!$CE$2:$CE$51,4))</f>
        <v/>
      </c>
      <c r="L53" s="0" t="str">
        <f aca="false">IF(INDEX(campaigns!$A$2:$A$51,4)="","",INDEX(campaigns!$CF$2:$CF$51,4))</f>
        <v/>
      </c>
      <c r="M53" s="0" t="str">
        <f aca="false">IF(INDEX(campaigns!$A$2:$A$51,4)="","",INDEX(campaigns!$CG$2:$CG$51,4))</f>
        <v/>
      </c>
      <c r="N53" s="0" t="str">
        <f aca="false">IF(INDEX(campaigns!$A$2:$A$51,4)="","",INDEX(campaigns!$CH$2:$CH$51,4))</f>
        <v/>
      </c>
      <c r="O53" s="0" t="str">
        <f aca="false">IF(INDEX(campaigns!$A$2:$A$51,4)="","",INDEX(campaigns!$CI$2:$CI$51,4))</f>
        <v/>
      </c>
      <c r="P53" s="0" t="str">
        <f aca="false">IF(INDEX(campaigns!$A$2:$A$51,4)="","",INDEX(campaigns!$CK$2:$CK$51,4))</f>
        <v/>
      </c>
      <c r="Q53" s="13" t="str">
        <f aca="false">IF(INDEX(campaigns!$A$2:$A$51,4)="","",INDEX(campaigns!$CP$2:$CP$51,4))</f>
        <v/>
      </c>
      <c r="R53" s="0" t="str">
        <f aca="false">IF(INDEX(campaigns!$A$2:$A$51,4)="","",INDEX(campaigns!$CX$2:$CX$51,4))</f>
        <v/>
      </c>
      <c r="S53" s="0" t="str">
        <f aca="false">IF(INDEX(campaigns!$A$2:$A$51,4)="","",INDEX(campaigns!$CZ$2:$CZ$51,4))</f>
        <v/>
      </c>
      <c r="T53" s="12" t="str">
        <f aca="false">IF(INDEX(campaigns!$A$2:$A$51,4)="","",INDEX(campaigns!$DC$2:$DC$51,4))</f>
        <v/>
      </c>
      <c r="U53" s="12" t="str">
        <f aca="false">IF(INDEX(campaigns!$A$2:$A$51,4)="","",INDEX(campaigns!$DM$2:$DM$51,4))</f>
        <v/>
      </c>
      <c r="V53" s="0" t="str">
        <f aca="false">IF(INDEX(campaigns!$A$2:$A$51,4)="","",INDEX(campaigns!$DS$2:$DS$51,4))</f>
        <v/>
      </c>
      <c r="W53" s="0" t="str">
        <f aca="false">IF(INDEX(campaigns!$A$2:$A$51,4)="","",INDEX(campaigns!$DT$2:$DT$51,4))</f>
        <v/>
      </c>
      <c r="X53" s="0" t="str">
        <f aca="false">IF(INDEX(campaigns!$A$2:$A$51,4)="","",INDEX(campaigns!$DU$2:$DU$51,4))</f>
        <v/>
      </c>
      <c r="Y53" s="0" t="str">
        <f aca="false">IF(INDEX(campaigns!$A$2:$A$51,4)="","",INDEX(campaigns!$AV$2:$AV$51,4))</f>
        <v/>
      </c>
      <c r="Z53" s="0" t="str">
        <f aca="false">IF(INDEX(campaigns!$A$2:$A$51,4)="","",INDEX(campaigns!$DV$2:$DV$51,4))</f>
        <v/>
      </c>
    </row>
    <row r="54" customFormat="false" ht="15" hidden="false" customHeight="false" outlineLevel="0" collapsed="false">
      <c r="A54" s="0" t="str">
        <f aca="false">IF(INDEX(campaigns!$A$2:$A$51,5)="","",INDEX(campaigns!$A$2:$A$51,5))</f>
        <v/>
      </c>
      <c r="B54" s="0" t="str">
        <f aca="false">IF(INDEX(campaigns!$A$2:$A$51,5)="","",INDEX(campaigns!$BE$2:$BE$51,5))</f>
        <v/>
      </c>
      <c r="C54" s="11" t="str">
        <f aca="false">IF(INDEX(campaigns!$A$2:$A$51,5)="","",INDEX(campaigns!$BG$2:$BG$51,5))</f>
        <v/>
      </c>
      <c r="D54" s="0" t="str">
        <f aca="false">IF(INDEX(campaigns!$A$2:$A$51,5)="","",INDEX(campaigns!$D$2:$D$51,5))</f>
        <v/>
      </c>
      <c r="E54" s="0" t="str">
        <f aca="false">IF(INDEX(campaigns!$A$2:$A$51,5)="","",INDEX(campaigns!$BW$2:$BW$51,5))</f>
        <v/>
      </c>
      <c r="F54" s="0" t="str">
        <f aca="false">IF(INDEX(campaigns!$A$2:$A$51,5)="","",INDEX(campaigns!$BO$2:$BO$51,5))</f>
        <v/>
      </c>
      <c r="G54" s="0" t="str">
        <f aca="false">IF(INDEX(campaigns!$A$2:$A$51,5)="","",INDEX(campaigns!$BP$2:$BP$51,5))</f>
        <v/>
      </c>
      <c r="H54" s="0" t="str">
        <f aca="false">IF(INDEX(campaigns!$A$2:$A$51,5)="","",INDEX(campaigns!$F$2:$F$51,5))</f>
        <v/>
      </c>
      <c r="I54" s="0" t="str">
        <f aca="false">IF(INDEX(campaigns!$A$2:$A$51,5)="","",INDEX(campaigns!$CB$2:$CB$51,5))</f>
        <v/>
      </c>
      <c r="J54" s="0" t="str">
        <f aca="false">IF(INDEX(campaigns!$A$2:$A$51,5)="","",INDEX(campaigns!$CD$2:$CD$51,5))</f>
        <v/>
      </c>
      <c r="K54" s="14" t="str">
        <f aca="false">IF(INDEX(campaigns!$A$2:$A$51,5)="","",INDEX(campaigns!$CE$2:$CE$51,5))</f>
        <v/>
      </c>
      <c r="L54" s="0" t="str">
        <f aca="false">IF(INDEX(campaigns!$A$2:$A$51,5)="","",INDEX(campaigns!$CF$2:$CF$51,5))</f>
        <v/>
      </c>
      <c r="M54" s="0" t="str">
        <f aca="false">IF(INDEX(campaigns!$A$2:$A$51,5)="","",INDEX(campaigns!$CG$2:$CG$51,5))</f>
        <v/>
      </c>
      <c r="N54" s="0" t="str">
        <f aca="false">IF(INDEX(campaigns!$A$2:$A$51,5)="","",INDEX(campaigns!$CH$2:$CH$51,5))</f>
        <v/>
      </c>
      <c r="O54" s="0" t="str">
        <f aca="false">IF(INDEX(campaigns!$A$2:$A$51,5)="","",INDEX(campaigns!$CI$2:$CI$51,5))</f>
        <v/>
      </c>
      <c r="P54" s="0" t="str">
        <f aca="false">IF(INDEX(campaigns!$A$2:$A$51,5)="","",INDEX(campaigns!$CK$2:$CK$51,5))</f>
        <v/>
      </c>
      <c r="Q54" s="13" t="str">
        <f aca="false">IF(INDEX(campaigns!$A$2:$A$51,5)="","",INDEX(campaigns!$CP$2:$CP$51,5))</f>
        <v/>
      </c>
      <c r="R54" s="0" t="str">
        <f aca="false">IF(INDEX(campaigns!$A$2:$A$51,5)="","",INDEX(campaigns!$CX$2:$CX$51,5))</f>
        <v/>
      </c>
      <c r="S54" s="0" t="str">
        <f aca="false">IF(INDEX(campaigns!$A$2:$A$51,5)="","",INDEX(campaigns!$CZ$2:$CZ$51,5))</f>
        <v/>
      </c>
      <c r="T54" s="12" t="str">
        <f aca="false">IF(INDEX(campaigns!$A$2:$A$51,5)="","",INDEX(campaigns!$DC$2:$DC$51,5))</f>
        <v/>
      </c>
      <c r="U54" s="12" t="str">
        <f aca="false">IF(INDEX(campaigns!$A$2:$A$51,5)="","",INDEX(campaigns!$DM$2:$DM$51,5))</f>
        <v/>
      </c>
      <c r="V54" s="0" t="str">
        <f aca="false">IF(INDEX(campaigns!$A$2:$A$51,5)="","",INDEX(campaigns!$DS$2:$DS$51,5))</f>
        <v/>
      </c>
      <c r="W54" s="0" t="str">
        <f aca="false">IF(INDEX(campaigns!$A$2:$A$51,5)="","",INDEX(campaigns!$DT$2:$DT$51,5))</f>
        <v/>
      </c>
      <c r="X54" s="0" t="str">
        <f aca="false">IF(INDEX(campaigns!$A$2:$A$51,5)="","",INDEX(campaigns!$DU$2:$DU$51,5))</f>
        <v/>
      </c>
      <c r="Y54" s="0" t="str">
        <f aca="false">IF(INDEX(campaigns!$A$2:$A$51,5)="","",INDEX(campaigns!$AV$2:$AV$51,5))</f>
        <v/>
      </c>
      <c r="Z54" s="0" t="str">
        <f aca="false">IF(INDEX(campaigns!$A$2:$A$51,5)="","",INDEX(campaigns!$DV$2:$DV$51,5))</f>
        <v/>
      </c>
    </row>
    <row r="55" customFormat="false" ht="15" hidden="false" customHeight="false" outlineLevel="0" collapsed="false">
      <c r="A55" s="0" t="str">
        <f aca="false">IF(INDEX(campaigns!$A$2:$A$51,6)="","",INDEX(campaigns!$A$2:$A$51,6))</f>
        <v/>
      </c>
      <c r="B55" s="0" t="str">
        <f aca="false">IF(INDEX(campaigns!$A$2:$A$51,6)="","",INDEX(campaigns!$BE$2:$BE$51,6))</f>
        <v/>
      </c>
      <c r="C55" s="11" t="str">
        <f aca="false">IF(INDEX(campaigns!$A$2:$A$51,6)="","",INDEX(campaigns!$BG$2:$BG$51,6))</f>
        <v/>
      </c>
      <c r="D55" s="0" t="str">
        <f aca="false">IF(INDEX(campaigns!$A$2:$A$51,6)="","",INDEX(campaigns!$D$2:$D$51,6))</f>
        <v/>
      </c>
      <c r="E55" s="0" t="str">
        <f aca="false">IF(INDEX(campaigns!$A$2:$A$51,6)="","",INDEX(campaigns!$BW$2:$BW$51,6))</f>
        <v/>
      </c>
      <c r="F55" s="0" t="str">
        <f aca="false">IF(INDEX(campaigns!$A$2:$A$51,6)="","",INDEX(campaigns!$BO$2:$BO$51,6))</f>
        <v/>
      </c>
      <c r="G55" s="0" t="str">
        <f aca="false">IF(INDEX(campaigns!$A$2:$A$51,6)="","",INDEX(campaigns!$BP$2:$BP$51,6))</f>
        <v/>
      </c>
      <c r="H55" s="0" t="str">
        <f aca="false">IF(INDEX(campaigns!$A$2:$A$51,6)="","",INDEX(campaigns!$F$2:$F$51,6))</f>
        <v/>
      </c>
      <c r="I55" s="0" t="str">
        <f aca="false">IF(INDEX(campaigns!$A$2:$A$51,6)="","",INDEX(campaigns!$CB$2:$CB$51,6))</f>
        <v/>
      </c>
      <c r="J55" s="0" t="str">
        <f aca="false">IF(INDEX(campaigns!$A$2:$A$51,6)="","",INDEX(campaigns!$CD$2:$CD$51,6))</f>
        <v/>
      </c>
      <c r="K55" s="14" t="str">
        <f aca="false">IF(INDEX(campaigns!$A$2:$A$51,6)="","",INDEX(campaigns!$CE$2:$CE$51,6))</f>
        <v/>
      </c>
      <c r="L55" s="0" t="str">
        <f aca="false">IF(INDEX(campaigns!$A$2:$A$51,6)="","",INDEX(campaigns!$CF$2:$CF$51,6))</f>
        <v/>
      </c>
      <c r="M55" s="0" t="str">
        <f aca="false">IF(INDEX(campaigns!$A$2:$A$51,6)="","",INDEX(campaigns!$CG$2:$CG$51,6))</f>
        <v/>
      </c>
      <c r="N55" s="0" t="str">
        <f aca="false">IF(INDEX(campaigns!$A$2:$A$51,6)="","",INDEX(campaigns!$CH$2:$CH$51,6))</f>
        <v/>
      </c>
      <c r="O55" s="0" t="str">
        <f aca="false">IF(INDEX(campaigns!$A$2:$A$51,6)="","",INDEX(campaigns!$CI$2:$CI$51,6))</f>
        <v/>
      </c>
      <c r="P55" s="0" t="str">
        <f aca="false">IF(INDEX(campaigns!$A$2:$A$51,6)="","",INDEX(campaigns!$CK$2:$CK$51,6))</f>
        <v/>
      </c>
      <c r="Q55" s="13" t="str">
        <f aca="false">IF(INDEX(campaigns!$A$2:$A$51,6)="","",INDEX(campaigns!$CP$2:$CP$51,6))</f>
        <v/>
      </c>
      <c r="R55" s="0" t="str">
        <f aca="false">IF(INDEX(campaigns!$A$2:$A$51,6)="","",INDEX(campaigns!$CX$2:$CX$51,6))</f>
        <v/>
      </c>
      <c r="S55" s="0" t="str">
        <f aca="false">IF(INDEX(campaigns!$A$2:$A$51,6)="","",INDEX(campaigns!$CZ$2:$CZ$51,6))</f>
        <v/>
      </c>
      <c r="T55" s="12" t="str">
        <f aca="false">IF(INDEX(campaigns!$A$2:$A$51,6)="","",INDEX(campaigns!$DC$2:$DC$51,6))</f>
        <v/>
      </c>
      <c r="U55" s="12" t="str">
        <f aca="false">IF(INDEX(campaigns!$A$2:$A$51,6)="","",INDEX(campaigns!$DM$2:$DM$51,6))</f>
        <v/>
      </c>
      <c r="V55" s="0" t="str">
        <f aca="false">IF(INDEX(campaigns!$A$2:$A$51,6)="","",INDEX(campaigns!$DS$2:$DS$51,6))</f>
        <v/>
      </c>
      <c r="W55" s="0" t="str">
        <f aca="false">IF(INDEX(campaigns!$A$2:$A$51,6)="","",INDEX(campaigns!$DT$2:$DT$51,6))</f>
        <v/>
      </c>
      <c r="X55" s="0" t="str">
        <f aca="false">IF(INDEX(campaigns!$A$2:$A$51,6)="","",INDEX(campaigns!$DU$2:$DU$51,6))</f>
        <v/>
      </c>
      <c r="Y55" s="0" t="str">
        <f aca="false">IF(INDEX(campaigns!$A$2:$A$51,6)="","",INDEX(campaigns!$AV$2:$AV$51,6))</f>
        <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
      </c>
      <c r="F84" s="6" t="str">
        <f aca="false">IF(INDEX(drops!$A$2:$A$21,3)="","",INDEX(drops!$A$2:$A$21,3))</f>
        <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27.5</v>
      </c>
      <c r="C85" s="13" t="n">
        <f aca="false">SUMIFS(hours!$E$2:$E$1501,hours!$D$2:$D$1501,"brand_sales",hours!$B$2:$B$1501,"")</f>
        <v>7.5</v>
      </c>
      <c r="D85" s="13" t="n">
        <f aca="false">IF(D84="","",SUMIFS(hours!$E$2:$E$1501,hours!$D$2:$D$1501,"brand_sales",hours!$B$2:$B$1501,D84))</f>
        <v>20</v>
      </c>
      <c r="E85" s="13" t="str">
        <f aca="false">IF(E84="","",SUMIFS(hours!$E$2:$E$1501,hours!$D$2:$D$1501,"brand_sales",hours!$B$2:$B$1501,E84))</f>
        <v/>
      </c>
      <c r="F85" s="13" t="str">
        <f aca="false">IF(F84="","",SUMIFS(hours!$E$2:$E$1501,hours!$D$2:$D$1501,"brand_sales",hours!$B$2:$B$1501,F84))</f>
        <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27.5</v>
      </c>
      <c r="C86" s="13" t="n">
        <f aca="false">SUMIFS(hours!$E$2:$E$1501,hours!$D$2:$D$1501,"office_coordination",hours!$B$2:$B$1501,"")</f>
        <v>7.5</v>
      </c>
      <c r="D86" s="13" t="n">
        <f aca="false">IF(D84="","",SUMIFS(hours!$E$2:$E$1501,hours!$D$2:$D$1501,"office_coordination",hours!$B$2:$B$1501,D84))</f>
        <v>20</v>
      </c>
      <c r="E86" s="13" t="str">
        <f aca="false">IF(E84="","",SUMIFS(hours!$E$2:$E$1501,hours!$D$2:$D$1501,"office_coordination",hours!$B$2:$B$1501,E84))</f>
        <v/>
      </c>
      <c r="F86" s="13" t="str">
        <f aca="false">IF(F84="","",SUMIFS(hours!$E$2:$E$1501,hours!$D$2:$D$1501,"office_coordination",hours!$B$2:$B$1501,F84))</f>
        <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3</v>
      </c>
      <c r="C87" s="13" t="n">
        <f aca="false">SUMIFS(hours!$E$2:$E$1501,hours!$D$2:$D$1501,"receiving_kitting",hours!$B$2:$B$1501,"")</f>
        <v>0</v>
      </c>
      <c r="D87" s="13" t="n">
        <f aca="false">IF(D84="","",SUMIFS(hours!$E$2:$E$1501,hours!$D$2:$D$1501,"receiving_kitting",hours!$B$2:$B$1501,D84))</f>
        <v>3</v>
      </c>
      <c r="E87" s="13" t="str">
        <f aca="false">IF(E84="","",SUMIFS(hours!$E$2:$E$1501,hours!$D$2:$D$1501,"receiving_kitting",hours!$B$2:$B$1501,E84))</f>
        <v/>
      </c>
      <c r="F87" s="13" t="str">
        <f aca="false">IF(F84="","",SUMIFS(hours!$E$2:$E$1501,hours!$D$2:$D$1501,"receiving_kitting",hours!$B$2:$B$1501,F84))</f>
        <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5</v>
      </c>
      <c r="C88" s="13" t="n">
        <f aca="false">SUMIFS(hours!$E$2:$E$1501,hours!$D$2:$D$1501,"drop_day",hours!$B$2:$B$1501,"")</f>
        <v>0</v>
      </c>
      <c r="D88" s="13" t="n">
        <f aca="false">IF(D84="","",SUMIFS(hours!$E$2:$E$1501,hours!$D$2:$D$1501,"drop_day",hours!$B$2:$B$1501,D84))</f>
        <v>5</v>
      </c>
      <c r="E88" s="13" t="str">
        <f aca="false">IF(E84="","",SUMIFS(hours!$E$2:$E$1501,hours!$D$2:$D$1501,"drop_day",hours!$B$2:$B$1501,E84))</f>
        <v/>
      </c>
      <c r="F88" s="13" t="str">
        <f aca="false">IF(F84="","",SUMIFS(hours!$E$2:$E$1501,hours!$D$2:$D$1501,"drop_day",hours!$B$2:$B$1501,F84))</f>
        <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3</v>
      </c>
      <c r="C89" s="13" t="n">
        <f aca="false">SUMIFS(hours!$E$2:$E$1501,hours!$D$2:$D$1501,"checks_pickup",hours!$B$2:$B$1501,"")</f>
        <v>0</v>
      </c>
      <c r="D89" s="13" t="n">
        <f aca="false">IF(D84="","",SUMIFS(hours!$E$2:$E$1501,hours!$D$2:$D$1501,"checks_pickup",hours!$B$2:$B$1501,D84))</f>
        <v>3</v>
      </c>
      <c r="E89" s="13" t="str">
        <f aca="false">IF(E84="","",SUMIFS(hours!$E$2:$E$1501,hours!$D$2:$D$1501,"checks_pickup",hours!$B$2:$B$1501,E84))</f>
        <v/>
      </c>
      <c r="F89" s="13" t="str">
        <f aca="false">IF(F84="","",SUMIFS(hours!$E$2:$E$1501,hours!$D$2:$D$1501,"checks_pickup",hours!$B$2:$B$1501,F84))</f>
        <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4</v>
      </c>
      <c r="C90" s="13" t="n">
        <f aca="false">SUMIFS(hours!$E$2:$E$1501,hours!$D$2:$D$1501,"reporting_debriefs",hours!$B$2:$B$1501,"")</f>
        <v>0</v>
      </c>
      <c r="D90" s="13" t="n">
        <f aca="false">IF(D84="","",SUMIFS(hours!$E$2:$E$1501,hours!$D$2:$D$1501,"reporting_debriefs",hours!$B$2:$B$1501,D84))</f>
        <v>4</v>
      </c>
      <c r="E90" s="13" t="str">
        <f aca="false">IF(E84="","",SUMIFS(hours!$E$2:$E$1501,hours!$D$2:$D$1501,"reporting_debriefs",hours!$B$2:$B$1501,E84))</f>
        <v/>
      </c>
      <c r="F90" s="13" t="str">
        <f aca="false">IF(F84="","",SUMIFS(hours!$E$2:$E$1501,hours!$D$2:$D$1501,"reporting_debriefs",hours!$B$2:$B$1501,F84))</f>
        <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2</v>
      </c>
      <c r="C91" s="13" t="n">
        <f aca="false">SUMIFS(hours!$E$2:$E$1501,hours!$D$2:$D$1501,"admin_invoicing",hours!$B$2:$B$1501,"")</f>
        <v>0</v>
      </c>
      <c r="D91" s="13" t="n">
        <f aca="false">IF(D84="","",SUMIFS(hours!$E$2:$E$1501,hours!$D$2:$D$1501,"admin_invoicing",hours!$B$2:$B$1501,D84))</f>
        <v>2</v>
      </c>
      <c r="E91" s="13" t="str">
        <f aca="false">IF(E84="","",SUMIFS(hours!$E$2:$E$1501,hours!$D$2:$D$1501,"admin_invoicing",hours!$B$2:$B$1501,E84))</f>
        <v/>
      </c>
      <c r="F91" s="13" t="str">
        <f aca="false">IF(F84="","",SUMIFS(hours!$E$2:$E$1501,hours!$D$2:$D$1501,"admin_invoicing",hours!$B$2:$B$1501,F84))</f>
        <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72</v>
      </c>
      <c r="C92" s="13" t="n">
        <f aca="false">SUM(C85:C91)</f>
        <v>15</v>
      </c>
      <c r="D92" s="13" t="n">
        <f aca="false">IF(D84="","",SUM(D85:D91))</f>
        <v>57</v>
      </c>
      <c r="E92" s="13" t="str">
        <f aca="false">IF(E84="","",SUM(E85:E91))</f>
        <v/>
      </c>
      <c r="F92" s="13" t="str">
        <f aca="false">IF(F84="","",SUM(F85:F91))</f>
        <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46438</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B3" s="11"/>
      <c r="C3" s="10"/>
      <c r="D3" s="10"/>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
      </c>
      <c r="J3" s="30" t="str">
        <f aca="false">IF($B3="","",TEXT($B3,"ddd"))</f>
        <v/>
      </c>
      <c r="K3" s="31" t="str">
        <f aca="false">IF($I3="OK",WORKDAY($B3,-10,calendar!$A$2:$A$80),"")</f>
        <v/>
      </c>
      <c r="L3" s="31" t="str">
        <f aca="false">IF($I3="OK",IF(SUMPRODUCT((calendar!$D$2:$D$20&lt;=$M3)*(calendar!$E$2:$E$20&gt;=$K3)*calendar!$D$2:$D$20)=0,$K3,MIN($K3,WORKDAY(SUMPRODUCT((calendar!$D$2:$D$20&lt;=$M3)*(calendar!$E$2:$E$20&gt;=$K3)*calendar!$D$2:$D$20)+5,-1,calendar!$A$2:$A$80))),"")</f>
        <v/>
      </c>
      <c r="M3" s="31" t="str">
        <f aca="false">IF($I3="OK",WORKDAY($B3,-5,calendar!$A$2:$A$80),"")</f>
        <v/>
      </c>
      <c r="N3" s="31" t="str">
        <f aca="false">IF($I3="OK",WORKDAY($B3,-3,calendar!$A$2:$A$80),"")</f>
        <v/>
      </c>
      <c r="O3" s="31" t="str">
        <f aca="false">IF($I3="OK",WORKDAY($B3,-1,calendar!$A$2:$A$80),"")</f>
        <v/>
      </c>
      <c r="P3" s="31" t="str">
        <f aca="false">IF($I3="OK",WORKDAY($B3,1,calendar!$A$2:$A$80),"")</f>
        <v/>
      </c>
      <c r="Q3" s="31" t="str">
        <f aca="false">IF($I3="OK",WORKDAY($B3,2,calendar!$A$2:$A$80),"")</f>
        <v/>
      </c>
      <c r="R3" s="31" t="str">
        <f aca="false">IF($I3="OK",WORKDAY($B3,4,calendar!$A$2:$A$80),"")</f>
        <v/>
      </c>
      <c r="S3" s="31" t="str">
        <f aca="false">IF($I3="OK",WORKDAY($B3,5,calendar!$A$2:$A$80),"")</f>
        <v/>
      </c>
      <c r="T3" s="31" t="str">
        <f aca="false">IF($I3="OK",WORKDAY($B3,7,calendar!$A$2:$A$80),"")</f>
        <v/>
      </c>
      <c r="U3" s="31" t="str">
        <f aca="false">IF($I3="OK",WORKDAY($B3,10,calendar!$A$2:$A$80),"")</f>
        <v/>
      </c>
      <c r="V3" s="31" t="str">
        <f aca="false">IF($I3="OK",WORKDAY($B3,14,calendar!$A$2:$A$80),"")</f>
        <v/>
      </c>
      <c r="W3" s="31" t="str">
        <f aca="false">IF($I3="OK",$B3+30,"")</f>
        <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str">
        <f aca="false">IF($A3="","",COUNTIF(campaigns!$B$2:$B$51,$A3))</f>
        <v/>
      </c>
      <c r="AA3" s="30" t="str">
        <f aca="false">IF($A3="","",COUNTIF(stops!$A$2:$A$151,$A3))</f>
        <v/>
      </c>
      <c r="AB3" s="30" t="str">
        <f aca="false">IF($A3="","",SUMIFS(approvals!$S$2:$S$251,approvals!$H$2:$H$251,$A3,approvals!$P$2:$P$251,"Y"))</f>
        <v/>
      </c>
      <c r="AC3" s="32" t="str">
        <f aca="false">IF($A3="","",SUMIFS(campaigns!$DC$2:$DC$51,campaigns!$B$2:$B$51,$A3))</f>
        <v/>
      </c>
      <c r="AD3" s="32" t="str">
        <f aca="false">IF($A3="","",SUMIFS(costs!$E$2:$E$301,costs!$B$2:$B$301,$A3,costs!$D$2:$D$301,"kit"))</f>
        <v/>
      </c>
      <c r="AE3" s="32" t="str">
        <f aca="false">IF($A3="","",SUMIFS(costs!$E$2:$E$301,costs!$B$2:$B$301,$A3,costs!$D$2:$D$301,"transport"))</f>
        <v/>
      </c>
      <c r="AF3" s="32" t="str">
        <f aca="false">IF($A3="","",SUMIFS(costs!$E$2:$E$301,costs!$B$2:$B$301,$A3,costs!$D$2:$D$301,"other_direct"))</f>
        <v/>
      </c>
      <c r="AG3" s="32" t="str">
        <f aca="false">IF($A3="","",$AD3+$AE3+$AF3)</f>
        <v/>
      </c>
      <c r="AH3" s="32" t="str">
        <f aca="false">IF(OR($A3="",N($AA3)=0),"",ROUND($AG3/$AA3,2))</f>
        <v/>
      </c>
      <c r="AI3" s="33" t="str">
        <f aca="false">IF($A3="","",SUMIFS(hours!$E$2:$E$1501,hours!$B$2:$B$1501,$A3))</f>
        <v/>
      </c>
      <c r="AJ3" s="32" t="str">
        <f aca="false">IF($A3="","",$AC3-SUMIFS(campaigns!$DG$2:$DG$51,campaigns!$B$2:$B$51,$A3)-$AG3)</f>
        <v/>
      </c>
      <c r="AK3" s="32" t="str">
        <f aca="false">IF(OR($A3="",N($AI3)=0),"",ROUND($AJ3/$AI3,2))</f>
        <v/>
      </c>
      <c r="AL3" s="34" t="str">
        <f aca="false">IF(OR($A3="",SUMIFS(campaigns!$CB$2:$CB$51,campaigns!$B$2:$B$51,$A3)=0),"",SUMIFS(campaigns!$CD$2:$CD$51,campaigns!$B$2:$B$51,$A3)/SUMIFS(campaigns!$CB$2:$CB$51,campaigns!$B$2:$B$51,$A3))</f>
        <v/>
      </c>
      <c r="AM3" s="30" t="str">
        <f aca="false">IF(OR($A3="",COUNTIFS(approvals!$H$2:$H$251,$A3,approvals!$Q$2:$Q$251,"Y")=0),"",SUMPRODUCT(MIN(approvals!$BB$2:$BB$251+(approvals!$H$2:$H$251&lt;&gt;$A3)*1000000)))</f>
        <v/>
      </c>
      <c r="AN3" s="30" t="str">
        <f aca="false">IF(OR($A3="",$T3=""),"",COUNTIFS(campaigns!$B$2:$B$51,$A3,campaigns!$DU$2:$DU$51,"late"))</f>
        <v/>
      </c>
      <c r="AO3" s="30" t="str">
        <f aca="false">IF($A3="","",COUNTIFS(campaigns!$B$2:$B$51,$A3,campaigns!$AV$2:$AV$51,"yes"))</f>
        <v/>
      </c>
    </row>
    <row r="4" customFormat="false" ht="15" hidden="false" customHeight="false" outlineLevel="0" collapsed="false">
      <c r="B4" s="11"/>
      <c r="C4" s="10"/>
      <c r="D4" s="10"/>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30" t="str">
        <f aca="false">IF($B4="","",TEXT($B4,"ddd"))</f>
        <v/>
      </c>
      <c r="K4" s="31" t="str">
        <f aca="false">IF($I4="OK",WORKDAY($B4,-10,calendar!$A$2:$A$80),"")</f>
        <v/>
      </c>
      <c r="L4" s="31" t="str">
        <f aca="false">IF($I4="OK",IF(SUMPRODUCT((calendar!$D$2:$D$20&lt;=$M4)*(calendar!$E$2:$E$20&gt;=$K4)*calendar!$D$2:$D$20)=0,$K4,MIN($K4,WORKDAY(SUMPRODUCT((calendar!$D$2:$D$20&lt;=$M4)*(calendar!$E$2:$E$20&gt;=$K4)*calendar!$D$2:$D$20)+5,-1,calendar!$A$2:$A$80))),"")</f>
        <v/>
      </c>
      <c r="M4" s="31" t="str">
        <f aca="false">IF($I4="OK",WORKDAY($B4,-5,calendar!$A$2:$A$80),"")</f>
        <v/>
      </c>
      <c r="N4" s="31" t="str">
        <f aca="false">IF($I4="OK",WORKDAY($B4,-3,calendar!$A$2:$A$80),"")</f>
        <v/>
      </c>
      <c r="O4" s="31" t="str">
        <f aca="false">IF($I4="OK",WORKDAY($B4,-1,calendar!$A$2:$A$80),"")</f>
        <v/>
      </c>
      <c r="P4" s="31" t="str">
        <f aca="false">IF($I4="OK",WORKDAY($B4,1,calendar!$A$2:$A$80),"")</f>
        <v/>
      </c>
      <c r="Q4" s="31" t="str">
        <f aca="false">IF($I4="OK",WORKDAY($B4,2,calendar!$A$2:$A$80),"")</f>
        <v/>
      </c>
      <c r="R4" s="31" t="str">
        <f aca="false">IF($I4="OK",WORKDAY($B4,4,calendar!$A$2:$A$80),"")</f>
        <v/>
      </c>
      <c r="S4" s="31" t="str">
        <f aca="false">IF($I4="OK",WORKDAY($B4,5,calendar!$A$2:$A$80),"")</f>
        <v/>
      </c>
      <c r="T4" s="31" t="str">
        <f aca="false">IF($I4="OK",WORKDAY($B4,7,calendar!$A$2:$A$80),"")</f>
        <v/>
      </c>
      <c r="U4" s="31" t="str">
        <f aca="false">IF($I4="OK",WORKDAY($B4,10,calendar!$A$2:$A$80),"")</f>
        <v/>
      </c>
      <c r="V4" s="31" t="str">
        <f aca="false">IF($I4="OK",WORKDAY($B4,14,calendar!$A$2:$A$80),"")</f>
        <v/>
      </c>
      <c r="W4" s="31" t="str">
        <f aca="false">IF($I4="OK",$B4+30,"")</f>
        <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str">
        <f aca="false">IF($A4="","",COUNTIF(campaigns!$B$2:$B$51,$A4))</f>
        <v/>
      </c>
      <c r="AA4" s="30" t="str">
        <f aca="false">IF($A4="","",COUNTIF(stops!$A$2:$A$151,$A4))</f>
        <v/>
      </c>
      <c r="AB4" s="30" t="str">
        <f aca="false">IF($A4="","",SUMIFS(approvals!$S$2:$S$251,approvals!$H$2:$H$251,$A4,approvals!$P$2:$P$251,"Y"))</f>
        <v/>
      </c>
      <c r="AC4" s="32" t="str">
        <f aca="false">IF($A4="","",SUMIFS(campaigns!$DC$2:$DC$51,campaigns!$B$2:$B$51,$A4))</f>
        <v/>
      </c>
      <c r="AD4" s="32" t="str">
        <f aca="false">IF($A4="","",SUMIFS(costs!$E$2:$E$301,costs!$B$2:$B$301,$A4,costs!$D$2:$D$301,"kit"))</f>
        <v/>
      </c>
      <c r="AE4" s="32" t="str">
        <f aca="false">IF($A4="","",SUMIFS(costs!$E$2:$E$301,costs!$B$2:$B$301,$A4,costs!$D$2:$D$301,"transport"))</f>
        <v/>
      </c>
      <c r="AF4" s="32" t="str">
        <f aca="false">IF($A4="","",SUMIFS(costs!$E$2:$E$301,costs!$B$2:$B$301,$A4,costs!$D$2:$D$301,"other_direct"))</f>
        <v/>
      </c>
      <c r="AG4" s="32" t="str">
        <f aca="false">IF($A4="","",$AD4+$AE4+$AF4)</f>
        <v/>
      </c>
      <c r="AH4" s="32" t="str">
        <f aca="false">IF(OR($A4="",N($AA4)=0),"",ROUND($AG4/$AA4,2))</f>
        <v/>
      </c>
      <c r="AI4" s="33" t="str">
        <f aca="false">IF($A4="","",SUMIFS(hours!$E$2:$E$1501,hours!$B$2:$B$1501,$A4))</f>
        <v/>
      </c>
      <c r="AJ4" s="32" t="str">
        <f aca="false">IF($A4="","",$AC4-SUMIFS(campaigns!$DG$2:$DG$51,campaigns!$B$2:$B$51,$A4)-$AG4)</f>
        <v/>
      </c>
      <c r="AK4" s="32" t="str">
        <f aca="false">IF(OR($A4="",N($AI4)=0),"",ROUND($AJ4/$AI4,2))</f>
        <v/>
      </c>
      <c r="AL4" s="34" t="str">
        <f aca="false">IF(OR($A4="",SUMIFS(campaigns!$CB$2:$CB$51,campaigns!$B$2:$B$51,$A4)=0),"",SUMIFS(campaigns!$CD$2:$CD$51,campaigns!$B$2:$B$51,$A4)/SUMIFS(campaigns!$CB$2:$CB$51,campaigns!$B$2:$B$51,$A4))</f>
        <v/>
      </c>
      <c r="AM4" s="30" t="str">
        <f aca="false">IF(OR($A4="",COUNTIFS(approvals!$H$2:$H$251,$A4,approvals!$Q$2:$Q$251,"Y")=0),"",SUMPRODUCT(MIN(approvals!$BB$2:$BB$251+(approvals!$H$2:$H$251&lt;&gt;$A4)*1000000)))</f>
        <v/>
      </c>
      <c r="AN4" s="30" t="str">
        <f aca="false">IF(OR($A4="",$T4=""),"",COUNTIFS(campaigns!$B$2:$B$51,$A4,campaigns!$DU$2:$DU$51,"late"))</f>
        <v/>
      </c>
      <c r="AO4" s="30" t="str">
        <f aca="false">IF($A4="","",COUNTIFS(campaigns!$B$2:$B$51,$A4,campaigns!$AV$2:$AV$51,"yes"))</f>
        <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344</v>
      </c>
      <c r="B1" s="28" t="s">
        <v>299</v>
      </c>
      <c r="C1" s="28" t="s">
        <v>345</v>
      </c>
      <c r="D1" s="28" t="s">
        <v>100</v>
      </c>
      <c r="E1" s="28" t="s">
        <v>346</v>
      </c>
      <c r="F1" s="28" t="s">
        <v>347</v>
      </c>
      <c r="G1" s="28" t="s">
        <v>348</v>
      </c>
      <c r="H1" s="28" t="s">
        <v>349</v>
      </c>
      <c r="I1" s="28" t="s">
        <v>350</v>
      </c>
      <c r="J1" s="28" t="s">
        <v>351</v>
      </c>
      <c r="K1" s="28" t="s">
        <v>352</v>
      </c>
      <c r="L1" s="28" t="s">
        <v>353</v>
      </c>
      <c r="M1" s="28" t="s">
        <v>354</v>
      </c>
      <c r="N1" s="28" t="s">
        <v>355</v>
      </c>
      <c r="O1" s="28" t="s">
        <v>356</v>
      </c>
      <c r="P1" s="28" t="s">
        <v>357</v>
      </c>
      <c r="Q1" s="28" t="s">
        <v>358</v>
      </c>
      <c r="R1" s="28" t="s">
        <v>359</v>
      </c>
      <c r="S1" s="28" t="s">
        <v>360</v>
      </c>
      <c r="T1" s="28" t="s">
        <v>361</v>
      </c>
      <c r="U1" s="28" t="s">
        <v>362</v>
      </c>
      <c r="V1" s="28" t="s">
        <v>363</v>
      </c>
      <c r="W1" s="28" t="s">
        <v>364</v>
      </c>
      <c r="X1" s="28" t="s">
        <v>365</v>
      </c>
      <c r="Y1" s="28" t="s">
        <v>366</v>
      </c>
      <c r="Z1" s="28" t="s">
        <v>367</v>
      </c>
      <c r="AA1" s="28" t="s">
        <v>368</v>
      </c>
      <c r="AB1" s="28" t="s">
        <v>369</v>
      </c>
      <c r="AC1" s="28" t="s">
        <v>370</v>
      </c>
      <c r="AD1" s="28" t="s">
        <v>371</v>
      </c>
      <c r="AE1" s="28" t="s">
        <v>372</v>
      </c>
      <c r="AF1" s="28" t="s">
        <v>373</v>
      </c>
      <c r="AG1" s="28" t="s">
        <v>374</v>
      </c>
      <c r="AH1" s="28" t="s">
        <v>375</v>
      </c>
      <c r="AI1" s="28" t="s">
        <v>376</v>
      </c>
      <c r="AJ1" s="28" t="s">
        <v>377</v>
      </c>
      <c r="AK1" s="28" t="s">
        <v>378</v>
      </c>
      <c r="AL1" s="28" t="s">
        <v>379</v>
      </c>
      <c r="AM1" s="28" t="s">
        <v>380</v>
      </c>
      <c r="AN1" s="28" t="s">
        <v>381</v>
      </c>
      <c r="AO1" s="28" t="s">
        <v>382</v>
      </c>
      <c r="AP1" s="28" t="s">
        <v>383</v>
      </c>
      <c r="AQ1" s="28" t="s">
        <v>384</v>
      </c>
      <c r="AR1" s="28" t="s">
        <v>385</v>
      </c>
      <c r="AS1" s="28" t="s">
        <v>386</v>
      </c>
      <c r="AT1" s="28" t="s">
        <v>387</v>
      </c>
      <c r="AU1" s="28" t="s">
        <v>388</v>
      </c>
      <c r="AV1" s="28" t="s">
        <v>389</v>
      </c>
      <c r="AW1" s="28" t="s">
        <v>390</v>
      </c>
      <c r="AX1" s="28" t="s">
        <v>391</v>
      </c>
      <c r="AY1" s="28" t="s">
        <v>392</v>
      </c>
      <c r="AZ1" s="28" t="s">
        <v>393</v>
      </c>
      <c r="BA1" s="28" t="s">
        <v>394</v>
      </c>
      <c r="BB1" s="28" t="s">
        <v>395</v>
      </c>
      <c r="BC1" s="28" t="s">
        <v>396</v>
      </c>
      <c r="BD1" s="28" t="s">
        <v>305</v>
      </c>
      <c r="BE1" s="29" t="s">
        <v>397</v>
      </c>
      <c r="BF1" s="29" t="s">
        <v>398</v>
      </c>
      <c r="BG1" s="29" t="s">
        <v>300</v>
      </c>
      <c r="BH1" s="29" t="s">
        <v>301</v>
      </c>
      <c r="BI1" s="29" t="s">
        <v>399</v>
      </c>
      <c r="BJ1" s="29" t="s">
        <v>400</v>
      </c>
      <c r="BK1" s="29" t="s">
        <v>401</v>
      </c>
      <c r="BL1" s="29" t="s">
        <v>402</v>
      </c>
      <c r="BM1" s="29" t="s">
        <v>309</v>
      </c>
      <c r="BN1" s="29" t="s">
        <v>403</v>
      </c>
      <c r="BO1" s="29" t="s">
        <v>404</v>
      </c>
      <c r="BP1" s="29" t="s">
        <v>405</v>
      </c>
      <c r="BQ1" s="29" t="s">
        <v>406</v>
      </c>
      <c r="BR1" s="29" t="s">
        <v>324</v>
      </c>
      <c r="BS1" s="29" t="s">
        <v>407</v>
      </c>
      <c r="BT1" s="29" t="s">
        <v>408</v>
      </c>
      <c r="BU1" s="29" t="s">
        <v>409</v>
      </c>
      <c r="BV1" s="29" t="s">
        <v>410</v>
      </c>
      <c r="BW1" s="29" t="s">
        <v>411</v>
      </c>
      <c r="BX1" s="29" t="s">
        <v>412</v>
      </c>
      <c r="BY1" s="29" t="s">
        <v>413</v>
      </c>
      <c r="BZ1" s="29" t="s">
        <v>414</v>
      </c>
      <c r="CA1" s="29" t="s">
        <v>415</v>
      </c>
      <c r="CB1" s="29" t="s">
        <v>416</v>
      </c>
      <c r="CC1" s="29" t="s">
        <v>417</v>
      </c>
      <c r="CD1" s="29" t="s">
        <v>418</v>
      </c>
      <c r="CE1" s="29" t="s">
        <v>419</v>
      </c>
      <c r="CF1" s="29" t="s">
        <v>420</v>
      </c>
      <c r="CG1" s="29" t="s">
        <v>421</v>
      </c>
      <c r="CH1" s="29" t="s">
        <v>422</v>
      </c>
      <c r="CI1" s="29" t="s">
        <v>423</v>
      </c>
      <c r="CJ1" s="29" t="s">
        <v>424</v>
      </c>
      <c r="CK1" s="29" t="s">
        <v>425</v>
      </c>
      <c r="CL1" s="29" t="s">
        <v>426</v>
      </c>
      <c r="CM1" s="29" t="s">
        <v>427</v>
      </c>
      <c r="CN1" s="29" t="s">
        <v>428</v>
      </c>
      <c r="CO1" s="29" t="s">
        <v>429</v>
      </c>
      <c r="CP1" s="29" t="s">
        <v>430</v>
      </c>
      <c r="CQ1" s="29" t="s">
        <v>431</v>
      </c>
      <c r="CR1" s="29" t="s">
        <v>432</v>
      </c>
      <c r="CS1" s="29" t="s">
        <v>433</v>
      </c>
      <c r="CT1" s="29" t="s">
        <v>434</v>
      </c>
      <c r="CU1" s="29" t="s">
        <v>435</v>
      </c>
      <c r="CV1" s="29" t="s">
        <v>436</v>
      </c>
      <c r="CW1" s="29" t="s">
        <v>437</v>
      </c>
      <c r="CX1" s="29" t="s">
        <v>438</v>
      </c>
      <c r="CY1" s="29" t="s">
        <v>439</v>
      </c>
      <c r="CZ1" s="29" t="s">
        <v>440</v>
      </c>
      <c r="DA1" s="29" t="s">
        <v>441</v>
      </c>
      <c r="DB1" s="29" t="s">
        <v>442</v>
      </c>
      <c r="DC1" s="29" t="s">
        <v>325</v>
      </c>
      <c r="DD1" s="29" t="s">
        <v>443</v>
      </c>
      <c r="DE1" s="29" t="s">
        <v>444</v>
      </c>
      <c r="DF1" s="29" t="s">
        <v>445</v>
      </c>
      <c r="DG1" s="29" t="s">
        <v>446</v>
      </c>
      <c r="DH1" s="29" t="s">
        <v>329</v>
      </c>
      <c r="DI1" s="29" t="s">
        <v>447</v>
      </c>
      <c r="DJ1" s="29" t="s">
        <v>448</v>
      </c>
      <c r="DK1" s="29" t="s">
        <v>449</v>
      </c>
      <c r="DL1" s="29" t="s">
        <v>332</v>
      </c>
      <c r="DM1" s="29" t="s">
        <v>333</v>
      </c>
      <c r="DN1" s="29" t="s">
        <v>450</v>
      </c>
      <c r="DO1" s="29" t="s">
        <v>451</v>
      </c>
      <c r="DP1" s="29" t="s">
        <v>452</v>
      </c>
      <c r="DQ1" s="29" t="s">
        <v>453</v>
      </c>
      <c r="DR1" s="29" t="s">
        <v>454</v>
      </c>
      <c r="DS1" s="29" t="s">
        <v>455</v>
      </c>
      <c r="DT1" s="29" t="s">
        <v>456</v>
      </c>
      <c r="DU1" s="29" t="s">
        <v>457</v>
      </c>
      <c r="DV1" s="29" t="s">
        <v>120</v>
      </c>
    </row>
    <row r="2" customFormat="false" ht="41.75" hidden="false" customHeight="false" outlineLevel="0" collapsed="false">
      <c r="A2" s="0" t="s">
        <v>458</v>
      </c>
      <c r="B2" s="0" t="s">
        <v>337</v>
      </c>
      <c r="C2" s="0" t="s">
        <v>459</v>
      </c>
      <c r="D2" s="10" t="s">
        <v>460</v>
      </c>
      <c r="F2" s="0" t="n">
        <v>5</v>
      </c>
      <c r="G2" s="12"/>
      <c r="H2" s="11" t="n">
        <v>46363</v>
      </c>
      <c r="I2" s="10" t="s">
        <v>461</v>
      </c>
      <c r="J2" s="10" t="s">
        <v>462</v>
      </c>
      <c r="L2" s="10" t="s">
        <v>463</v>
      </c>
      <c r="M2" s="10" t="s">
        <v>464</v>
      </c>
      <c r="N2" s="10" t="s">
        <v>465</v>
      </c>
      <c r="O2" s="10" t="s">
        <v>466</v>
      </c>
      <c r="U2" s="10" t="s">
        <v>467</v>
      </c>
      <c r="V2" s="10" t="s">
        <v>468</v>
      </c>
      <c r="W2" s="10" t="s">
        <v>469</v>
      </c>
      <c r="X2" s="10" t="s">
        <v>470</v>
      </c>
      <c r="Y2" s="10" t="s">
        <v>471</v>
      </c>
      <c r="Z2" s="10" t="s">
        <v>472</v>
      </c>
      <c r="AA2" s="10" t="s">
        <v>473</v>
      </c>
      <c r="AB2" s="11" t="n">
        <v>46370</v>
      </c>
      <c r="AC2" s="11" t="n">
        <v>46370</v>
      </c>
      <c r="AD2" s="11" t="n">
        <v>46370</v>
      </c>
      <c r="AF2" s="11" t="n">
        <v>46377</v>
      </c>
      <c r="AG2" s="11" t="n">
        <v>46374</v>
      </c>
      <c r="AH2" s="0" t="n">
        <v>275</v>
      </c>
      <c r="AI2" s="10" t="s">
        <v>474</v>
      </c>
      <c r="AJ2" s="10" t="s">
        <v>475</v>
      </c>
      <c r="AK2" s="10" t="s">
        <v>476</v>
      </c>
      <c r="AL2" s="10" t="s">
        <v>477</v>
      </c>
      <c r="AM2" s="10" t="s">
        <v>478</v>
      </c>
      <c r="AN2" s="10" t="s">
        <v>479</v>
      </c>
      <c r="AO2" s="2" t="s">
        <v>480</v>
      </c>
      <c r="AP2" s="10" t="s">
        <v>481</v>
      </c>
      <c r="AT2" s="11" t="n">
        <v>46409</v>
      </c>
      <c r="AU2" s="11" t="n">
        <v>46414</v>
      </c>
      <c r="AV2" s="10" t="s">
        <v>482</v>
      </c>
      <c r="AW2" s="10" t="s">
        <v>472</v>
      </c>
      <c r="AX2" s="10" t="s">
        <v>483</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484</v>
      </c>
      <c r="B3" s="0" t="s">
        <v>337</v>
      </c>
      <c r="C3" s="0" t="s">
        <v>485</v>
      </c>
      <c r="D3" s="10" t="s">
        <v>460</v>
      </c>
      <c r="F3" s="0" t="n">
        <v>5</v>
      </c>
      <c r="G3" s="12"/>
      <c r="H3" s="11" t="n">
        <v>46364</v>
      </c>
      <c r="I3" s="10" t="s">
        <v>461</v>
      </c>
      <c r="J3" s="10" t="s">
        <v>486</v>
      </c>
      <c r="K3" s="0" t="n">
        <v>24</v>
      </c>
      <c r="L3" s="10" t="s">
        <v>487</v>
      </c>
      <c r="M3" s="10" t="s">
        <v>488</v>
      </c>
      <c r="N3" s="10" t="s">
        <v>489</v>
      </c>
      <c r="U3" s="10" t="s">
        <v>490</v>
      </c>
      <c r="V3" s="10" t="s">
        <v>491</v>
      </c>
      <c r="W3" s="10" t="s">
        <v>469</v>
      </c>
      <c r="Y3" s="10" t="s">
        <v>492</v>
      </c>
      <c r="Z3" s="10" t="s">
        <v>493</v>
      </c>
      <c r="AB3" s="11" t="n">
        <v>46371</v>
      </c>
      <c r="AC3" s="11" t="n">
        <v>46370</v>
      </c>
      <c r="AD3" s="11" t="n">
        <v>46370</v>
      </c>
      <c r="AF3" s="11" t="n">
        <v>46377</v>
      </c>
      <c r="AG3" s="11" t="n">
        <v>46374</v>
      </c>
      <c r="AH3" s="0" t="n">
        <v>275</v>
      </c>
      <c r="AI3" s="10" t="s">
        <v>494</v>
      </c>
      <c r="AJ3" s="10" t="s">
        <v>495</v>
      </c>
      <c r="AL3" s="10" t="s">
        <v>496</v>
      </c>
      <c r="AM3" s="10" t="s">
        <v>497</v>
      </c>
      <c r="AN3" s="10" t="s">
        <v>498</v>
      </c>
      <c r="AO3" s="2" t="s">
        <v>499</v>
      </c>
      <c r="AP3" s="10" t="s">
        <v>500</v>
      </c>
      <c r="AT3" s="11" t="n">
        <v>46409</v>
      </c>
      <c r="AU3" s="11" t="n">
        <v>46414</v>
      </c>
      <c r="AV3" s="10" t="s">
        <v>145</v>
      </c>
      <c r="AW3" s="10" t="s">
        <v>493</v>
      </c>
      <c r="AX3" s="10" t="s">
        <v>501</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15" hidden="false" customHeight="false" outlineLevel="0" collapsed="false">
      <c r="D4" s="10"/>
      <c r="G4" s="12"/>
      <c r="H4" s="11"/>
      <c r="M4" s="10"/>
      <c r="Y4" s="10"/>
      <c r="Z4" s="10"/>
      <c r="AB4" s="11"/>
      <c r="AC4" s="11"/>
      <c r="AD4" s="11"/>
      <c r="AF4" s="11"/>
      <c r="AG4" s="11"/>
      <c r="AT4" s="11"/>
      <c r="AU4" s="11"/>
      <c r="AV4" s="10"/>
      <c r="AW4" s="10"/>
      <c r="AY4" s="11"/>
      <c r="BA4" s="11"/>
      <c r="BB4" s="11"/>
      <c r="BC4" s="11"/>
      <c r="BE4" s="30" t="str">
        <f aca="false">IF($A4="","",IFERROR(IF(INDEX(brands!$K$2:$K$41,MATCH($C4,brands!$A$2:$A$41,0))="","",INDEX(brands!$K$2:$K$41,MATCH($C4,brands!$A$2:$A$41,0))),""))</f>
        <v/>
      </c>
      <c r="BF4" s="30" t="str">
        <f aca="false">IF($A4="","",IFERROR(IF(INDEX(brands!$M$2:$M$41,MATCH($C4,brands!$A$2:$A$41,0))="","",INDEX(brands!$M$2:$M$41,MATCH($C4,brands!$A$2:$A$41,0))),""))</f>
        <v/>
      </c>
      <c r="BG4" s="31" t="str">
        <f aca="false">IF($A4="","",IF(IFERROR(IF(INDEX(drops!$I$2:$I$21,MATCH($B4,drops!$A$2:$A$21,0))="","",INDEX(drops!$I$2:$I$21,MATCH($B4,drops!$A$2:$A$21,0))),"")="OK",IFERROR(IF(INDEX(drops!$B$2:$B$21,MATCH($B4,drops!$A$2:$A$21,0))="","",INDEX(drops!$B$2:$B$21,MATCH($B4,drops!$A$2:$A$21,0))),""),""))</f>
        <v/>
      </c>
      <c r="BH4" s="30" t="str">
        <f aca="false">IF($A4="","",IFERROR(IF(INDEX(drops!$C$2:$C$21,MATCH($B4,drops!$A$2:$A$21,0))="","",INDEX(drops!$C$2:$C$21,MATCH($B4,drops!$A$2:$A$21,0))),""))</f>
        <v/>
      </c>
      <c r="BI4" s="32" t="str">
        <f aca="false">IF($A4="","",IF($F4="","",IF($D4="founding",IF($E4="Y",config!$B$25*MIN($F4,config!$B$26)+config!$B$24*MAX(0,$F4-config!$B$26),config!$B$20+config!$B$24*MAX(0,$F4-config!$B$21)),IF($D4="standard",config!$B$22+config!$B$24*MAX(0,$F4-config!$B$23),""))))</f>
        <v/>
      </c>
      <c r="BJ4" s="32" t="str">
        <f aca="false">IF($A4="","",IF($G4&lt;&gt;"",$G4,$BI4))</f>
        <v/>
      </c>
      <c r="BK4" s="30" t="str">
        <f aca="false">IF($A4="","",IF($D4="founding","100% within "&amp;config!$B$27&amp;" business days of the invoice, before shipping",IF($D4="standard","50% on signing; 50% at placement confirmation (T+1)","")))</f>
        <v/>
      </c>
      <c r="BL4" s="31" t="str">
        <f aca="false">IF($A4="","",IFERROR(IF(INDEX(drops!$K$2:$K$21,MATCH($B4,drops!$A$2:$A$21,0))="","",INDEX(drops!$K$2:$K$21,MATCH($B4,drops!$A$2:$A$21,0))),""))</f>
        <v/>
      </c>
      <c r="BM4" s="31" t="str">
        <f aca="false">IF($A4="","",IFERROR(IF(INDEX(drops!$L$2:$L$21,MATCH($B4,drops!$A$2:$A$21,0))="","",INDEX(drops!$L$2:$L$21,MATCH($B4,drops!$A$2:$A$21,0))),""))</f>
        <v/>
      </c>
      <c r="BN4" s="30" t="str">
        <f aca="false">IF($A4="","",COUNTIF(approvals!$A$2:$A$251,$A4))</f>
        <v/>
      </c>
      <c r="BO4" s="30" t="str">
        <f aca="false">IF($A4="","",COUNTIFS(approvals!$A$2:$A$251,$A4,approvals!$P$2:$P$251,"Y"))</f>
        <v/>
      </c>
      <c r="BP4" s="30" t="str">
        <f aca="false">IF($A4="","",COUNTIFS(approvals!$A$2:$A$251,$A4,approvals!$Q$2:$Q$251,"Y"))</f>
        <v/>
      </c>
      <c r="BQ4" s="30" t="str">
        <f aca="false">IF($A4="","",COUNTIFS(approvals!$A$2:$A$251,$A4,approvals!$P$2:$P$251,"pending"))</f>
        <v/>
      </c>
      <c r="BR4" s="30" t="str">
        <f aca="false">IF($A4="","",SUMIFS(approvals!$S$2:$S$251,approvals!$A$2:$A$251,$A4,approvals!$P$2:$P$251,"Y"))</f>
        <v/>
      </c>
      <c r="BS4" s="30" t="str">
        <f aca="false">IF($A4="","",ROUNDUP($BR4*config!$B$18,0))</f>
        <v/>
      </c>
      <c r="BT4" s="30" t="str">
        <f aca="false">IF($A4="","",$BR4+$BS4)</f>
        <v/>
      </c>
      <c r="BU4" s="32" t="str">
        <f aca="false">IF($A4="","",SUMIFS(invoices!$I$2:$I$151,invoices!$B$2:$B$151,$A4,invoices!$R$2:$R$151,"Y",invoices!$H$2:$H$151,"&gt;0"))</f>
        <v/>
      </c>
      <c r="BV4" s="32" t="str">
        <f aca="false">IF($A4="","",IF($BJ4="","",IF($D4="founding",$BJ4,ROUND($BJ4*config!$B$28,2))))</f>
        <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30" t="str">
        <f aca="false">IF($A4="","",SUMIFS(inventory!$G$2:$G$801,inventory!$C$2:$C$801,$A4,inventory!$E$2:$E$801,"received"))</f>
        <v/>
      </c>
      <c r="BY4" s="30" t="str">
        <f aca="false">IF($A4="","",SUMIFS(inventory!$G$2:$G$801,inventory!$C$2:$C$801,$A4,inventory!$E$2:$E$801,"rejected"))</f>
        <v/>
      </c>
      <c r="BZ4" s="30" t="str">
        <f aca="false">IF($A4="","",SUMIFS(inventory!$M$2:$M$801,inventory!$C$2:$C$801,$A4))</f>
        <v/>
      </c>
      <c r="CA4" s="30" t="str">
        <f aca="false">IF($A4="","",SUMIFS(inventory!$O$2:$O$801,inventory!$C$2:$C$801,$A4))</f>
        <v/>
      </c>
      <c r="CB4" s="30" t="str">
        <f aca="false">IF($A4="","",SUMIFS(approvals!$U$2:$U$251,approvals!$A$2:$A$251,$A4))</f>
        <v/>
      </c>
      <c r="CC4" s="30" t="str">
        <f aca="false">IF($A4="","",SUMIFS(approvals!$AA$2:$AA$251,approvals!$A$2:$A$251,$A4))</f>
        <v/>
      </c>
      <c r="CD4" s="30" t="str">
        <f aca="false">IF($A4="","",SUMIFS(approvals!$AA$2:$AA$251,approvals!$A$2:$A$251,$A4,approvals!$AB$2:$AB$251,"Y"))</f>
        <v/>
      </c>
      <c r="CE4" s="34" t="str">
        <f aca="false">IF($A4="","",IF(N($CB4)=0,"",$CD4/$CB4))</f>
        <v/>
      </c>
      <c r="CF4" s="30" t="str">
        <f aca="false">IF($A4="","",SUMIFS(approvals!$AD$2:$AD$251,approvals!$A$2:$A$251,$A4))</f>
        <v/>
      </c>
      <c r="CG4" s="30" t="str">
        <f aca="false">IF($A4="","",IF(COUNTIFS(approvals!$A$2:$A$251,$A4,approvals!$Q$2:$Q$251,"Y",approvals!$AG$2:$AG$251,"")&gt;0,"",SUMIFS(approvals!$AG$2:$AG$251,approvals!$A$2:$A$251,$A4,approvals!$Q$2:$Q$251,"Y")))</f>
        <v/>
      </c>
      <c r="CH4" s="30" t="str">
        <f aca="false">IF($A4="","",SUMIFS(approvals!$AL$2:$AL$251,approvals!$A$2:$A$251,$A4,approvals!$Q$2:$Q$251,"Y"))</f>
        <v/>
      </c>
      <c r="CI4" s="30" t="str">
        <f aca="false">IF($A4="","",IF(N($BP4)=0,"",SUMPRODUCT(MIN(approvals!$BB$2:$BB$251+(approvals!$A$2:$A$251&lt;&gt;$A4)*1000000))))</f>
        <v/>
      </c>
      <c r="CJ4" s="30" t="str">
        <f aca="false">IF($A4="","",COUNTIFS(approvals!$A$2:$A$251,$A4,approvals!$Q$2:$Q$251,"Y",approvals!$AL$2:$AL$251,"&lt;"&amp;config!$B$30))</f>
        <v/>
      </c>
      <c r="CK4" s="30" t="str">
        <f aca="false">IF($A4="","",SUMIFS(approvals!$AM$2:$AM$251,approvals!$A$2:$A$251,$A4,approvals!$Q$2:$Q$251,"Y"))</f>
        <v/>
      </c>
      <c r="CL4" s="30" t="str">
        <f aca="false">IF($A4="","",SUMIFS(approvals!$AQ$2:$AQ$251,approvals!$A$2:$A$251,$A4,approvals!$Q$2:$Q$251,"Y"))</f>
        <v/>
      </c>
      <c r="CM4" s="30" t="str">
        <f aca="false">IF($A4="","",SUMIFS(approvals!$AR$2:$AR$251,approvals!$A$2:$A$251,$A4,approvals!$Q$2:$Q$251,"Y"))</f>
        <v/>
      </c>
      <c r="CN4" s="30" t="str">
        <f aca="false">IF($A4="","",SUMIFS(approvals!$AS$2:$AS$251,approvals!$A$2:$A$251,$A4,approvals!$Q$2:$Q$251,"Y"))</f>
        <v/>
      </c>
      <c r="CO4" s="30" t="str">
        <f aca="false">IF($A4="","",SUMIFS(approvals!$AT$2:$AT$251,approvals!$A$2:$A$251,$A4,approvals!$Q$2:$Q$251,"Y"))</f>
        <v/>
      </c>
      <c r="CP4" s="33" t="str">
        <f aca="false">IF($A4="","",IF(N($CO4)=0,"",ROUND(SUMIFS(approvals!$AU$2:$AU$251,approvals!$A$2:$A$251,$A4,approvals!$Q$2:$Q$251,"Y")/$CO4,1)))</f>
        <v/>
      </c>
      <c r="CQ4" s="30" t="str">
        <f aca="false">IF($A4="","",SUMIFS(approvals!$AV$2:$AV$251,approvals!$A$2:$A$251,$A4,approvals!$Q$2:$Q$251,"Y"))</f>
        <v/>
      </c>
      <c r="CR4" s="30" t="str">
        <f aca="false">IF($A4="","",SUMIFS(approvals!$AW$2:$AW$251,approvals!$A$2:$A$251,$A4,approvals!$Q$2:$Q$251,"Y"))</f>
        <v/>
      </c>
      <c r="CS4" s="30" t="str">
        <f aca="false">IF($A4="","",SUMIFS(approvals!$AX$2:$AX$251,approvals!$A$2:$A$251,$A4,approvals!$Q$2:$Q$251,"Y"))</f>
        <v/>
      </c>
      <c r="CT4" s="30" t="str">
        <f aca="false">IF($A4="","",SUMIFS(approvals!$AY$2:$AY$251,approvals!$A$2:$A$251,$A4,approvals!$Q$2:$Q$251,"Y"))</f>
        <v/>
      </c>
      <c r="CU4" s="30" t="str">
        <f aca="true">IF($A4="","",IF(OR($BG4="",$BC4&lt;&gt;""),"",IFERROR(COUNT(INDIRECT("'"&amp;$A4&amp;"'!$A$2:$A$501")),0)-IFERROR(COUNTIFS(INDIRECT("'"&amp;$A4&amp;"'!$A$2:$A$501"),"&gt;="&amp;$BG4,INDIRECT("'"&amp;$A4&amp;"'!$A$2:$A$501"),"&lt;"&amp;(IFERROR(IF(INDEX(drops!$R$2:$R$21,MATCH($B4,drops!$A$2:$A$21,0))="","",INDEX(drops!$R$2:$R$21,MATCH($B4,drops!$A$2:$A$21,0))),"")+1)),0)))</f>
        <v/>
      </c>
      <c r="CV4" s="30" t="str">
        <f aca="true">IF($A4="","",IF(OR($BG4="",$BC4&lt;&gt;""),"",IFERROR(COUNTIFS(INDIRECT("'"&amp;$A4&amp;"'!$A$2:$A$501"),"&gt;="&amp;$BG4,INDIRECT("'"&amp;$A4&amp;"'!$A$2:$A$501"),"&lt;"&amp;(IFERROR(IF(INDEX(drops!$R$2:$R$21,MATCH($B4,drops!$A$2:$A$21,0))="","",INDEX(drops!$R$2:$R$21,MATCH($B4,drops!$A$2:$A$21,0))),"")+1)),0)-N($CH4)-N($CW4)))</f>
        <v/>
      </c>
      <c r="CW4" s="30" t="str">
        <f aca="false">IF($A4="","",IF($BG4="","",SUMIFS(approvals!$AL$2:$AL$251,approvals!$A$2:$A$251,$A4,approvals!$Q$2:$Q$251,"&lt;&gt;Y")))</f>
        <v/>
      </c>
      <c r="CX4" s="30" t="str">
        <f aca="false">IF($A4="","",SUMIFS(approvals!$AN$2:$AN$251,approvals!$A$2:$A$251,$A4,approvals!$Q$2:$Q$251,"Y"))</f>
        <v/>
      </c>
      <c r="CY4" s="30" t="str">
        <f aca="false">IF($A4="","",SUMIFS(approvals!$AO$2:$AO$251,approvals!$A$2:$A$251,$A4,approvals!$Q$2:$Q$251,"Y"))</f>
        <v/>
      </c>
      <c r="CZ4" s="30" t="str">
        <f aca="false">IF($A4="","",IF($DA4="","",SUMIFS(redemptions!$C$2:$C$121,redemptions!$A$2:$A$121,$A4,redemptions!$B$2:$B$121,$DA4)))</f>
        <v/>
      </c>
      <c r="DA4" s="31" t="str">
        <f aca="false">IF($A4="","",IFERROR(1/(1/SUMPRODUCT(MAX((redemptions!$A$2:$A$121=$A4)*redemptions!$B$2:$B$121))),""))</f>
        <v/>
      </c>
      <c r="DB4" s="30" t="str">
        <f aca="false">IF($A4="","",IF(COUNTIFS(redemptions!$A$2:$A$121,$A4,redemptions!$H$2:$H$121,"Y")=0,"",SUMIFS(redemptions!$C$2:$C$121,redemptions!$A$2:$A$121,$A4,redemptions!$B$2:$B$121,SUMPRODUCT(MIN((redemptions!$A$2:$A$121=$A4)*(redemptions!$H$2:$H$121="Y")*redemptions!$B$2:$B$121+((redemptions!$A$2:$A$121&lt;&gt;$A4)+(redemptions!$H$2:$H$121&lt;&gt;"Y")&gt;0)*1000000)))))</f>
        <v/>
      </c>
      <c r="DC4" s="32" t="str">
        <f aca="false">IF($A4="","",SUMIFS(invoices!$E$2:$E$151,invoices!$B$2:$B$151,$A4))</f>
        <v/>
      </c>
      <c r="DD4" s="32" t="str">
        <f aca="false">IF($A4="","",IF(COUNTIFS(invoices!$B$2:$B$151,$A4,invoices!$C$2:$C$151,"standard_deposit",invoices!$H$2:$H$151,"&gt;0")=0,"",SUMIFS(invoices!$I$2:$I$151,invoices!$B$2:$B$151,$A4,invoices!$C$2:$C$151,"standard_deposit")))</f>
        <v/>
      </c>
      <c r="DE4" s="31" t="str">
        <f aca="false">IF($A4="","",IFERROR(1/(1/SUMPRODUCT(MAX((invoices!$B$2:$B$151=$A4)*(invoices!$C$2:$C$151="standard_deposit")*invoices!$H$2:$H$151))),""))</f>
        <v/>
      </c>
      <c r="DF4" s="31" t="str">
        <f aca="false">IF($A4="","",IFERROR(1/(1/SUMPRODUCT(MAX((invoices!$B$2:$B$151=$A4)*((invoices!$C$2:$C$151="founding_full")+(invoices!$C$2:$C$151="standard_balance"))*invoices!$H$2:$H$151))),""))</f>
        <v/>
      </c>
      <c r="DG4" s="32" t="str">
        <f aca="false">IF($A4="","",SUMIFS(invoices!$L$2:$L$151,invoices!$B$2:$B$151,$A4))</f>
        <v/>
      </c>
      <c r="DH4" s="32" t="str">
        <f aca="false">IF($A4="","",SUMIFS(costs!$E$2:$E$301,costs!$C$2:$C$301,$A4))</f>
        <v/>
      </c>
      <c r="DI4" s="32" t="str">
        <f aca="false">IF($A4="","",ROUND(IF(SUMIFS(campaigns!$BO$2:$BO$51,campaigns!$B$2:$B$51,$B4)=0,0,$BO4/SUMIFS(campaigns!$BO$2:$BO$51,campaigns!$B$2:$B$51,$B4))*(SUMIFS(costs!$E$2:$E$301,costs!$B$2:$B$301,$B4)-SUMPRODUCT((costs!$B$2:$B$301=$B4)*(LEN(costs!$C$2:$C$301)&gt;0)*costs!$E$2:$E$301)),2))</f>
        <v/>
      </c>
      <c r="DJ4" s="33" t="str">
        <f aca="false">IF($A4="","",SUMIFS(hours!$E$2:$E$1501,hours!$C$2:$C$1501,$A4))</f>
        <v/>
      </c>
      <c r="DK4" s="33" t="str">
        <f aca="false">IF($A4="","",ROUND(IF(SUMIFS(campaigns!$BO$2:$BO$51,campaigns!$B$2:$B$51,$B4)=0,0,$BO4/SUMIFS(campaigns!$BO$2:$BO$51,campaigns!$B$2:$B$51,$B4))*(SUMIFS(hours!$E$2:$E$1501,hours!$B$2:$B$1501,$B4)-SUMPRODUCT((hours!$B$2:$B$1501=$B4)*(LEN(hours!$C$2:$C$1501)&gt;0)*hours!$E$2:$E$1501)),2))</f>
        <v/>
      </c>
      <c r="DL4" s="32" t="str">
        <f aca="false">IF($A4="","",$DC4-$DG4-$DH4-$DI4)</f>
        <v/>
      </c>
      <c r="DM4" s="32" t="str">
        <f aca="false">IF($A4="","",IF(N($DJ4)+N($DK4)=0,"",ROUND($DL4/($DJ4+$DK4),2)))</f>
        <v/>
      </c>
      <c r="DN4" s="34" t="str">
        <f aca="false">IF($A4="","",IF(N($BP4)=0,"",COUNTIFS(approvals!$A$2:$A$251,$A4,approvals!$Q$2:$Q$251,"Y",approvals!$AK$2:$AK$251,"Y")/$BP4))</f>
        <v/>
      </c>
      <c r="DO4" s="33" t="str">
        <f aca="false">IF($A4="","",IF(COUNTIFS(approvals!$A$2:$A$251,$A4,approvals!$AC$2:$AC$251,"&gt;=0")=0,"",ROUND(SUMIFS(approvals!$AC$2:$AC$251,approvals!$A$2:$A$251,$A4)/COUNTIFS(approvals!$A$2:$A$251,$A4,approvals!$AC$2:$AC$251,"&gt;=0"),1)))</f>
        <v/>
      </c>
      <c r="DP4" s="31" t="str">
        <f aca="false">IF($A4="","",IFERROR(IF(INDEX(drops!$T$2:$T$21,MATCH($B4,drops!$A$2:$A$21,0))="","",INDEX(drops!$T$2:$T$21,MATCH($B4,drops!$A$2:$A$21,0))),""))</f>
        <v/>
      </c>
      <c r="DQ4" s="31" t="str">
        <f aca="false">IF($A4="","",IFERROR(IF(INDEX(drops!$U$2:$U$21,MATCH($B4,drops!$A$2:$A$21,0))="","",INDEX(drops!$U$2:$U$21,MATCH($B4,drops!$A$2:$A$21,0))),""))</f>
        <v/>
      </c>
      <c r="DR4" s="31" t="str">
        <f aca="false">IF($A4="","",IFERROR(IF(INDEX(drops!$W$2:$W$21,MATCH($B4,drops!$A$2:$A$21,0))="","",INDEX(drops!$W$2:$W$21,MATCH($B4,drops!$A$2:$A$21,0))),""))</f>
        <v/>
      </c>
      <c r="DS4" s="30" t="str">
        <f aca="false">IF($A4="","",IF($CE4="","",IF($CE4&gt;=config!$B$31,"pass","miss")))</f>
        <v/>
      </c>
      <c r="DT4" s="30" t="str">
        <f aca="false">IF($A4="","",IF($CI4="","",IF($CI4&gt;=config!$B$30,"pass","miss")))</f>
        <v/>
      </c>
      <c r="DU4" s="30" t="str">
        <f aca="true">IF($A4="","",IF($AT4="",IF($DP4="","",IF(IF(config!$B$37&lt;&gt;"",config!$B$37,TODAY())&gt;$DP4,"late","due")),IF($AT4&lt;=$DP4,"pass","late")))</f>
        <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15" hidden="false" customHeight="false" outlineLevel="0" collapsed="false">
      <c r="D5" s="10"/>
      <c r="G5" s="12"/>
      <c r="H5" s="11"/>
      <c r="M5" s="10"/>
      <c r="Y5" s="10"/>
      <c r="Z5" s="10"/>
      <c r="AB5" s="11"/>
      <c r="AC5" s="11"/>
      <c r="AD5" s="11"/>
      <c r="AF5" s="11"/>
      <c r="AG5" s="11"/>
      <c r="AT5" s="11"/>
      <c r="AU5" s="11"/>
      <c r="AV5" s="10"/>
      <c r="AW5" s="10"/>
      <c r="AY5" s="11"/>
      <c r="BA5" s="11"/>
      <c r="BB5" s="11"/>
      <c r="BC5" s="11"/>
      <c r="BE5" s="30" t="str">
        <f aca="false">IF($A5="","",IFERROR(IF(INDEX(brands!$K$2:$K$41,MATCH($C5,brands!$A$2:$A$41,0))="","",INDEX(brands!$K$2:$K$41,MATCH($C5,brands!$A$2:$A$41,0))),""))</f>
        <v/>
      </c>
      <c r="BF5" s="30" t="str">
        <f aca="false">IF($A5="","",IFERROR(IF(INDEX(brands!$M$2:$M$41,MATCH($C5,brands!$A$2:$A$41,0))="","",INDEX(brands!$M$2:$M$41,MATCH($C5,brands!$A$2:$A$41,0))),""))</f>
        <v/>
      </c>
      <c r="BG5" s="31" t="str">
        <f aca="false">IF($A5="","",IF(IFERROR(IF(INDEX(drops!$I$2:$I$21,MATCH($B5,drops!$A$2:$A$21,0))="","",INDEX(drops!$I$2:$I$21,MATCH($B5,drops!$A$2:$A$21,0))),"")="OK",IFERROR(IF(INDEX(drops!$B$2:$B$21,MATCH($B5,drops!$A$2:$A$21,0))="","",INDEX(drops!$B$2:$B$21,MATCH($B5,drops!$A$2:$A$21,0))),""),""))</f>
        <v/>
      </c>
      <c r="BH5" s="30" t="str">
        <f aca="false">IF($A5="","",IFERROR(IF(INDEX(drops!$C$2:$C$21,MATCH($B5,drops!$A$2:$A$21,0))="","",INDEX(drops!$C$2:$C$21,MATCH($B5,drops!$A$2:$A$21,0))),""))</f>
        <v/>
      </c>
      <c r="BI5" s="32" t="str">
        <f aca="false">IF($A5="","",IF($F5="","",IF($D5="founding",IF($E5="Y",config!$B$25*MIN($F5,config!$B$26)+config!$B$24*MAX(0,$F5-config!$B$26),config!$B$20+config!$B$24*MAX(0,$F5-config!$B$21)),IF($D5="standard",config!$B$22+config!$B$24*MAX(0,$F5-config!$B$23),""))))</f>
        <v/>
      </c>
      <c r="BJ5" s="32" t="str">
        <f aca="false">IF($A5="","",IF($G5&lt;&gt;"",$G5,$BI5))</f>
        <v/>
      </c>
      <c r="BK5" s="30" t="str">
        <f aca="false">IF($A5="","",IF($D5="founding","100% within "&amp;config!$B$27&amp;" business days of the invoice, before shipping",IF($D5="standard","50% on signing; 50% at placement confirmation (T+1)","")))</f>
        <v/>
      </c>
      <c r="BL5" s="31" t="str">
        <f aca="false">IF($A5="","",IFERROR(IF(INDEX(drops!$K$2:$K$21,MATCH($B5,drops!$A$2:$A$21,0))="","",INDEX(drops!$K$2:$K$21,MATCH($B5,drops!$A$2:$A$21,0))),""))</f>
        <v/>
      </c>
      <c r="BM5" s="31" t="str">
        <f aca="false">IF($A5="","",IFERROR(IF(INDEX(drops!$L$2:$L$21,MATCH($B5,drops!$A$2:$A$21,0))="","",INDEX(drops!$L$2:$L$21,MATCH($B5,drops!$A$2:$A$21,0))),""))</f>
        <v/>
      </c>
      <c r="BN5" s="30" t="str">
        <f aca="false">IF($A5="","",COUNTIF(approvals!$A$2:$A$251,$A5))</f>
        <v/>
      </c>
      <c r="BO5" s="30" t="str">
        <f aca="false">IF($A5="","",COUNTIFS(approvals!$A$2:$A$251,$A5,approvals!$P$2:$P$251,"Y"))</f>
        <v/>
      </c>
      <c r="BP5" s="30" t="str">
        <f aca="false">IF($A5="","",COUNTIFS(approvals!$A$2:$A$251,$A5,approvals!$Q$2:$Q$251,"Y"))</f>
        <v/>
      </c>
      <c r="BQ5" s="30" t="str">
        <f aca="false">IF($A5="","",COUNTIFS(approvals!$A$2:$A$251,$A5,approvals!$P$2:$P$251,"pending"))</f>
        <v/>
      </c>
      <c r="BR5" s="30" t="str">
        <f aca="false">IF($A5="","",SUMIFS(approvals!$S$2:$S$251,approvals!$A$2:$A$251,$A5,approvals!$P$2:$P$251,"Y"))</f>
        <v/>
      </c>
      <c r="BS5" s="30" t="str">
        <f aca="false">IF($A5="","",ROUNDUP($BR5*config!$B$18,0))</f>
        <v/>
      </c>
      <c r="BT5" s="30" t="str">
        <f aca="false">IF($A5="","",$BR5+$BS5)</f>
        <v/>
      </c>
      <c r="BU5" s="32" t="str">
        <f aca="false">IF($A5="","",SUMIFS(invoices!$I$2:$I$151,invoices!$B$2:$B$151,$A5,invoices!$R$2:$R$151,"Y",invoices!$H$2:$H$151,"&gt;0"))</f>
        <v/>
      </c>
      <c r="BV5" s="32" t="str">
        <f aca="false">IF($A5="","",IF($BJ5="","",IF($D5="founding",$BJ5,ROUND($BJ5*config!$B$28,2))))</f>
        <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30" t="str">
        <f aca="false">IF($A5="","",SUMIFS(inventory!$G$2:$G$801,inventory!$C$2:$C$801,$A5,inventory!$E$2:$E$801,"received"))</f>
        <v/>
      </c>
      <c r="BY5" s="30" t="str">
        <f aca="false">IF($A5="","",SUMIFS(inventory!$G$2:$G$801,inventory!$C$2:$C$801,$A5,inventory!$E$2:$E$801,"rejected"))</f>
        <v/>
      </c>
      <c r="BZ5" s="30" t="str">
        <f aca="false">IF($A5="","",SUMIFS(inventory!$M$2:$M$801,inventory!$C$2:$C$801,$A5))</f>
        <v/>
      </c>
      <c r="CA5" s="30" t="str">
        <f aca="false">IF($A5="","",SUMIFS(inventory!$O$2:$O$801,inventory!$C$2:$C$801,$A5))</f>
        <v/>
      </c>
      <c r="CB5" s="30" t="str">
        <f aca="false">IF($A5="","",SUMIFS(approvals!$U$2:$U$251,approvals!$A$2:$A$251,$A5))</f>
        <v/>
      </c>
      <c r="CC5" s="30" t="str">
        <f aca="false">IF($A5="","",SUMIFS(approvals!$AA$2:$AA$251,approvals!$A$2:$A$251,$A5))</f>
        <v/>
      </c>
      <c r="CD5" s="30" t="str">
        <f aca="false">IF($A5="","",SUMIFS(approvals!$AA$2:$AA$251,approvals!$A$2:$A$251,$A5,approvals!$AB$2:$AB$251,"Y"))</f>
        <v/>
      </c>
      <c r="CE5" s="34" t="str">
        <f aca="false">IF($A5="","",IF(N($CB5)=0,"",$CD5/$CB5))</f>
        <v/>
      </c>
      <c r="CF5" s="30" t="str">
        <f aca="false">IF($A5="","",SUMIFS(approvals!$AD$2:$AD$251,approvals!$A$2:$A$251,$A5))</f>
        <v/>
      </c>
      <c r="CG5" s="30" t="str">
        <f aca="false">IF($A5="","",IF(COUNTIFS(approvals!$A$2:$A$251,$A5,approvals!$Q$2:$Q$251,"Y",approvals!$AG$2:$AG$251,"")&gt;0,"",SUMIFS(approvals!$AG$2:$AG$251,approvals!$A$2:$A$251,$A5,approvals!$Q$2:$Q$251,"Y")))</f>
        <v/>
      </c>
      <c r="CH5" s="30" t="str">
        <f aca="false">IF($A5="","",SUMIFS(approvals!$AL$2:$AL$251,approvals!$A$2:$A$251,$A5,approvals!$Q$2:$Q$251,"Y"))</f>
        <v/>
      </c>
      <c r="CI5" s="30" t="str">
        <f aca="false">IF($A5="","",IF(N($BP5)=0,"",SUMPRODUCT(MIN(approvals!$BB$2:$BB$251+(approvals!$A$2:$A$251&lt;&gt;$A5)*1000000))))</f>
        <v/>
      </c>
      <c r="CJ5" s="30" t="str">
        <f aca="false">IF($A5="","",COUNTIFS(approvals!$A$2:$A$251,$A5,approvals!$Q$2:$Q$251,"Y",approvals!$AL$2:$AL$251,"&lt;"&amp;config!$B$30))</f>
        <v/>
      </c>
      <c r="CK5" s="30" t="str">
        <f aca="false">IF($A5="","",SUMIFS(approvals!$AM$2:$AM$251,approvals!$A$2:$A$251,$A5,approvals!$Q$2:$Q$251,"Y"))</f>
        <v/>
      </c>
      <c r="CL5" s="30" t="str">
        <f aca="false">IF($A5="","",SUMIFS(approvals!$AQ$2:$AQ$251,approvals!$A$2:$A$251,$A5,approvals!$Q$2:$Q$251,"Y"))</f>
        <v/>
      </c>
      <c r="CM5" s="30" t="str">
        <f aca="false">IF($A5="","",SUMIFS(approvals!$AR$2:$AR$251,approvals!$A$2:$A$251,$A5,approvals!$Q$2:$Q$251,"Y"))</f>
        <v/>
      </c>
      <c r="CN5" s="30" t="str">
        <f aca="false">IF($A5="","",SUMIFS(approvals!$AS$2:$AS$251,approvals!$A$2:$A$251,$A5,approvals!$Q$2:$Q$251,"Y"))</f>
        <v/>
      </c>
      <c r="CO5" s="30" t="str">
        <f aca="false">IF($A5="","",SUMIFS(approvals!$AT$2:$AT$251,approvals!$A$2:$A$251,$A5,approvals!$Q$2:$Q$251,"Y"))</f>
        <v/>
      </c>
      <c r="CP5" s="33" t="str">
        <f aca="false">IF($A5="","",IF(N($CO5)=0,"",ROUND(SUMIFS(approvals!$AU$2:$AU$251,approvals!$A$2:$A$251,$A5,approvals!$Q$2:$Q$251,"Y")/$CO5,1)))</f>
        <v/>
      </c>
      <c r="CQ5" s="30" t="str">
        <f aca="false">IF($A5="","",SUMIFS(approvals!$AV$2:$AV$251,approvals!$A$2:$A$251,$A5,approvals!$Q$2:$Q$251,"Y"))</f>
        <v/>
      </c>
      <c r="CR5" s="30" t="str">
        <f aca="false">IF($A5="","",SUMIFS(approvals!$AW$2:$AW$251,approvals!$A$2:$A$251,$A5,approvals!$Q$2:$Q$251,"Y"))</f>
        <v/>
      </c>
      <c r="CS5" s="30" t="str">
        <f aca="false">IF($A5="","",SUMIFS(approvals!$AX$2:$AX$251,approvals!$A$2:$A$251,$A5,approvals!$Q$2:$Q$251,"Y"))</f>
        <v/>
      </c>
      <c r="CT5" s="30" t="str">
        <f aca="false">IF($A5="","",SUMIFS(approvals!$AY$2:$AY$251,approvals!$A$2:$A$251,$A5,approvals!$Q$2:$Q$251,"Y"))</f>
        <v/>
      </c>
      <c r="CU5" s="30" t="str">
        <f aca="true">IF($A5="","",IF(OR($BG5="",$BC5&lt;&gt;""),"",IFERROR(COUNT(INDIRECT("'"&amp;$A5&amp;"'!$A$2:$A$501")),0)-IFERROR(COUNTIFS(INDIRECT("'"&amp;$A5&amp;"'!$A$2:$A$501"),"&gt;="&amp;$BG5,INDIRECT("'"&amp;$A5&amp;"'!$A$2:$A$501"),"&lt;"&amp;(IFERROR(IF(INDEX(drops!$R$2:$R$21,MATCH($B5,drops!$A$2:$A$21,0))="","",INDEX(drops!$R$2:$R$21,MATCH($B5,drops!$A$2:$A$21,0))),"")+1)),0)))</f>
        <v/>
      </c>
      <c r="CV5" s="30" t="str">
        <f aca="true">IF($A5="","",IF(OR($BG5="",$BC5&lt;&gt;""),"",IFERROR(COUNTIFS(INDIRECT("'"&amp;$A5&amp;"'!$A$2:$A$501"),"&gt;="&amp;$BG5,INDIRECT("'"&amp;$A5&amp;"'!$A$2:$A$501"),"&lt;"&amp;(IFERROR(IF(INDEX(drops!$R$2:$R$21,MATCH($B5,drops!$A$2:$A$21,0))="","",INDEX(drops!$R$2:$R$21,MATCH($B5,drops!$A$2:$A$21,0))),"")+1)),0)-N($CH5)-N($CW5)))</f>
        <v/>
      </c>
      <c r="CW5" s="30" t="str">
        <f aca="false">IF($A5="","",IF($BG5="","",SUMIFS(approvals!$AL$2:$AL$251,approvals!$A$2:$A$251,$A5,approvals!$Q$2:$Q$251,"&lt;&gt;Y")))</f>
        <v/>
      </c>
      <c r="CX5" s="30" t="str">
        <f aca="false">IF($A5="","",SUMIFS(approvals!$AN$2:$AN$251,approvals!$A$2:$A$251,$A5,approvals!$Q$2:$Q$251,"Y"))</f>
        <v/>
      </c>
      <c r="CY5" s="30" t="str">
        <f aca="false">IF($A5="","",SUMIFS(approvals!$AO$2:$AO$251,approvals!$A$2:$A$251,$A5,approvals!$Q$2:$Q$251,"Y"))</f>
        <v/>
      </c>
      <c r="CZ5" s="30" t="str">
        <f aca="false">IF($A5="","",IF($DA5="","",SUMIFS(redemptions!$C$2:$C$121,redemptions!$A$2:$A$121,$A5,redemptions!$B$2:$B$121,$DA5)))</f>
        <v/>
      </c>
      <c r="DA5" s="31" t="str">
        <f aca="false">IF($A5="","",IFERROR(1/(1/SUMPRODUCT(MAX((redemptions!$A$2:$A$121=$A5)*redemptions!$B$2:$B$121))),""))</f>
        <v/>
      </c>
      <c r="DB5" s="30" t="str">
        <f aca="false">IF($A5="","",IF(COUNTIFS(redemptions!$A$2:$A$121,$A5,redemptions!$H$2:$H$121,"Y")=0,"",SUMIFS(redemptions!$C$2:$C$121,redemptions!$A$2:$A$121,$A5,redemptions!$B$2:$B$121,SUMPRODUCT(MIN((redemptions!$A$2:$A$121=$A5)*(redemptions!$H$2:$H$121="Y")*redemptions!$B$2:$B$121+((redemptions!$A$2:$A$121&lt;&gt;$A5)+(redemptions!$H$2:$H$121&lt;&gt;"Y")&gt;0)*1000000)))))</f>
        <v/>
      </c>
      <c r="DC5" s="32" t="str">
        <f aca="false">IF($A5="","",SUMIFS(invoices!$E$2:$E$151,invoices!$B$2:$B$151,$A5))</f>
        <v/>
      </c>
      <c r="DD5" s="32" t="str">
        <f aca="false">IF($A5="","",IF(COUNTIFS(invoices!$B$2:$B$151,$A5,invoices!$C$2:$C$151,"standard_deposit",invoices!$H$2:$H$151,"&gt;0")=0,"",SUMIFS(invoices!$I$2:$I$151,invoices!$B$2:$B$151,$A5,invoices!$C$2:$C$151,"standard_deposit")))</f>
        <v/>
      </c>
      <c r="DE5" s="31" t="str">
        <f aca="false">IF($A5="","",IFERROR(1/(1/SUMPRODUCT(MAX((invoices!$B$2:$B$151=$A5)*(invoices!$C$2:$C$151="standard_deposit")*invoices!$H$2:$H$151))),""))</f>
        <v/>
      </c>
      <c r="DF5" s="31" t="str">
        <f aca="false">IF($A5="","",IFERROR(1/(1/SUMPRODUCT(MAX((invoices!$B$2:$B$151=$A5)*((invoices!$C$2:$C$151="founding_full")+(invoices!$C$2:$C$151="standard_balance"))*invoices!$H$2:$H$151))),""))</f>
        <v/>
      </c>
      <c r="DG5" s="32" t="str">
        <f aca="false">IF($A5="","",SUMIFS(invoices!$L$2:$L$151,invoices!$B$2:$B$151,$A5))</f>
        <v/>
      </c>
      <c r="DH5" s="32" t="str">
        <f aca="false">IF($A5="","",SUMIFS(costs!$E$2:$E$301,costs!$C$2:$C$301,$A5))</f>
        <v/>
      </c>
      <c r="DI5" s="32" t="str">
        <f aca="false">IF($A5="","",ROUND(IF(SUMIFS(campaigns!$BO$2:$BO$51,campaigns!$B$2:$B$51,$B5)=0,0,$BO5/SUMIFS(campaigns!$BO$2:$BO$51,campaigns!$B$2:$B$51,$B5))*(SUMIFS(costs!$E$2:$E$301,costs!$B$2:$B$301,$B5)-SUMPRODUCT((costs!$B$2:$B$301=$B5)*(LEN(costs!$C$2:$C$301)&gt;0)*costs!$E$2:$E$301)),2))</f>
        <v/>
      </c>
      <c r="DJ5" s="33" t="str">
        <f aca="false">IF($A5="","",SUMIFS(hours!$E$2:$E$1501,hours!$C$2:$C$1501,$A5))</f>
        <v/>
      </c>
      <c r="DK5" s="33" t="str">
        <f aca="false">IF($A5="","",ROUND(IF(SUMIFS(campaigns!$BO$2:$BO$51,campaigns!$B$2:$B$51,$B5)=0,0,$BO5/SUMIFS(campaigns!$BO$2:$BO$51,campaigns!$B$2:$B$51,$B5))*(SUMIFS(hours!$E$2:$E$1501,hours!$B$2:$B$1501,$B5)-SUMPRODUCT((hours!$B$2:$B$1501=$B5)*(LEN(hours!$C$2:$C$1501)&gt;0)*hours!$E$2:$E$1501)),2))</f>
        <v/>
      </c>
      <c r="DL5" s="32" t="str">
        <f aca="false">IF($A5="","",$DC5-$DG5-$DH5-$DI5)</f>
        <v/>
      </c>
      <c r="DM5" s="32" t="str">
        <f aca="false">IF($A5="","",IF(N($DJ5)+N($DK5)=0,"",ROUND($DL5/($DJ5+$DK5),2)))</f>
        <v/>
      </c>
      <c r="DN5" s="34" t="str">
        <f aca="false">IF($A5="","",IF(N($BP5)=0,"",COUNTIFS(approvals!$A$2:$A$251,$A5,approvals!$Q$2:$Q$251,"Y",approvals!$AK$2:$AK$251,"Y")/$BP5))</f>
        <v/>
      </c>
      <c r="DO5" s="33" t="str">
        <f aca="false">IF($A5="","",IF(COUNTIFS(approvals!$A$2:$A$251,$A5,approvals!$AC$2:$AC$251,"&gt;=0")=0,"",ROUND(SUMIFS(approvals!$AC$2:$AC$251,approvals!$A$2:$A$251,$A5)/COUNTIFS(approvals!$A$2:$A$251,$A5,approvals!$AC$2:$AC$251,"&gt;=0"),1)))</f>
        <v/>
      </c>
      <c r="DP5" s="31" t="str">
        <f aca="false">IF($A5="","",IFERROR(IF(INDEX(drops!$T$2:$T$21,MATCH($B5,drops!$A$2:$A$21,0))="","",INDEX(drops!$T$2:$T$21,MATCH($B5,drops!$A$2:$A$21,0))),""))</f>
        <v/>
      </c>
      <c r="DQ5" s="31" t="str">
        <f aca="false">IF($A5="","",IFERROR(IF(INDEX(drops!$U$2:$U$21,MATCH($B5,drops!$A$2:$A$21,0))="","",INDEX(drops!$U$2:$U$21,MATCH($B5,drops!$A$2:$A$21,0))),""))</f>
        <v/>
      </c>
      <c r="DR5" s="31" t="str">
        <f aca="false">IF($A5="","",IFERROR(IF(INDEX(drops!$W$2:$W$21,MATCH($B5,drops!$A$2:$A$21,0))="","",INDEX(drops!$W$2:$W$21,MATCH($B5,drops!$A$2:$A$21,0))),""))</f>
        <v/>
      </c>
      <c r="DS5" s="30" t="str">
        <f aca="false">IF($A5="","",IF($CE5="","",IF($CE5&gt;=config!$B$31,"pass","miss")))</f>
        <v/>
      </c>
      <c r="DT5" s="30" t="str">
        <f aca="false">IF($A5="","",IF($CI5="","",IF($CI5&gt;=config!$B$30,"pass","miss")))</f>
        <v/>
      </c>
      <c r="DU5" s="30" t="str">
        <f aca="true">IF($A5="","",IF($AT5="",IF($DP5="","",IF(IF(config!$B$37&lt;&gt;"",config!$B$37,TODAY())&gt;$DP5,"late","due")),IF($AT5&lt;=$DP5,"pass","late")))</f>
        <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ustomFormat="false" ht="15" hidden="false" customHeight="false" outlineLevel="0" collapsed="false">
      <c r="D6" s="10"/>
      <c r="G6" s="12"/>
      <c r="H6" s="11"/>
      <c r="M6" s="10"/>
      <c r="Y6" s="10"/>
      <c r="Z6" s="10"/>
      <c r="AB6" s="11"/>
      <c r="AC6" s="11"/>
      <c r="AD6" s="11"/>
      <c r="AF6" s="11"/>
      <c r="AG6" s="11"/>
      <c r="AT6" s="11"/>
      <c r="AU6" s="11"/>
      <c r="AV6" s="10"/>
      <c r="AW6" s="10"/>
      <c r="AY6" s="11"/>
      <c r="BA6" s="11"/>
      <c r="BB6" s="11"/>
      <c r="BC6" s="11"/>
      <c r="BE6" s="30" t="str">
        <f aca="false">IF($A6="","",IFERROR(IF(INDEX(brands!$K$2:$K$41,MATCH($C6,brands!$A$2:$A$41,0))="","",INDEX(brands!$K$2:$K$41,MATCH($C6,brands!$A$2:$A$41,0))),""))</f>
        <v/>
      </c>
      <c r="BF6" s="30" t="str">
        <f aca="false">IF($A6="","",IFERROR(IF(INDEX(brands!$M$2:$M$41,MATCH($C6,brands!$A$2:$A$41,0))="","",INDEX(brands!$M$2:$M$41,MATCH($C6,brands!$A$2:$A$41,0))),""))</f>
        <v/>
      </c>
      <c r="BG6" s="31" t="str">
        <f aca="false">IF($A6="","",IF(IFERROR(IF(INDEX(drops!$I$2:$I$21,MATCH($B6,drops!$A$2:$A$21,0))="","",INDEX(drops!$I$2:$I$21,MATCH($B6,drops!$A$2:$A$21,0))),"")="OK",IFERROR(IF(INDEX(drops!$B$2:$B$21,MATCH($B6,drops!$A$2:$A$21,0))="","",INDEX(drops!$B$2:$B$21,MATCH($B6,drops!$A$2:$A$21,0))),""),""))</f>
        <v/>
      </c>
      <c r="BH6" s="30" t="str">
        <f aca="false">IF($A6="","",IFERROR(IF(INDEX(drops!$C$2:$C$21,MATCH($B6,drops!$A$2:$A$21,0))="","",INDEX(drops!$C$2:$C$21,MATCH($B6,drops!$A$2:$A$21,0))),""))</f>
        <v/>
      </c>
      <c r="BI6" s="32" t="str">
        <f aca="false">IF($A6="","",IF($F6="","",IF($D6="founding",IF($E6="Y",config!$B$25*MIN($F6,config!$B$26)+config!$B$24*MAX(0,$F6-config!$B$26),config!$B$20+config!$B$24*MAX(0,$F6-config!$B$21)),IF($D6="standard",config!$B$22+config!$B$24*MAX(0,$F6-config!$B$23),""))))</f>
        <v/>
      </c>
      <c r="BJ6" s="32" t="str">
        <f aca="false">IF($A6="","",IF($G6&lt;&gt;"",$G6,$BI6))</f>
        <v/>
      </c>
      <c r="BK6" s="30" t="str">
        <f aca="false">IF($A6="","",IF($D6="founding","100% within "&amp;config!$B$27&amp;" business days of the invoice, before shipping",IF($D6="standard","50% on signing; 50% at placement confirmation (T+1)","")))</f>
        <v/>
      </c>
      <c r="BL6" s="31" t="str">
        <f aca="false">IF($A6="","",IFERROR(IF(INDEX(drops!$K$2:$K$21,MATCH($B6,drops!$A$2:$A$21,0))="","",INDEX(drops!$K$2:$K$21,MATCH($B6,drops!$A$2:$A$21,0))),""))</f>
        <v/>
      </c>
      <c r="BM6" s="31" t="str">
        <f aca="false">IF($A6="","",IFERROR(IF(INDEX(drops!$L$2:$L$21,MATCH($B6,drops!$A$2:$A$21,0))="","",INDEX(drops!$L$2:$L$21,MATCH($B6,drops!$A$2:$A$21,0))),""))</f>
        <v/>
      </c>
      <c r="BN6" s="30" t="str">
        <f aca="false">IF($A6="","",COUNTIF(approvals!$A$2:$A$251,$A6))</f>
        <v/>
      </c>
      <c r="BO6" s="30" t="str">
        <f aca="false">IF($A6="","",COUNTIFS(approvals!$A$2:$A$251,$A6,approvals!$P$2:$P$251,"Y"))</f>
        <v/>
      </c>
      <c r="BP6" s="30" t="str">
        <f aca="false">IF($A6="","",COUNTIFS(approvals!$A$2:$A$251,$A6,approvals!$Q$2:$Q$251,"Y"))</f>
        <v/>
      </c>
      <c r="BQ6" s="30" t="str">
        <f aca="false">IF($A6="","",COUNTIFS(approvals!$A$2:$A$251,$A6,approvals!$P$2:$P$251,"pending"))</f>
        <v/>
      </c>
      <c r="BR6" s="30" t="str">
        <f aca="false">IF($A6="","",SUMIFS(approvals!$S$2:$S$251,approvals!$A$2:$A$251,$A6,approvals!$P$2:$P$251,"Y"))</f>
        <v/>
      </c>
      <c r="BS6" s="30" t="str">
        <f aca="false">IF($A6="","",ROUNDUP($BR6*config!$B$18,0))</f>
        <v/>
      </c>
      <c r="BT6" s="30" t="str">
        <f aca="false">IF($A6="","",$BR6+$BS6)</f>
        <v/>
      </c>
      <c r="BU6" s="32" t="str">
        <f aca="false">IF($A6="","",SUMIFS(invoices!$I$2:$I$151,invoices!$B$2:$B$151,$A6,invoices!$R$2:$R$151,"Y",invoices!$H$2:$H$151,"&gt;0"))</f>
        <v/>
      </c>
      <c r="BV6" s="32" t="str">
        <f aca="false">IF($A6="","",IF($BJ6="","",IF($D6="founding",$BJ6,ROUND($BJ6*config!$B$28,2))))</f>
        <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30" t="str">
        <f aca="false">IF($A6="","",SUMIFS(inventory!$G$2:$G$801,inventory!$C$2:$C$801,$A6,inventory!$E$2:$E$801,"received"))</f>
        <v/>
      </c>
      <c r="BY6" s="30" t="str">
        <f aca="false">IF($A6="","",SUMIFS(inventory!$G$2:$G$801,inventory!$C$2:$C$801,$A6,inventory!$E$2:$E$801,"rejected"))</f>
        <v/>
      </c>
      <c r="BZ6" s="30" t="str">
        <f aca="false">IF($A6="","",SUMIFS(inventory!$M$2:$M$801,inventory!$C$2:$C$801,$A6))</f>
        <v/>
      </c>
      <c r="CA6" s="30" t="str">
        <f aca="false">IF($A6="","",SUMIFS(inventory!$O$2:$O$801,inventory!$C$2:$C$801,$A6))</f>
        <v/>
      </c>
      <c r="CB6" s="30" t="str">
        <f aca="false">IF($A6="","",SUMIFS(approvals!$U$2:$U$251,approvals!$A$2:$A$251,$A6))</f>
        <v/>
      </c>
      <c r="CC6" s="30" t="str">
        <f aca="false">IF($A6="","",SUMIFS(approvals!$AA$2:$AA$251,approvals!$A$2:$A$251,$A6))</f>
        <v/>
      </c>
      <c r="CD6" s="30" t="str">
        <f aca="false">IF($A6="","",SUMIFS(approvals!$AA$2:$AA$251,approvals!$A$2:$A$251,$A6,approvals!$AB$2:$AB$251,"Y"))</f>
        <v/>
      </c>
      <c r="CE6" s="34" t="str">
        <f aca="false">IF($A6="","",IF(N($CB6)=0,"",$CD6/$CB6))</f>
        <v/>
      </c>
      <c r="CF6" s="30" t="str">
        <f aca="false">IF($A6="","",SUMIFS(approvals!$AD$2:$AD$251,approvals!$A$2:$A$251,$A6))</f>
        <v/>
      </c>
      <c r="CG6" s="30" t="str">
        <f aca="false">IF($A6="","",IF(COUNTIFS(approvals!$A$2:$A$251,$A6,approvals!$Q$2:$Q$251,"Y",approvals!$AG$2:$AG$251,"")&gt;0,"",SUMIFS(approvals!$AG$2:$AG$251,approvals!$A$2:$A$251,$A6,approvals!$Q$2:$Q$251,"Y")))</f>
        <v/>
      </c>
      <c r="CH6" s="30" t="str">
        <f aca="false">IF($A6="","",SUMIFS(approvals!$AL$2:$AL$251,approvals!$A$2:$A$251,$A6,approvals!$Q$2:$Q$251,"Y"))</f>
        <v/>
      </c>
      <c r="CI6" s="30" t="str">
        <f aca="false">IF($A6="","",IF(N($BP6)=0,"",SUMPRODUCT(MIN(approvals!$BB$2:$BB$251+(approvals!$A$2:$A$251&lt;&gt;$A6)*1000000))))</f>
        <v/>
      </c>
      <c r="CJ6" s="30" t="str">
        <f aca="false">IF($A6="","",COUNTIFS(approvals!$A$2:$A$251,$A6,approvals!$Q$2:$Q$251,"Y",approvals!$AL$2:$AL$251,"&lt;"&amp;config!$B$30))</f>
        <v/>
      </c>
      <c r="CK6" s="30" t="str">
        <f aca="false">IF($A6="","",SUMIFS(approvals!$AM$2:$AM$251,approvals!$A$2:$A$251,$A6,approvals!$Q$2:$Q$251,"Y"))</f>
        <v/>
      </c>
      <c r="CL6" s="30" t="str">
        <f aca="false">IF($A6="","",SUMIFS(approvals!$AQ$2:$AQ$251,approvals!$A$2:$A$251,$A6,approvals!$Q$2:$Q$251,"Y"))</f>
        <v/>
      </c>
      <c r="CM6" s="30" t="str">
        <f aca="false">IF($A6="","",SUMIFS(approvals!$AR$2:$AR$251,approvals!$A$2:$A$251,$A6,approvals!$Q$2:$Q$251,"Y"))</f>
        <v/>
      </c>
      <c r="CN6" s="30" t="str">
        <f aca="false">IF($A6="","",SUMIFS(approvals!$AS$2:$AS$251,approvals!$A$2:$A$251,$A6,approvals!$Q$2:$Q$251,"Y"))</f>
        <v/>
      </c>
      <c r="CO6" s="30" t="str">
        <f aca="false">IF($A6="","",SUMIFS(approvals!$AT$2:$AT$251,approvals!$A$2:$A$251,$A6,approvals!$Q$2:$Q$251,"Y"))</f>
        <v/>
      </c>
      <c r="CP6" s="33" t="str">
        <f aca="false">IF($A6="","",IF(N($CO6)=0,"",ROUND(SUMIFS(approvals!$AU$2:$AU$251,approvals!$A$2:$A$251,$A6,approvals!$Q$2:$Q$251,"Y")/$CO6,1)))</f>
        <v/>
      </c>
      <c r="CQ6" s="30" t="str">
        <f aca="false">IF($A6="","",SUMIFS(approvals!$AV$2:$AV$251,approvals!$A$2:$A$251,$A6,approvals!$Q$2:$Q$251,"Y"))</f>
        <v/>
      </c>
      <c r="CR6" s="30" t="str">
        <f aca="false">IF($A6="","",SUMIFS(approvals!$AW$2:$AW$251,approvals!$A$2:$A$251,$A6,approvals!$Q$2:$Q$251,"Y"))</f>
        <v/>
      </c>
      <c r="CS6" s="30" t="str">
        <f aca="false">IF($A6="","",SUMIFS(approvals!$AX$2:$AX$251,approvals!$A$2:$A$251,$A6,approvals!$Q$2:$Q$251,"Y"))</f>
        <v/>
      </c>
      <c r="CT6" s="30" t="str">
        <f aca="false">IF($A6="","",SUMIFS(approvals!$AY$2:$AY$251,approvals!$A$2:$A$251,$A6,approvals!$Q$2:$Q$251,"Y"))</f>
        <v/>
      </c>
      <c r="CU6" s="30" t="str">
        <f aca="true">IF($A6="","",IF(OR($BG6="",$BC6&lt;&gt;""),"",IFERROR(COUNT(INDIRECT("'"&amp;$A6&amp;"'!$A$2:$A$501")),0)-IFERROR(COUNTIFS(INDIRECT("'"&amp;$A6&amp;"'!$A$2:$A$501"),"&gt;="&amp;$BG6,INDIRECT("'"&amp;$A6&amp;"'!$A$2:$A$501"),"&lt;"&amp;(IFERROR(IF(INDEX(drops!$R$2:$R$21,MATCH($B6,drops!$A$2:$A$21,0))="","",INDEX(drops!$R$2:$R$21,MATCH($B6,drops!$A$2:$A$21,0))),"")+1)),0)))</f>
        <v/>
      </c>
      <c r="CV6" s="30" t="str">
        <f aca="true">IF($A6="","",IF(OR($BG6="",$BC6&lt;&gt;""),"",IFERROR(COUNTIFS(INDIRECT("'"&amp;$A6&amp;"'!$A$2:$A$501"),"&gt;="&amp;$BG6,INDIRECT("'"&amp;$A6&amp;"'!$A$2:$A$501"),"&lt;"&amp;(IFERROR(IF(INDEX(drops!$R$2:$R$21,MATCH($B6,drops!$A$2:$A$21,0))="","",INDEX(drops!$R$2:$R$21,MATCH($B6,drops!$A$2:$A$21,0))),"")+1)),0)-N($CH6)-N($CW6)))</f>
        <v/>
      </c>
      <c r="CW6" s="30" t="str">
        <f aca="false">IF($A6="","",IF($BG6="","",SUMIFS(approvals!$AL$2:$AL$251,approvals!$A$2:$A$251,$A6,approvals!$Q$2:$Q$251,"&lt;&gt;Y")))</f>
        <v/>
      </c>
      <c r="CX6" s="30" t="str">
        <f aca="false">IF($A6="","",SUMIFS(approvals!$AN$2:$AN$251,approvals!$A$2:$A$251,$A6,approvals!$Q$2:$Q$251,"Y"))</f>
        <v/>
      </c>
      <c r="CY6" s="30" t="str">
        <f aca="false">IF($A6="","",SUMIFS(approvals!$AO$2:$AO$251,approvals!$A$2:$A$251,$A6,approvals!$Q$2:$Q$251,"Y"))</f>
        <v/>
      </c>
      <c r="CZ6" s="30" t="str">
        <f aca="false">IF($A6="","",IF($DA6="","",SUMIFS(redemptions!$C$2:$C$121,redemptions!$A$2:$A$121,$A6,redemptions!$B$2:$B$121,$DA6)))</f>
        <v/>
      </c>
      <c r="DA6" s="31" t="str">
        <f aca="false">IF($A6="","",IFERROR(1/(1/SUMPRODUCT(MAX((redemptions!$A$2:$A$121=$A6)*redemptions!$B$2:$B$121))),""))</f>
        <v/>
      </c>
      <c r="DB6" s="30" t="str">
        <f aca="false">IF($A6="","",IF(COUNTIFS(redemptions!$A$2:$A$121,$A6,redemptions!$H$2:$H$121,"Y")=0,"",SUMIFS(redemptions!$C$2:$C$121,redemptions!$A$2:$A$121,$A6,redemptions!$B$2:$B$121,SUMPRODUCT(MIN((redemptions!$A$2:$A$121=$A6)*(redemptions!$H$2:$H$121="Y")*redemptions!$B$2:$B$121+((redemptions!$A$2:$A$121&lt;&gt;$A6)+(redemptions!$H$2:$H$121&lt;&gt;"Y")&gt;0)*1000000)))))</f>
        <v/>
      </c>
      <c r="DC6" s="32" t="str">
        <f aca="false">IF($A6="","",SUMIFS(invoices!$E$2:$E$151,invoices!$B$2:$B$151,$A6))</f>
        <v/>
      </c>
      <c r="DD6" s="32" t="str">
        <f aca="false">IF($A6="","",IF(COUNTIFS(invoices!$B$2:$B$151,$A6,invoices!$C$2:$C$151,"standard_deposit",invoices!$H$2:$H$151,"&gt;0")=0,"",SUMIFS(invoices!$I$2:$I$151,invoices!$B$2:$B$151,$A6,invoices!$C$2:$C$151,"standard_deposit")))</f>
        <v/>
      </c>
      <c r="DE6" s="31" t="str">
        <f aca="false">IF($A6="","",IFERROR(1/(1/SUMPRODUCT(MAX((invoices!$B$2:$B$151=$A6)*(invoices!$C$2:$C$151="standard_deposit")*invoices!$H$2:$H$151))),""))</f>
        <v/>
      </c>
      <c r="DF6" s="31" t="str">
        <f aca="false">IF($A6="","",IFERROR(1/(1/SUMPRODUCT(MAX((invoices!$B$2:$B$151=$A6)*((invoices!$C$2:$C$151="founding_full")+(invoices!$C$2:$C$151="standard_balance"))*invoices!$H$2:$H$151))),""))</f>
        <v/>
      </c>
      <c r="DG6" s="32" t="str">
        <f aca="false">IF($A6="","",SUMIFS(invoices!$L$2:$L$151,invoices!$B$2:$B$151,$A6))</f>
        <v/>
      </c>
      <c r="DH6" s="32" t="str">
        <f aca="false">IF($A6="","",SUMIFS(costs!$E$2:$E$301,costs!$C$2:$C$301,$A6))</f>
        <v/>
      </c>
      <c r="DI6" s="32" t="str">
        <f aca="false">IF($A6="","",ROUND(IF(SUMIFS(campaigns!$BO$2:$BO$51,campaigns!$B$2:$B$51,$B6)=0,0,$BO6/SUMIFS(campaigns!$BO$2:$BO$51,campaigns!$B$2:$B$51,$B6))*(SUMIFS(costs!$E$2:$E$301,costs!$B$2:$B$301,$B6)-SUMPRODUCT((costs!$B$2:$B$301=$B6)*(LEN(costs!$C$2:$C$301)&gt;0)*costs!$E$2:$E$301)),2))</f>
        <v/>
      </c>
      <c r="DJ6" s="33" t="str">
        <f aca="false">IF($A6="","",SUMIFS(hours!$E$2:$E$1501,hours!$C$2:$C$1501,$A6))</f>
        <v/>
      </c>
      <c r="DK6" s="33" t="str">
        <f aca="false">IF($A6="","",ROUND(IF(SUMIFS(campaigns!$BO$2:$BO$51,campaigns!$B$2:$B$51,$B6)=0,0,$BO6/SUMIFS(campaigns!$BO$2:$BO$51,campaigns!$B$2:$B$51,$B6))*(SUMIFS(hours!$E$2:$E$1501,hours!$B$2:$B$1501,$B6)-SUMPRODUCT((hours!$B$2:$B$1501=$B6)*(LEN(hours!$C$2:$C$1501)&gt;0)*hours!$E$2:$E$1501)),2))</f>
        <v/>
      </c>
      <c r="DL6" s="32" t="str">
        <f aca="false">IF($A6="","",$DC6-$DG6-$DH6-$DI6)</f>
        <v/>
      </c>
      <c r="DM6" s="32" t="str">
        <f aca="false">IF($A6="","",IF(N($DJ6)+N($DK6)=0,"",ROUND($DL6/($DJ6+$DK6),2)))</f>
        <v/>
      </c>
      <c r="DN6" s="34" t="str">
        <f aca="false">IF($A6="","",IF(N($BP6)=0,"",COUNTIFS(approvals!$A$2:$A$251,$A6,approvals!$Q$2:$Q$251,"Y",approvals!$AK$2:$AK$251,"Y")/$BP6))</f>
        <v/>
      </c>
      <c r="DO6" s="33" t="str">
        <f aca="false">IF($A6="","",IF(COUNTIFS(approvals!$A$2:$A$251,$A6,approvals!$AC$2:$AC$251,"&gt;=0")=0,"",ROUND(SUMIFS(approvals!$AC$2:$AC$251,approvals!$A$2:$A$251,$A6)/COUNTIFS(approvals!$A$2:$A$251,$A6,approvals!$AC$2:$AC$251,"&gt;=0"),1)))</f>
        <v/>
      </c>
      <c r="DP6" s="31" t="str">
        <f aca="false">IF($A6="","",IFERROR(IF(INDEX(drops!$T$2:$T$21,MATCH($B6,drops!$A$2:$A$21,0))="","",INDEX(drops!$T$2:$T$21,MATCH($B6,drops!$A$2:$A$21,0))),""))</f>
        <v/>
      </c>
      <c r="DQ6" s="31" t="str">
        <f aca="false">IF($A6="","",IFERROR(IF(INDEX(drops!$U$2:$U$21,MATCH($B6,drops!$A$2:$A$21,0))="","",INDEX(drops!$U$2:$U$21,MATCH($B6,drops!$A$2:$A$21,0))),""))</f>
        <v/>
      </c>
      <c r="DR6" s="31" t="str">
        <f aca="false">IF($A6="","",IFERROR(IF(INDEX(drops!$W$2:$W$21,MATCH($B6,drops!$A$2:$A$21,0))="","",INDEX(drops!$W$2:$W$21,MATCH($B6,drops!$A$2:$A$21,0))),""))</f>
        <v/>
      </c>
      <c r="DS6" s="30" t="str">
        <f aca="false">IF($A6="","",IF($CE6="","",IF($CE6&gt;=config!$B$31,"pass","miss")))</f>
        <v/>
      </c>
      <c r="DT6" s="30" t="str">
        <f aca="false">IF($A6="","",IF($CI6="","",IF($CI6&gt;=config!$B$30,"pass","miss")))</f>
        <v/>
      </c>
      <c r="DU6" s="30" t="str">
        <f aca="true">IF($A6="","",IF($AT6="",IF($DP6="","",IF(IF(config!$B$37&lt;&gt;"",config!$B$37,TODAY())&gt;$DP6,"late","due")),IF($AT6&lt;=$DP6,"pass","late")))</f>
        <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D7" s="10"/>
      <c r="G7" s="12"/>
      <c r="H7" s="11"/>
      <c r="M7" s="10"/>
      <c r="Y7" s="10"/>
      <c r="Z7" s="10"/>
      <c r="AB7" s="11"/>
      <c r="AC7" s="11"/>
      <c r="AD7" s="11"/>
      <c r="AF7" s="11"/>
      <c r="AG7" s="11"/>
      <c r="AT7" s="11"/>
      <c r="AU7" s="11"/>
      <c r="AV7" s="10"/>
      <c r="AW7" s="10"/>
      <c r="AY7" s="11"/>
      <c r="BA7" s="11"/>
      <c r="BB7" s="11"/>
      <c r="BC7" s="11"/>
      <c r="BE7" s="30" t="str">
        <f aca="false">IF($A7="","",IFERROR(IF(INDEX(brands!$K$2:$K$41,MATCH($C7,brands!$A$2:$A$41,0))="","",INDEX(brands!$K$2:$K$41,MATCH($C7,brands!$A$2:$A$41,0))),""))</f>
        <v/>
      </c>
      <c r="BF7" s="30" t="str">
        <f aca="false">IF($A7="","",IFERROR(IF(INDEX(brands!$M$2:$M$41,MATCH($C7,brands!$A$2:$A$41,0))="","",INDEX(brands!$M$2:$M$41,MATCH($C7,brands!$A$2:$A$41,0))),""))</f>
        <v/>
      </c>
      <c r="BG7" s="31" t="str">
        <f aca="false">IF($A7="","",IF(IFERROR(IF(INDEX(drops!$I$2:$I$21,MATCH($B7,drops!$A$2:$A$21,0))="","",INDEX(drops!$I$2:$I$21,MATCH($B7,drops!$A$2:$A$21,0))),"")="OK",IFERROR(IF(INDEX(drops!$B$2:$B$21,MATCH($B7,drops!$A$2:$A$21,0))="","",INDEX(drops!$B$2:$B$21,MATCH($B7,drops!$A$2:$A$21,0))),""),""))</f>
        <v/>
      </c>
      <c r="BH7" s="30" t="str">
        <f aca="false">IF($A7="","",IFERROR(IF(INDEX(drops!$C$2:$C$21,MATCH($B7,drops!$A$2:$A$21,0))="","",INDEX(drops!$C$2:$C$21,MATCH($B7,drops!$A$2:$A$21,0))),""))</f>
        <v/>
      </c>
      <c r="BI7" s="32" t="str">
        <f aca="false">IF($A7="","",IF($F7="","",IF($D7="founding",IF($E7="Y",config!$B$25*MIN($F7,config!$B$26)+config!$B$24*MAX(0,$F7-config!$B$26),config!$B$20+config!$B$24*MAX(0,$F7-config!$B$21)),IF($D7="standard",config!$B$22+config!$B$24*MAX(0,$F7-config!$B$23),""))))</f>
        <v/>
      </c>
      <c r="BJ7" s="32" t="str">
        <f aca="false">IF($A7="","",IF($G7&lt;&gt;"",$G7,$BI7))</f>
        <v/>
      </c>
      <c r="BK7" s="30" t="str">
        <f aca="false">IF($A7="","",IF($D7="founding","100% within "&amp;config!$B$27&amp;" business days of the invoice, before shipping",IF($D7="standard","50% on signing; 50% at placement confirmation (T+1)","")))</f>
        <v/>
      </c>
      <c r="BL7" s="31" t="str">
        <f aca="false">IF($A7="","",IFERROR(IF(INDEX(drops!$K$2:$K$21,MATCH($B7,drops!$A$2:$A$21,0))="","",INDEX(drops!$K$2:$K$21,MATCH($B7,drops!$A$2:$A$21,0))),""))</f>
        <v/>
      </c>
      <c r="BM7" s="31" t="str">
        <f aca="false">IF($A7="","",IFERROR(IF(INDEX(drops!$L$2:$L$21,MATCH($B7,drops!$A$2:$A$21,0))="","",INDEX(drops!$L$2:$L$21,MATCH($B7,drops!$A$2:$A$21,0))),""))</f>
        <v/>
      </c>
      <c r="BN7" s="30" t="str">
        <f aca="false">IF($A7="","",COUNTIF(approvals!$A$2:$A$251,$A7))</f>
        <v/>
      </c>
      <c r="BO7" s="30" t="str">
        <f aca="false">IF($A7="","",COUNTIFS(approvals!$A$2:$A$251,$A7,approvals!$P$2:$P$251,"Y"))</f>
        <v/>
      </c>
      <c r="BP7" s="30" t="str">
        <f aca="false">IF($A7="","",COUNTIFS(approvals!$A$2:$A$251,$A7,approvals!$Q$2:$Q$251,"Y"))</f>
        <v/>
      </c>
      <c r="BQ7" s="30" t="str">
        <f aca="false">IF($A7="","",COUNTIFS(approvals!$A$2:$A$251,$A7,approvals!$P$2:$P$251,"pending"))</f>
        <v/>
      </c>
      <c r="BR7" s="30" t="str">
        <f aca="false">IF($A7="","",SUMIFS(approvals!$S$2:$S$251,approvals!$A$2:$A$251,$A7,approvals!$P$2:$P$251,"Y"))</f>
        <v/>
      </c>
      <c r="BS7" s="30" t="str">
        <f aca="false">IF($A7="","",ROUNDUP($BR7*config!$B$18,0))</f>
        <v/>
      </c>
      <c r="BT7" s="30" t="str">
        <f aca="false">IF($A7="","",$BR7+$BS7)</f>
        <v/>
      </c>
      <c r="BU7" s="32" t="str">
        <f aca="false">IF($A7="","",SUMIFS(invoices!$I$2:$I$151,invoices!$B$2:$B$151,$A7,invoices!$R$2:$R$151,"Y",invoices!$H$2:$H$151,"&gt;0"))</f>
        <v/>
      </c>
      <c r="BV7" s="32" t="str">
        <f aca="false">IF($A7="","",IF($BJ7="","",IF($D7="founding",$BJ7,ROUND($BJ7*config!$B$28,2))))</f>
        <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30" t="str">
        <f aca="false">IF($A7="","",SUMIFS(inventory!$G$2:$G$801,inventory!$C$2:$C$801,$A7,inventory!$E$2:$E$801,"received"))</f>
        <v/>
      </c>
      <c r="BY7" s="30" t="str">
        <f aca="false">IF($A7="","",SUMIFS(inventory!$G$2:$G$801,inventory!$C$2:$C$801,$A7,inventory!$E$2:$E$801,"rejected"))</f>
        <v/>
      </c>
      <c r="BZ7" s="30" t="str">
        <f aca="false">IF($A7="","",SUMIFS(inventory!$M$2:$M$801,inventory!$C$2:$C$801,$A7))</f>
        <v/>
      </c>
      <c r="CA7" s="30" t="str">
        <f aca="false">IF($A7="","",SUMIFS(inventory!$O$2:$O$801,inventory!$C$2:$C$801,$A7))</f>
        <v/>
      </c>
      <c r="CB7" s="30" t="str">
        <f aca="false">IF($A7="","",SUMIFS(approvals!$U$2:$U$251,approvals!$A$2:$A$251,$A7))</f>
        <v/>
      </c>
      <c r="CC7" s="30" t="str">
        <f aca="false">IF($A7="","",SUMIFS(approvals!$AA$2:$AA$251,approvals!$A$2:$A$251,$A7))</f>
        <v/>
      </c>
      <c r="CD7" s="30" t="str">
        <f aca="false">IF($A7="","",SUMIFS(approvals!$AA$2:$AA$251,approvals!$A$2:$A$251,$A7,approvals!$AB$2:$AB$251,"Y"))</f>
        <v/>
      </c>
      <c r="CE7" s="34" t="str">
        <f aca="false">IF($A7="","",IF(N($CB7)=0,"",$CD7/$CB7))</f>
        <v/>
      </c>
      <c r="CF7" s="30" t="str">
        <f aca="false">IF($A7="","",SUMIFS(approvals!$AD$2:$AD$251,approvals!$A$2:$A$251,$A7))</f>
        <v/>
      </c>
      <c r="CG7" s="30" t="str">
        <f aca="false">IF($A7="","",IF(COUNTIFS(approvals!$A$2:$A$251,$A7,approvals!$Q$2:$Q$251,"Y",approvals!$AG$2:$AG$251,"")&gt;0,"",SUMIFS(approvals!$AG$2:$AG$251,approvals!$A$2:$A$251,$A7,approvals!$Q$2:$Q$251,"Y")))</f>
        <v/>
      </c>
      <c r="CH7" s="30" t="str">
        <f aca="false">IF($A7="","",SUMIFS(approvals!$AL$2:$AL$251,approvals!$A$2:$A$251,$A7,approvals!$Q$2:$Q$251,"Y"))</f>
        <v/>
      </c>
      <c r="CI7" s="30" t="str">
        <f aca="false">IF($A7="","",IF(N($BP7)=0,"",SUMPRODUCT(MIN(approvals!$BB$2:$BB$251+(approvals!$A$2:$A$251&lt;&gt;$A7)*1000000))))</f>
        <v/>
      </c>
      <c r="CJ7" s="30" t="str">
        <f aca="false">IF($A7="","",COUNTIFS(approvals!$A$2:$A$251,$A7,approvals!$Q$2:$Q$251,"Y",approvals!$AL$2:$AL$251,"&lt;"&amp;config!$B$30))</f>
        <v/>
      </c>
      <c r="CK7" s="30" t="str">
        <f aca="false">IF($A7="","",SUMIFS(approvals!$AM$2:$AM$251,approvals!$A$2:$A$251,$A7,approvals!$Q$2:$Q$251,"Y"))</f>
        <v/>
      </c>
      <c r="CL7" s="30" t="str">
        <f aca="false">IF($A7="","",SUMIFS(approvals!$AQ$2:$AQ$251,approvals!$A$2:$A$251,$A7,approvals!$Q$2:$Q$251,"Y"))</f>
        <v/>
      </c>
      <c r="CM7" s="30" t="str">
        <f aca="false">IF($A7="","",SUMIFS(approvals!$AR$2:$AR$251,approvals!$A$2:$A$251,$A7,approvals!$Q$2:$Q$251,"Y"))</f>
        <v/>
      </c>
      <c r="CN7" s="30" t="str">
        <f aca="false">IF($A7="","",SUMIFS(approvals!$AS$2:$AS$251,approvals!$A$2:$A$251,$A7,approvals!$Q$2:$Q$251,"Y"))</f>
        <v/>
      </c>
      <c r="CO7" s="30" t="str">
        <f aca="false">IF($A7="","",SUMIFS(approvals!$AT$2:$AT$251,approvals!$A$2:$A$251,$A7,approvals!$Q$2:$Q$251,"Y"))</f>
        <v/>
      </c>
      <c r="CP7" s="33" t="str">
        <f aca="false">IF($A7="","",IF(N($CO7)=0,"",ROUND(SUMIFS(approvals!$AU$2:$AU$251,approvals!$A$2:$A$251,$A7,approvals!$Q$2:$Q$251,"Y")/$CO7,1)))</f>
        <v/>
      </c>
      <c r="CQ7" s="30" t="str">
        <f aca="false">IF($A7="","",SUMIFS(approvals!$AV$2:$AV$251,approvals!$A$2:$A$251,$A7,approvals!$Q$2:$Q$251,"Y"))</f>
        <v/>
      </c>
      <c r="CR7" s="30" t="str">
        <f aca="false">IF($A7="","",SUMIFS(approvals!$AW$2:$AW$251,approvals!$A$2:$A$251,$A7,approvals!$Q$2:$Q$251,"Y"))</f>
        <v/>
      </c>
      <c r="CS7" s="30" t="str">
        <f aca="false">IF($A7="","",SUMIFS(approvals!$AX$2:$AX$251,approvals!$A$2:$A$251,$A7,approvals!$Q$2:$Q$251,"Y"))</f>
        <v/>
      </c>
      <c r="CT7" s="30" t="str">
        <f aca="false">IF($A7="","",SUMIFS(approvals!$AY$2:$AY$251,approvals!$A$2:$A$251,$A7,approvals!$Q$2:$Q$251,"Y"))</f>
        <v/>
      </c>
      <c r="CU7" s="30" t="str">
        <f aca="true">IF($A7="","",IF(OR($BG7="",$BC7&lt;&gt;""),"",IFERROR(COUNT(INDIRECT("'"&amp;$A7&amp;"'!$A$2:$A$501")),0)-IFERROR(COUNTIFS(INDIRECT("'"&amp;$A7&amp;"'!$A$2:$A$501"),"&gt;="&amp;$BG7,INDIRECT("'"&amp;$A7&amp;"'!$A$2:$A$501"),"&lt;"&amp;(IFERROR(IF(INDEX(drops!$R$2:$R$21,MATCH($B7,drops!$A$2:$A$21,0))="","",INDEX(drops!$R$2:$R$21,MATCH($B7,drops!$A$2:$A$21,0))),"")+1)),0)))</f>
        <v/>
      </c>
      <c r="CV7" s="30" t="str">
        <f aca="true">IF($A7="","",IF(OR($BG7="",$BC7&lt;&gt;""),"",IFERROR(COUNTIFS(INDIRECT("'"&amp;$A7&amp;"'!$A$2:$A$501"),"&gt;="&amp;$BG7,INDIRECT("'"&amp;$A7&amp;"'!$A$2:$A$501"),"&lt;"&amp;(IFERROR(IF(INDEX(drops!$R$2:$R$21,MATCH($B7,drops!$A$2:$A$21,0))="","",INDEX(drops!$R$2:$R$21,MATCH($B7,drops!$A$2:$A$21,0))),"")+1)),0)-N($CH7)-N($CW7)))</f>
        <v/>
      </c>
      <c r="CW7" s="30" t="str">
        <f aca="false">IF($A7="","",IF($BG7="","",SUMIFS(approvals!$AL$2:$AL$251,approvals!$A$2:$A$251,$A7,approvals!$Q$2:$Q$251,"&lt;&gt;Y")))</f>
        <v/>
      </c>
      <c r="CX7" s="30" t="str">
        <f aca="false">IF($A7="","",SUMIFS(approvals!$AN$2:$AN$251,approvals!$A$2:$A$251,$A7,approvals!$Q$2:$Q$251,"Y"))</f>
        <v/>
      </c>
      <c r="CY7" s="30" t="str">
        <f aca="false">IF($A7="","",SUMIFS(approvals!$AO$2:$AO$251,approvals!$A$2:$A$251,$A7,approvals!$Q$2:$Q$251,"Y"))</f>
        <v/>
      </c>
      <c r="CZ7" s="30" t="str">
        <f aca="false">IF($A7="","",IF($DA7="","",SUMIFS(redemptions!$C$2:$C$121,redemptions!$A$2:$A$121,$A7,redemptions!$B$2:$B$121,$DA7)))</f>
        <v/>
      </c>
      <c r="DA7" s="31" t="str">
        <f aca="false">IF($A7="","",IFERROR(1/(1/SUMPRODUCT(MAX((redemptions!$A$2:$A$121=$A7)*redemptions!$B$2:$B$121))),""))</f>
        <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str">
        <f aca="false">IF($A7="","",SUMIFS(invoices!$E$2:$E$151,invoices!$B$2:$B$151,$A7))</f>
        <v/>
      </c>
      <c r="DD7" s="32" t="str">
        <f aca="false">IF($A7="","",IF(COUNTIFS(invoices!$B$2:$B$151,$A7,invoices!$C$2:$C$151,"standard_deposit",invoices!$H$2:$H$151,"&gt;0")=0,"",SUMIFS(invoices!$I$2:$I$151,invoices!$B$2:$B$151,$A7,invoices!$C$2:$C$151,"standard_deposit")))</f>
        <v/>
      </c>
      <c r="DE7" s="31" t="str">
        <f aca="false">IF($A7="","",IFERROR(1/(1/SUMPRODUCT(MAX((invoices!$B$2:$B$151=$A7)*(invoices!$C$2:$C$151="standard_deposit")*invoices!$H$2:$H$151))),""))</f>
        <v/>
      </c>
      <c r="DF7" s="31" t="str">
        <f aca="false">IF($A7="","",IFERROR(1/(1/SUMPRODUCT(MAX((invoices!$B$2:$B$151=$A7)*((invoices!$C$2:$C$151="founding_full")+(invoices!$C$2:$C$151="standard_balance"))*invoices!$H$2:$H$151))),""))</f>
        <v/>
      </c>
      <c r="DG7" s="32" t="str">
        <f aca="false">IF($A7="","",SUMIFS(invoices!$L$2:$L$151,invoices!$B$2:$B$151,$A7))</f>
        <v/>
      </c>
      <c r="DH7" s="32" t="str">
        <f aca="false">IF($A7="","",SUMIFS(costs!$E$2:$E$301,costs!$C$2:$C$301,$A7))</f>
        <v/>
      </c>
      <c r="DI7" s="32" t="str">
        <f aca="false">IF($A7="","",ROUND(IF(SUMIFS(campaigns!$BO$2:$BO$51,campaigns!$B$2:$B$51,$B7)=0,0,$BO7/SUMIFS(campaigns!$BO$2:$BO$51,campaigns!$B$2:$B$51,$B7))*(SUMIFS(costs!$E$2:$E$301,costs!$B$2:$B$301,$B7)-SUMPRODUCT((costs!$B$2:$B$301=$B7)*(LEN(costs!$C$2:$C$301)&gt;0)*costs!$E$2:$E$301)),2))</f>
        <v/>
      </c>
      <c r="DJ7" s="33" t="str">
        <f aca="false">IF($A7="","",SUMIFS(hours!$E$2:$E$1501,hours!$C$2:$C$1501,$A7))</f>
        <v/>
      </c>
      <c r="DK7" s="33" t="str">
        <f aca="false">IF($A7="","",ROUND(IF(SUMIFS(campaigns!$BO$2:$BO$51,campaigns!$B$2:$B$51,$B7)=0,0,$BO7/SUMIFS(campaigns!$BO$2:$BO$51,campaigns!$B$2:$B$51,$B7))*(SUMIFS(hours!$E$2:$E$1501,hours!$B$2:$B$1501,$B7)-SUMPRODUCT((hours!$B$2:$B$1501=$B7)*(LEN(hours!$C$2:$C$1501)&gt;0)*hours!$E$2:$E$1501)),2))</f>
        <v/>
      </c>
      <c r="DL7" s="32" t="str">
        <f aca="false">IF($A7="","",$DC7-$DG7-$DH7-$DI7)</f>
        <v/>
      </c>
      <c r="DM7" s="32" t="str">
        <f aca="false">IF($A7="","",IF(N($DJ7)+N($DK7)=0,"",ROUND($DL7/($DJ7+$DK7),2)))</f>
        <v/>
      </c>
      <c r="DN7" s="34" t="str">
        <f aca="false">IF($A7="","",IF(N($BP7)=0,"",COUNTIFS(approvals!$A$2:$A$251,$A7,approvals!$Q$2:$Q$251,"Y",approvals!$AK$2:$AK$251,"Y")/$BP7))</f>
        <v/>
      </c>
      <c r="DO7" s="33" t="str">
        <f aca="false">IF($A7="","",IF(COUNTIFS(approvals!$A$2:$A$251,$A7,approvals!$AC$2:$AC$251,"&gt;=0")=0,"",ROUND(SUMIFS(approvals!$AC$2:$AC$251,approvals!$A$2:$A$251,$A7)/COUNTIFS(approvals!$A$2:$A$251,$A7,approvals!$AC$2:$AC$251,"&gt;=0"),1)))</f>
        <v/>
      </c>
      <c r="DP7" s="31" t="str">
        <f aca="false">IF($A7="","",IFERROR(IF(INDEX(drops!$T$2:$T$21,MATCH($B7,drops!$A$2:$A$21,0))="","",INDEX(drops!$T$2:$T$21,MATCH($B7,drops!$A$2:$A$21,0))),""))</f>
        <v/>
      </c>
      <c r="DQ7" s="31" t="str">
        <f aca="false">IF($A7="","",IFERROR(IF(INDEX(drops!$U$2:$U$21,MATCH($B7,drops!$A$2:$A$21,0))="","",INDEX(drops!$U$2:$U$21,MATCH($B7,drops!$A$2:$A$21,0))),""))</f>
        <v/>
      </c>
      <c r="DR7" s="31" t="str">
        <f aca="false">IF($A7="","",IFERROR(IF(INDEX(drops!$W$2:$W$21,MATCH($B7,drops!$A$2:$A$21,0))="","",INDEX(drops!$W$2:$W$21,MATCH($B7,drops!$A$2:$A$21,0))),""))</f>
        <v/>
      </c>
      <c r="DS7" s="30" t="str">
        <f aca="false">IF($A7="","",IF($CE7="","",IF($CE7&gt;=config!$B$31,"pass","miss")))</f>
        <v/>
      </c>
      <c r="DT7" s="30" t="str">
        <f aca="false">IF($A7="","",IF($CI7="","",IF($CI7&gt;=config!$B$30,"pass","miss")))</f>
        <v/>
      </c>
      <c r="DU7" s="30" t="str">
        <f aca="true">IF($A7="","",IF($AT7="",IF($DP7="","",IF(IF(config!$B$37&lt;&gt;"",config!$B$37,TODAY())&gt;$DP7,"late","due")),IF($AT7&lt;=$DP7,"pass","late")))</f>
        <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345</v>
      </c>
      <c r="B1" s="28" t="s">
        <v>502</v>
      </c>
      <c r="C1" s="28" t="s">
        <v>503</v>
      </c>
      <c r="D1" s="28" t="s">
        <v>504</v>
      </c>
      <c r="E1" s="28" t="s">
        <v>505</v>
      </c>
      <c r="F1" s="28" t="s">
        <v>506</v>
      </c>
      <c r="G1" s="28" t="s">
        <v>507</v>
      </c>
      <c r="H1" s="28" t="s">
        <v>508</v>
      </c>
      <c r="I1" s="28" t="s">
        <v>79</v>
      </c>
      <c r="J1" s="28" t="s">
        <v>305</v>
      </c>
      <c r="K1" s="29" t="s">
        <v>397</v>
      </c>
      <c r="L1" s="29" t="s">
        <v>509</v>
      </c>
      <c r="M1" s="29" t="s">
        <v>398</v>
      </c>
      <c r="N1" s="29" t="s">
        <v>351</v>
      </c>
      <c r="O1" s="29" t="s">
        <v>510</v>
      </c>
      <c r="P1" s="29" t="s">
        <v>511</v>
      </c>
      <c r="Q1" s="29" t="s">
        <v>512</v>
      </c>
      <c r="R1" s="29" t="s">
        <v>513</v>
      </c>
      <c r="S1" s="29" t="s">
        <v>514</v>
      </c>
      <c r="T1" s="29" t="s">
        <v>515</v>
      </c>
      <c r="U1" s="29" t="s">
        <v>516</v>
      </c>
      <c r="V1" s="29" t="s">
        <v>517</v>
      </c>
      <c r="W1" s="29" t="s">
        <v>518</v>
      </c>
      <c r="X1" s="29" t="s">
        <v>519</v>
      </c>
      <c r="Y1" s="29" t="s">
        <v>520</v>
      </c>
      <c r="Z1" s="29" t="s">
        <v>521</v>
      </c>
      <c r="AA1" s="29" t="s">
        <v>522</v>
      </c>
      <c r="AB1" s="29" t="s">
        <v>523</v>
      </c>
      <c r="AC1" s="29" t="s">
        <v>524</v>
      </c>
      <c r="AD1" s="29" t="s">
        <v>525</v>
      </c>
      <c r="AE1" s="29" t="s">
        <v>526</v>
      </c>
      <c r="AF1" s="29" t="s">
        <v>527</v>
      </c>
      <c r="AG1" s="29" t="s">
        <v>528</v>
      </c>
      <c r="AH1" s="29" t="s">
        <v>323</v>
      </c>
      <c r="AI1" s="29" t="s">
        <v>529</v>
      </c>
      <c r="AJ1" s="29" t="s">
        <v>530</v>
      </c>
    </row>
    <row r="2" customFormat="false" ht="15" hidden="false" customHeight="false" outlineLevel="0" collapsed="false">
      <c r="A2" s="0" t="s">
        <v>459</v>
      </c>
      <c r="B2" s="35" t="s">
        <v>531</v>
      </c>
      <c r="C2" s="10" t="s">
        <v>532</v>
      </c>
      <c r="D2" s="10" t="s">
        <v>533</v>
      </c>
      <c r="E2" s="10" t="s">
        <v>534</v>
      </c>
      <c r="F2" s="10" t="s">
        <v>535</v>
      </c>
      <c r="G2" s="10" t="s">
        <v>472</v>
      </c>
      <c r="H2" s="11" t="n">
        <v>46568</v>
      </c>
      <c r="I2" s="10" t="s">
        <v>536</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485</v>
      </c>
      <c r="B3" s="35" t="s">
        <v>537</v>
      </c>
      <c r="C3" s="10" t="s">
        <v>538</v>
      </c>
      <c r="D3" s="10" t="s">
        <v>533</v>
      </c>
      <c r="E3" s="10" t="s">
        <v>539</v>
      </c>
      <c r="F3" s="10" t="s">
        <v>535</v>
      </c>
      <c r="G3" s="10" t="s">
        <v>472</v>
      </c>
      <c r="H3" s="11" t="n">
        <v>46843</v>
      </c>
      <c r="I3" s="10" t="s">
        <v>536</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B4" s="35"/>
      <c r="F4" s="10"/>
      <c r="G4" s="10"/>
      <c r="H4" s="11"/>
      <c r="I4" s="10"/>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30" t="str">
        <f aca="false">IF($B4="","",($X4="Y")+($Y4="Y")+($Z4="Y")+($AA4="Y")+($AB4="Y")+($AC4="Y")+(LEN($AD4)&gt;0))</f>
        <v/>
      </c>
      <c r="AG4" s="30" t="str">
        <f aca="false">IF($B4="","",IF(AND($AF4=7,$AE4="Y"),"Y (as answered)","N: check "&amp;IF($X4&lt;&gt;"Y","1 ","")&amp;IF($Y4&lt;&gt;"Y","2 ","")&amp;IF($Z4&lt;&gt;"Y","3 ","")&amp;IF($AA4&lt;&gt;"Y","4 ","")&amp;IF($AB4&lt;&gt;"Y","5 ","")&amp;IF($AC4&lt;&gt;"Y","6 ","")&amp;IF(LEN($AD4)=0,"7 ","")&amp;IF($AE4&lt;&gt;"Y","excluded? ","")))</f>
        <v/>
      </c>
      <c r="AH4" s="30" t="str">
        <f aca="false">IF($A4="","",COUNTIF(campaigns!$C$2:$C$51,$A4))</f>
        <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B5" s="35"/>
      <c r="F5" s="10"/>
      <c r="G5" s="10"/>
      <c r="H5" s="11"/>
      <c r="I5" s="10"/>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30" t="str">
        <f aca="false">IF($B5="","",($X5="Y")+($Y5="Y")+($Z5="Y")+($AA5="Y")+($AB5="Y")+($AC5="Y")+(LEN($AD5)&gt;0))</f>
        <v/>
      </c>
      <c r="AG5" s="30" t="str">
        <f aca="false">IF($B5="","",IF(AND($AF5=7,$AE5="Y"),"Y (as answered)","N: check "&amp;IF($X5&lt;&gt;"Y","1 ","")&amp;IF($Y5&lt;&gt;"Y","2 ","")&amp;IF($Z5&lt;&gt;"Y","3 ","")&amp;IF($AA5&lt;&gt;"Y","4 ","")&amp;IF($AB5&lt;&gt;"Y","5 ","")&amp;IF($AC5&lt;&gt;"Y","6 ","")&amp;IF(LEN($AD5)=0,"7 ","")&amp;IF($AE5&lt;&gt;"Y","excluded? ","")))</f>
        <v/>
      </c>
      <c r="AH5" s="30" t="str">
        <f aca="false">IF($A5="","",COUNTIF(campaigns!$C$2:$C$51,$A5))</f>
        <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B6" s="35"/>
      <c r="F6" s="10"/>
      <c r="G6" s="10"/>
      <c r="H6" s="11"/>
      <c r="I6" s="10"/>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30" t="str">
        <f aca="false">IF($B6="","",($X6="Y")+($Y6="Y")+($Z6="Y")+($AA6="Y")+($AB6="Y")+($AC6="Y")+(LEN($AD6)&gt;0))</f>
        <v/>
      </c>
      <c r="AG6" s="30" t="str">
        <f aca="false">IF($B6="","",IF(AND($AF6=7,$AE6="Y"),"Y (as answered)","N: check "&amp;IF($X6&lt;&gt;"Y","1 ","")&amp;IF($Y6&lt;&gt;"Y","2 ","")&amp;IF($Z6&lt;&gt;"Y","3 ","")&amp;IF($AA6&lt;&gt;"Y","4 ","")&amp;IF($AB6&lt;&gt;"Y","5 ","")&amp;IF($AC6&lt;&gt;"Y","6 ","")&amp;IF(LEN($AD6)=0,"7 ","")&amp;IF($AE6&lt;&gt;"Y","excluded? ","")))</f>
        <v/>
      </c>
      <c r="AH6" s="30" t="str">
        <f aca="false">IF($A6="","",COUNTIF(campaigns!$C$2:$C$51,$A6))</f>
        <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5"/>
      <c r="F7" s="10"/>
      <c r="G7" s="10"/>
      <c r="H7" s="11"/>
      <c r="I7" s="10"/>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30" t="str">
        <f aca="false">IF($B7="","",($X7="Y")+($Y7="Y")+($Z7="Y")+($AA7="Y")+($AB7="Y")+($AC7="Y")+(LEN($AD7)&gt;0))</f>
        <v/>
      </c>
      <c r="AG7" s="30" t="str">
        <f aca="false">IF($B7="","",IF(AND($AF7=7,$AE7="Y"),"Y (as answered)","N: check "&amp;IF($X7&lt;&gt;"Y","1 ","")&amp;IF($Y7&lt;&gt;"Y","2 ","")&amp;IF($Z7&lt;&gt;"Y","3 ","")&amp;IF($AA7&lt;&gt;"Y","4 ","")&amp;IF($AB7&lt;&gt;"Y","5 ","")&amp;IF($AC7&lt;&gt;"Y","6 ","")&amp;IF(LEN($AD7)=0,"7 ","")&amp;IF($AE7&lt;&gt;"Y","excluded? ","")))</f>
        <v/>
      </c>
      <c r="AH7" s="30" t="str">
        <f aca="false">IF($A7="","",COUNTIF(campaigns!$C$2:$C$51,$A7))</f>
        <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540</v>
      </c>
      <c r="B1" s="28" t="s">
        <v>541</v>
      </c>
      <c r="C1" s="28" t="s">
        <v>542</v>
      </c>
      <c r="D1" s="28" t="s">
        <v>543</v>
      </c>
      <c r="E1" s="28" t="s">
        <v>544</v>
      </c>
      <c r="F1" s="28" t="s">
        <v>545</v>
      </c>
      <c r="G1" s="28" t="s">
        <v>546</v>
      </c>
      <c r="H1" s="28" t="s">
        <v>547</v>
      </c>
      <c r="I1" s="28" t="s">
        <v>548</v>
      </c>
      <c r="J1" s="28" t="s">
        <v>549</v>
      </c>
      <c r="K1" s="28" t="s">
        <v>79</v>
      </c>
      <c r="L1" s="28" t="s">
        <v>550</v>
      </c>
      <c r="M1" s="28" t="s">
        <v>305</v>
      </c>
      <c r="N1" s="28" t="s">
        <v>551</v>
      </c>
      <c r="O1" s="29" t="s">
        <v>138</v>
      </c>
      <c r="P1" s="29" t="s">
        <v>552</v>
      </c>
      <c r="Q1" s="29" t="s">
        <v>553</v>
      </c>
      <c r="R1" s="29" t="s">
        <v>554</v>
      </c>
      <c r="S1" s="29" t="s">
        <v>511</v>
      </c>
      <c r="T1" s="29" t="s">
        <v>514</v>
      </c>
      <c r="U1" s="29" t="s">
        <v>513</v>
      </c>
      <c r="V1" s="29" t="s">
        <v>555</v>
      </c>
      <c r="W1" s="29" t="s">
        <v>556</v>
      </c>
      <c r="X1" s="29" t="s">
        <v>557</v>
      </c>
      <c r="Y1" s="29" t="s">
        <v>558</v>
      </c>
      <c r="Z1" s="29" t="s">
        <v>559</v>
      </c>
      <c r="AA1" s="29" t="s">
        <v>560</v>
      </c>
      <c r="AB1" s="29" t="s">
        <v>561</v>
      </c>
      <c r="AC1" s="29" t="s">
        <v>562</v>
      </c>
      <c r="AD1" s="29" t="s">
        <v>563</v>
      </c>
      <c r="AE1" s="29" t="s">
        <v>349</v>
      </c>
      <c r="AF1" s="29" t="s">
        <v>564</v>
      </c>
      <c r="AG1" s="29" t="s">
        <v>565</v>
      </c>
      <c r="AH1" s="29" t="s">
        <v>566</v>
      </c>
      <c r="AI1" s="29" t="s">
        <v>567</v>
      </c>
      <c r="AJ1" s="29" t="s">
        <v>568</v>
      </c>
      <c r="AK1" s="29" t="s">
        <v>569</v>
      </c>
      <c r="AL1" s="29" t="s">
        <v>570</v>
      </c>
      <c r="AM1" s="29" t="s">
        <v>571</v>
      </c>
      <c r="AN1" s="29" t="s">
        <v>572</v>
      </c>
      <c r="AO1" s="29" t="s">
        <v>573</v>
      </c>
      <c r="AP1" s="29" t="s">
        <v>574</v>
      </c>
      <c r="AQ1" s="29" t="s">
        <v>575</v>
      </c>
      <c r="AR1" s="29" t="s">
        <v>120</v>
      </c>
    </row>
    <row r="2" customFormat="false" ht="15" hidden="false" customHeight="false" outlineLevel="0" collapsed="false">
      <c r="A2" s="0" t="s">
        <v>576</v>
      </c>
      <c r="C2" s="36" t="n">
        <v>40.7398</v>
      </c>
      <c r="D2" s="36" t="n">
        <v>-73.9893</v>
      </c>
      <c r="G2" s="10" t="s">
        <v>493</v>
      </c>
      <c r="H2" s="10" t="s">
        <v>577</v>
      </c>
      <c r="I2" s="10" t="s">
        <v>578</v>
      </c>
      <c r="J2" s="11"/>
      <c r="K2" s="10" t="s">
        <v>536</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1</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579</v>
      </c>
      <c r="C3" s="36" t="n">
        <v>40.7411</v>
      </c>
      <c r="D3" s="36" t="n">
        <v>-73.9874</v>
      </c>
      <c r="G3" s="10" t="s">
        <v>472</v>
      </c>
      <c r="H3" s="10" t="s">
        <v>580</v>
      </c>
      <c r="I3" s="10" t="s">
        <v>578</v>
      </c>
      <c r="J3" s="11"/>
      <c r="K3" s="10" t="s">
        <v>536</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1</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581</v>
      </c>
      <c r="C4" s="36" t="n">
        <v>40.7389</v>
      </c>
      <c r="D4" s="36" t="n">
        <v>-73.9917</v>
      </c>
      <c r="G4" s="10" t="s">
        <v>493</v>
      </c>
      <c r="H4" s="10" t="s">
        <v>582</v>
      </c>
      <c r="I4" s="10" t="s">
        <v>583</v>
      </c>
      <c r="J4" s="11" t="n">
        <v>46379</v>
      </c>
      <c r="K4" s="10" t="s">
        <v>536</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1</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584</v>
      </c>
      <c r="C5" s="36" t="n">
        <v>40.7376</v>
      </c>
      <c r="D5" s="36" t="n">
        <v>-73.9879</v>
      </c>
      <c r="G5" s="10" t="s">
        <v>472</v>
      </c>
      <c r="H5" s="10" t="s">
        <v>585</v>
      </c>
      <c r="I5" s="10" t="s">
        <v>578</v>
      </c>
      <c r="J5" s="11"/>
      <c r="K5" s="10" t="s">
        <v>536</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1</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586</v>
      </c>
      <c r="C6" s="36" t="n">
        <v>40.7425</v>
      </c>
      <c r="D6" s="36" t="n">
        <v>-73.9901</v>
      </c>
      <c r="G6" s="10" t="s">
        <v>472</v>
      </c>
      <c r="H6" s="10" t="s">
        <v>587</v>
      </c>
      <c r="I6" s="10" t="s">
        <v>583</v>
      </c>
      <c r="J6" s="11" t="n">
        <v>46379</v>
      </c>
      <c r="K6" s="10" t="s">
        <v>536</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1</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C7" s="36"/>
      <c r="D7" s="36"/>
      <c r="G7" s="10"/>
      <c r="I7" s="10"/>
      <c r="J7" s="11"/>
      <c r="K7" s="10"/>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30" t="str">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str">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30" t="str">
        <f aca="false">IF($A7="","",IF($R7="","unknown",IF($R7&lt;40,"under-40",IF($R7&lt;=75,"40-75",IF($R7&lt;=150,"76-150",IF($R7&lt;=250,"151-250",IF($R7&lt;=500,"251-500","over-500")))))))</f>
        <v/>
      </c>
      <c r="AL7" s="30" t="str">
        <f aca="false">IF($A7="","",IF($O7="","not on in_signed_offices: paste the outreach file",IF($R7="","no Tuesday headcount",IF($R7&lt;30,"below the hard floor of 30",IF($R7&lt;40,"30 to 39: founder's call",IF($R7&gt;250,"over 250: outside the plan","OK"))))))</f>
        <v/>
      </c>
      <c r="AM7" s="30" t="str">
        <f aca="false">IF(OR($A7="",$R7=""),"",MIN(config!$B$16,MAX(config!$B$15,MROUND(config!$B$13+config!$B$14*$R7,config!$B$17))))</f>
        <v/>
      </c>
      <c r="AN7" s="30" t="str">
        <f aca="true">IF($A7="","",COUNTIFS(stops!$B$2:$B$151,$A7,stops!$P$2:$P$151,"&lt;="&amp;IF(config!$B$37&lt;&gt;"",config!$B$37,TODAY())))</f>
        <v/>
      </c>
      <c r="AO7" s="30" t="str">
        <f aca="false">IF($A7="","",COUNTIFS(stops!$B$2:$B$151,$A7,stops!$AF$2:$AF$151,"Y"))</f>
        <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C8" s="36"/>
      <c r="D8" s="36"/>
      <c r="G8" s="10"/>
      <c r="I8" s="10"/>
      <c r="J8" s="11"/>
      <c r="K8" s="10"/>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30" t="str">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31" t="str">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30" t="str">
        <f aca="false">IF($A8="","",IF($R8="","unknown",IF($R8&lt;40,"under-40",IF($R8&lt;=75,"40-75",IF($R8&lt;=150,"76-150",IF($R8&lt;=250,"151-250",IF($R8&lt;=500,"251-500","over-500")))))))</f>
        <v/>
      </c>
      <c r="AL8" s="30" t="str">
        <f aca="false">IF($A8="","",IF($O8="","not on in_signed_offices: paste the outreach file",IF($R8="","no Tuesday headcount",IF($R8&lt;30,"below the hard floor of 30",IF($R8&lt;40,"30 to 39: founder's call",IF($R8&gt;250,"over 250: outside the plan","OK"))))))</f>
        <v/>
      </c>
      <c r="AM8" s="30" t="str">
        <f aca="false">IF(OR($A8="",$R8=""),"",MIN(config!$B$16,MAX(config!$B$15,MROUND(config!$B$13+config!$B$14*$R8,config!$B$17))))</f>
        <v/>
      </c>
      <c r="AN8" s="30" t="str">
        <f aca="true">IF($A8="","",COUNTIFS(stops!$B$2:$B$151,$A8,stops!$P$2:$P$151,"&lt;="&amp;IF(config!$B$37&lt;&gt;"",config!$B$37,TODAY())))</f>
        <v/>
      </c>
      <c r="AO8" s="30" t="str">
        <f aca="false">IF($A8="","",COUNTIFS(stops!$B$2:$B$151,$A8,stops!$AF$2:$AF$151,"Y"))</f>
        <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C9" s="36"/>
      <c r="D9" s="36"/>
      <c r="G9" s="10"/>
      <c r="I9" s="10"/>
      <c r="J9" s="11"/>
      <c r="K9" s="10"/>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30" t="str">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str">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30" t="str">
        <f aca="false">IF($A9="","",IF($R9="","unknown",IF($R9&lt;40,"under-40",IF($R9&lt;=75,"40-75",IF($R9&lt;=150,"76-150",IF($R9&lt;=250,"151-250",IF($R9&lt;=500,"251-500","over-500")))))))</f>
        <v/>
      </c>
      <c r="AL9" s="30" t="str">
        <f aca="false">IF($A9="","",IF($O9="","not on in_signed_offices: paste the outreach file",IF($R9="","no Tuesday headcount",IF($R9&lt;30,"below the hard floor of 30",IF($R9&lt;40,"30 to 39: founder's call",IF($R9&gt;250,"over 250: outside the plan","OK"))))))</f>
        <v/>
      </c>
      <c r="AM9" s="30" t="str">
        <f aca="false">IF(OR($A9="",$R9=""),"",MIN(config!$B$16,MAX(config!$B$15,MROUND(config!$B$13+config!$B$14*$R9,config!$B$17))))</f>
        <v/>
      </c>
      <c r="AN9" s="30" t="str">
        <f aca="true">IF($A9="","",COUNTIFS(stops!$B$2:$B$151,$A9,stops!$P$2:$P$151,"&lt;="&amp;IF(config!$B$37&lt;&gt;"",config!$B$37,TODAY())))</f>
        <v/>
      </c>
      <c r="AO9" s="30" t="str">
        <f aca="false">IF($A9="","",COUNTIFS(stops!$B$2:$B$151,$A9,stops!$AF$2:$AF$151,"Y"))</f>
        <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C10" s="36"/>
      <c r="D10" s="36"/>
      <c r="G10" s="10"/>
      <c r="I10" s="10"/>
      <c r="J10" s="11"/>
      <c r="K10" s="10"/>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30" t="str">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str">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30" t="str">
        <f aca="false">IF($A10="","",IF($R10="","unknown",IF($R10&lt;40,"under-40",IF($R10&lt;=75,"40-75",IF($R10&lt;=150,"76-150",IF($R10&lt;=250,"151-250",IF($R10&lt;=500,"251-500","over-500")))))))</f>
        <v/>
      </c>
      <c r="AL10" s="30" t="str">
        <f aca="false">IF($A10="","",IF($O10="","not on in_signed_offices: paste the outreach file",IF($R10="","no Tuesday headcount",IF($R10&lt;30,"below the hard floor of 30",IF($R10&lt;40,"30 to 39: founder's call",IF($R10&gt;250,"over 250: outside the plan","OK"))))))</f>
        <v/>
      </c>
      <c r="AM10" s="30" t="str">
        <f aca="false">IF(OR($A10="",$R10=""),"",MIN(config!$B$16,MAX(config!$B$15,MROUND(config!$B$13+config!$B$14*$R10,config!$B$17))))</f>
        <v/>
      </c>
      <c r="AN10" s="30" t="str">
        <f aca="true">IF($A10="","",COUNTIFS(stops!$B$2:$B$151,$A10,stops!$P$2:$P$151,"&lt;="&amp;IF(config!$B$37&lt;&gt;"",config!$B$37,TODAY())))</f>
        <v/>
      </c>
      <c r="AO10" s="30" t="str">
        <f aca="false">IF($A10="","",COUNTIFS(stops!$B$2:$B$151,$A10,stops!$AF$2:$AF$151,"Y"))</f>
        <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C11" s="36"/>
      <c r="D11" s="36"/>
      <c r="G11" s="10"/>
      <c r="I11" s="10"/>
      <c r="J11" s="11"/>
      <c r="K11" s="10"/>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30" t="str">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str">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30" t="str">
        <f aca="false">IF($A11="","",IF($R11="","unknown",IF($R11&lt;40,"under-40",IF($R11&lt;=75,"40-75",IF($R11&lt;=150,"76-150",IF($R11&lt;=250,"151-250",IF($R11&lt;=500,"251-500","over-500")))))))</f>
        <v/>
      </c>
      <c r="AL11" s="30" t="str">
        <f aca="false">IF($A11="","",IF($O11="","not on in_signed_offices: paste the outreach file",IF($R11="","no Tuesday headcount",IF($R11&lt;30,"below the hard floor of 30",IF($R11&lt;40,"30 to 39: founder's call",IF($R11&gt;250,"over 250: outside the plan","OK"))))))</f>
        <v/>
      </c>
      <c r="AM11" s="30" t="str">
        <f aca="false">IF(OR($A11="",$R11=""),"",MIN(config!$B$16,MAX(config!$B$15,MROUND(config!$B$13+config!$B$14*$R11,config!$B$17))))</f>
        <v/>
      </c>
      <c r="AN11" s="30" t="str">
        <f aca="true">IF($A11="","",COUNTIFS(stops!$B$2:$B$151,$A11,stops!$P$2:$P$151,"&lt;="&amp;IF(config!$B$37&lt;&gt;"",config!$B$37,TODAY())))</f>
        <v/>
      </c>
      <c r="AO11" s="30" t="str">
        <f aca="false">IF($A11="","",COUNTIFS(stops!$B$2:$B$151,$A11,stops!$AF$2:$AF$151,"Y"))</f>
        <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344</v>
      </c>
      <c r="B1" s="28" t="s">
        <v>540</v>
      </c>
      <c r="C1" s="28" t="s">
        <v>588</v>
      </c>
      <c r="D1" s="28" t="s">
        <v>589</v>
      </c>
      <c r="E1" s="28" t="s">
        <v>590</v>
      </c>
      <c r="F1" s="28" t="s">
        <v>591</v>
      </c>
      <c r="G1" s="28" t="s">
        <v>592</v>
      </c>
      <c r="H1" s="29" t="s">
        <v>299</v>
      </c>
      <c r="I1" s="29" t="s">
        <v>300</v>
      </c>
      <c r="J1" s="29" t="s">
        <v>397</v>
      </c>
      <c r="K1" s="29" t="s">
        <v>138</v>
      </c>
      <c r="L1" s="29" t="s">
        <v>593</v>
      </c>
      <c r="M1" s="29" t="s">
        <v>594</v>
      </c>
      <c r="N1" s="29" t="s">
        <v>595</v>
      </c>
      <c r="O1" s="29" t="s">
        <v>596</v>
      </c>
      <c r="P1" s="29" t="s">
        <v>597</v>
      </c>
      <c r="Q1" s="29" t="s">
        <v>598</v>
      </c>
      <c r="R1" s="29" t="s">
        <v>599</v>
      </c>
      <c r="S1" s="29" t="s">
        <v>324</v>
      </c>
      <c r="T1" s="29" t="s">
        <v>600</v>
      </c>
      <c r="U1" s="29" t="s">
        <v>416</v>
      </c>
      <c r="V1" s="29" t="s">
        <v>601</v>
      </c>
      <c r="W1" s="29" t="s">
        <v>602</v>
      </c>
      <c r="X1" s="29" t="s">
        <v>603</v>
      </c>
      <c r="Y1" s="29" t="s">
        <v>604</v>
      </c>
      <c r="Z1" s="29" t="s">
        <v>605</v>
      </c>
      <c r="AA1" s="29" t="s">
        <v>417</v>
      </c>
      <c r="AB1" s="29" t="s">
        <v>606</v>
      </c>
      <c r="AC1" s="29" t="s">
        <v>607</v>
      </c>
      <c r="AD1" s="29" t="s">
        <v>420</v>
      </c>
      <c r="AE1" s="29" t="s">
        <v>608</v>
      </c>
      <c r="AF1" s="29" t="s">
        <v>609</v>
      </c>
      <c r="AG1" s="29" t="s">
        <v>421</v>
      </c>
      <c r="AH1" s="29" t="s">
        <v>610</v>
      </c>
      <c r="AI1" s="29" t="s">
        <v>611</v>
      </c>
      <c r="AJ1" s="29" t="s">
        <v>612</v>
      </c>
      <c r="AK1" s="29" t="s">
        <v>613</v>
      </c>
      <c r="AL1" s="29" t="s">
        <v>422</v>
      </c>
      <c r="AM1" s="29" t="s">
        <v>614</v>
      </c>
      <c r="AN1" s="29" t="s">
        <v>438</v>
      </c>
      <c r="AO1" s="29" t="s">
        <v>439</v>
      </c>
      <c r="AP1" s="29" t="s">
        <v>120</v>
      </c>
      <c r="AQ1" s="29" t="s">
        <v>426</v>
      </c>
      <c r="AR1" s="29" t="s">
        <v>427</v>
      </c>
      <c r="AS1" s="29" t="s">
        <v>428</v>
      </c>
      <c r="AT1" s="29" t="s">
        <v>615</v>
      </c>
      <c r="AU1" s="29" t="s">
        <v>616</v>
      </c>
      <c r="AV1" s="29" t="s">
        <v>617</v>
      </c>
      <c r="AW1" s="29" t="s">
        <v>618</v>
      </c>
      <c r="AX1" s="29" t="s">
        <v>619</v>
      </c>
      <c r="AY1" s="29" t="s">
        <v>147</v>
      </c>
      <c r="AZ1" s="29" t="s">
        <v>620</v>
      </c>
      <c r="BA1" s="29" t="s">
        <v>621</v>
      </c>
      <c r="BB1" s="29" t="s">
        <v>622</v>
      </c>
      <c r="BC1" s="29" t="s">
        <v>623</v>
      </c>
      <c r="BD1" s="29" t="s">
        <v>624</v>
      </c>
    </row>
    <row r="2" customFormat="false" ht="15" hidden="false" customHeight="false" outlineLevel="0" collapsed="false">
      <c r="A2" s="0" t="s">
        <v>458</v>
      </c>
      <c r="B2" s="0" t="s">
        <v>576</v>
      </c>
      <c r="C2" s="11" t="n">
        <v>46370</v>
      </c>
      <c r="D2" s="10" t="s">
        <v>482</v>
      </c>
      <c r="E2" s="11" t="n">
        <v>46372</v>
      </c>
      <c r="F2" s="10" t="s">
        <v>625</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458</v>
      </c>
      <c r="B3" s="0" t="s">
        <v>579</v>
      </c>
      <c r="C3" s="11" t="n">
        <v>46370</v>
      </c>
      <c r="D3" s="10" t="s">
        <v>482</v>
      </c>
      <c r="E3" s="11" t="n">
        <v>46372</v>
      </c>
      <c r="F3" s="10" t="s">
        <v>625</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458</v>
      </c>
      <c r="B4" s="0" t="s">
        <v>581</v>
      </c>
      <c r="C4" s="11" t="n">
        <v>46370</v>
      </c>
      <c r="D4" s="10" t="s">
        <v>482</v>
      </c>
      <c r="E4" s="11" t="n">
        <v>46372</v>
      </c>
      <c r="F4" s="10" t="s">
        <v>625</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458</v>
      </c>
      <c r="B5" s="0" t="s">
        <v>584</v>
      </c>
      <c r="C5" s="11" t="n">
        <v>46370</v>
      </c>
      <c r="D5" s="10" t="s">
        <v>482</v>
      </c>
      <c r="E5" s="11" t="n">
        <v>46374</v>
      </c>
      <c r="F5" s="10" t="s">
        <v>625</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458</v>
      </c>
      <c r="B6" s="0" t="s">
        <v>586</v>
      </c>
      <c r="C6" s="11" t="n">
        <v>46370</v>
      </c>
      <c r="D6" s="10" t="s">
        <v>482</v>
      </c>
      <c r="E6" s="11" t="n">
        <v>46372</v>
      </c>
      <c r="F6" s="10" t="s">
        <v>625</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484</v>
      </c>
      <c r="B7" s="0" t="s">
        <v>576</v>
      </c>
      <c r="C7" s="11" t="n">
        <v>46370</v>
      </c>
      <c r="D7" s="10" t="s">
        <v>482</v>
      </c>
      <c r="E7" s="11" t="n">
        <v>46372</v>
      </c>
      <c r="F7" s="10" t="s">
        <v>625</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484</v>
      </c>
      <c r="B8" s="0" t="s">
        <v>579</v>
      </c>
      <c r="C8" s="11" t="n">
        <v>46370</v>
      </c>
      <c r="D8" s="10" t="s">
        <v>482</v>
      </c>
      <c r="E8" s="11" t="n">
        <v>46372</v>
      </c>
      <c r="F8" s="10" t="s">
        <v>625</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484</v>
      </c>
      <c r="B9" s="0" t="s">
        <v>581</v>
      </c>
      <c r="C9" s="11" t="n">
        <v>46370</v>
      </c>
      <c r="D9" s="10" t="s">
        <v>482</v>
      </c>
      <c r="E9" s="11" t="n">
        <v>46372</v>
      </c>
      <c r="F9" s="10" t="s">
        <v>625</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484</v>
      </c>
      <c r="B10" s="0" t="s">
        <v>584</v>
      </c>
      <c r="C10" s="11" t="n">
        <v>46370</v>
      </c>
      <c r="D10" s="10" t="s">
        <v>482</v>
      </c>
      <c r="E10" s="11" t="n">
        <v>46374</v>
      </c>
      <c r="F10" s="10" t="s">
        <v>625</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484</v>
      </c>
      <c r="B11" s="0" t="s">
        <v>586</v>
      </c>
      <c r="C11" s="11" t="n">
        <v>46370</v>
      </c>
      <c r="D11" s="10" t="s">
        <v>482</v>
      </c>
      <c r="E11" s="11" t="n">
        <v>46372</v>
      </c>
      <c r="F11" s="10" t="s">
        <v>625</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C12" s="11"/>
      <c r="D12" s="10"/>
      <c r="E12" s="11"/>
      <c r="H12" s="30" t="str">
        <f aca="false">IF($A12="","",IFERROR(IF(INDEX(campaigns!$B$2:$B$51,MATCH($A12,campaigns!$A$2:$A$51,0))="","",INDEX(campaigns!$B$2:$B$51,MATCH($A12,campaigns!$A$2:$A$51,0))),""))</f>
        <v/>
      </c>
      <c r="I12" s="31" t="str">
        <f aca="false">IF($A12="","",IFERROR(IF(INDEX(campaigns!$BG$2:$BG$51,MATCH($A12,campaigns!$A$2:$A$51,0))="","",INDEX(campaigns!$BG$2:$BG$51,MATCH($A12,campaigns!$A$2:$A$51,0))),""))</f>
        <v/>
      </c>
      <c r="J12" s="30" t="str">
        <f aca="false">IF($A12="","",IFERROR(IF(INDEX(campaigns!$BE$2:$BE$51,MATCH($A12,campaigns!$A$2:$A$51,0))="","",INDEX(campaigns!$BE$2:$BE$51,MATCH($A12,campaigns!$A$2:$A$51,0))),""))</f>
        <v/>
      </c>
      <c r="K12" s="30" t="str">
        <f aca="false">IF($B12="","",IFERROR(IF(INDEX(offices!$O$2:$O$61,MATCH($B12,offices!$A$2:$A$61,0))="","",INDEX(offices!$O$2:$O$61,MATCH($B12,offices!$A$2:$A$61,0))),""))</f>
        <v/>
      </c>
      <c r="L12" s="30" t="str">
        <f aca="false">IF($A12="","",IF($Q12="N","",COUNTIFS($A$2:$A12,$A12,$Q$2:$Q12,"&lt;&gt;N")))</f>
        <v/>
      </c>
      <c r="M12" s="30" t="str">
        <f aca="false">IF(OR($A12="",$L12=""),"",IF(AND(config!$B$34="names_if_public",IFERROR(IF(INDEX(offices!$AG$2:$AG$61,MATCH($B12,offices!$A$2:$A$61,0))="","",INDEX(offices!$AG$2:$AG$61,MATCH($B12,offices!$A$2:$A$61,0))),"")="Y"),$K12,CHAR(64+$L12)))</f>
        <v/>
      </c>
      <c r="N12" s="30" t="str">
        <f aca="false">IF(OR($A12="",$I12=""),"",COUNTIFS(stops!$B$2:$B$151,$B12,stops!$P$2:$P$151,"&lt;"&amp;$I12,stops!$L$2:$L$151,"&lt;&gt;not_delivered")+1)</f>
        <v/>
      </c>
      <c r="O12" s="30" t="str">
        <f aca="false">IF($A12="","",IF(N($N12)&lt;=config!$B$29,"explicit","opt-out"))</f>
        <v/>
      </c>
      <c r="P12" s="30" t="str">
        <f aca="false">IF($A12="","",IF($O12="explicit",IF($D12="yes","Y",IF($D12="no","N","pending")),IF($D12="no","N",IF(AND($C12&lt;&gt;"",$I12&lt;&gt;"",$C12&lt;=WORKDAY(N($I12),-5,calendar!$A$2:$A$80)),"Y","pending"))))</f>
        <v/>
      </c>
      <c r="Q12" s="30" t="str">
        <f aca="false">IF($A12="","",IF($P12="N","N",IF($P12&lt;&gt;"Y","pending",IF(AND((COUNTIFS(stops!$A$2:$A$151,$H12,stops!$B$2:$B$151,$B12,stops!$L$2:$L$151,"declined")+COUNTIFS(stops!$A$2:$A$151,$H12,stops!$B$2:$B$151,$B12,stops!$L$2:$L$151,"building_refused")+COUNTIFS(stops!$A$2:$A$151,$H12,stops!$B$2:$B$151,$B12,stops!$L$2:$L$151,"not_delivered"))&gt;0,N($U12)=0),"N","Y"))))</f>
        <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str">
        <f aca="false">IF($A12="","",IF($G12&lt;&gt;"",$G12,IFERROR(IF(INDEX(offices!$AM$2:$AM$61,MATCH($B12,offices!$A$2:$A$61,0))="","",INDEX(offices!$AM$2:$AM$61,MATCH($B12,offices!$A$2:$A$61,0))),"")))</f>
        <v/>
      </c>
      <c r="T12" s="30" t="str">
        <f aca="false">IF($A12="","",$A12&amp;"."&amp;$B12)</f>
        <v/>
      </c>
      <c r="U12" s="30" t="str">
        <f aca="false">IF($A12="","",SUMIFS(inventory!$G$2:$G$801,inventory!$C$2:$C$801,$A12,inventory!$D$2:$D$801,$B12,inventory!$E$2:$E$801,"delivered"))</f>
        <v/>
      </c>
      <c r="V12" s="37" t="str">
        <f aca="false">IF($A12="","",IFERROR(1/(1/SUMPRODUCT(MAX((inventory!$C$2:$C$801=$A12)*(inventory!$D$2:$D$801=$B12)*(inventory!$E$2:$E$801="delivered")*(inventory!$A$2:$A$801+inventory!$B$2:$B$801)))),""))</f>
        <v/>
      </c>
      <c r="W12" s="30" t="str">
        <f aca="false">IF($A12="","",IFERROR(IF(INDEX(inventory!$J$2:$J$801,MATCH($A12&amp;"|"&amp;$B12&amp;"|delivered",inventory!$R$2:$R$801,0))="","",INDEX(inventory!$J$2:$J$801,MATCH($A12&amp;"|"&amp;$B12&amp;"|delivered",inventory!$R$2:$R$801,0))),""))</f>
        <v/>
      </c>
      <c r="X12" s="30" t="str">
        <f aca="false">IF($A12="","",IFERROR(IF(INDEX(photos!$H$2:$H$701,MATCH($A12&amp;"|"&amp;$B12&amp;"|placement|Y",photos!$R$2:$R$701,0))="","",INDEX(photos!$H$2:$H$701,MATCH($A12&amp;"|"&amp;$B12&amp;"|placement|Y",photos!$R$2:$R$701,0))),""))</f>
        <v/>
      </c>
      <c r="Y12" s="31" t="str">
        <f aca="false">IF($A12="","",IFERROR(IF(INDEX(photos!$E$2:$E$701,MATCH($A12&amp;"|"&amp;$B12&amp;"|placement|Y",photos!$R$2:$R$701,0))="","",INDEX(photos!$E$2:$E$701,MATCH($A12&amp;"|"&amp;$B12&amp;"|placement|Y",photos!$R$2:$R$701,0))),""))</f>
        <v/>
      </c>
      <c r="Z12" s="30" t="str">
        <f aca="false">IF($A12="","",IF(COUNTIFS(counts!$C$2:$C$701,$A12,counts!$D$2:$D$701,$B12,counts!$E$2:$E$701,"placed")=0,"",SUMIFS(counts!$F$2:$F$701,counts!$C$2:$C$701,$A12,counts!$D$2:$D$701,$B12,counts!$E$2:$E$701,"placed")))</f>
        <v/>
      </c>
      <c r="AA12" s="30" t="str">
        <f aca="false">IF($A12="","",IF($Y12="",0,N($Z12)))</f>
        <v/>
      </c>
      <c r="AB12" s="30" t="str">
        <f aca="false">IF($A12="","",IF(OR($Y12="",$I12=""),"N",IF($Y12&lt;=WORKDAY(N($I12),1,calendar!$A$2:$A$80),"Y","N")))</f>
        <v/>
      </c>
      <c r="AC12" s="33" t="str">
        <f aca="false">IF(OR($A12="",$V12="",$Y12=""),"",ROUND(($Y12+N(IFERROR(IF(INDEX(photos!$F$2:$F$701,MATCH($A12&amp;"|"&amp;$B12&amp;"|placement|Y",photos!$R$2:$R$701,0))="","",INDEX(photos!$F$2:$F$701,MATCH($A12&amp;"|"&amp;$B12&amp;"|placement|Y",photos!$R$2:$R$701,0))),""))-$V12)*24,1))</f>
        <v/>
      </c>
      <c r="AD12" s="30" t="str">
        <f aca="false">IF($A12="","",SUMIFS(inventory!$G$2:$G$801,inventory!$C$2:$C$801,$A12,inventory!$D$2:$D$801,$B12,inventory!$E$2:$E$801,"topped_up"))</f>
        <v/>
      </c>
      <c r="AE12" s="30" t="str">
        <f aca="false">IF($A12="","",IF(COUNTIFS(counts!$C$2:$C$701,$A12,counts!$D$2:$D$701,$B12,counts!$E$2:$E$701,"remaining_day3")=0,"",SUMIFS(counts!$F$2:$F$701,counts!$C$2:$C$701,$A12,counts!$D$2:$D$701,$B12,counts!$E$2:$E$701,"remaining_day3")))</f>
        <v/>
      </c>
      <c r="AF12" s="30" t="str">
        <f aca="false">IF($A12="","",IF(COUNTIFS(counts!$C$2:$C$701,$A12,counts!$D$2:$D$701,$B12,counts!$E$2:$E$701,"remaining_day5")=0,"",SUMIFS(counts!$F$2:$F$701,counts!$C$2:$C$701,$A12,counts!$D$2:$D$701,$B12,counts!$E$2:$E$701,"remaining_day5")))</f>
        <v/>
      </c>
      <c r="AG12" s="30" t="str">
        <f aca="false">IF(OR($A12="",$AF12=""),"",MAX(0,$AA12+$AD12-$AF12))</f>
        <v/>
      </c>
      <c r="AH12" s="30" t="str">
        <f aca="false">IF(OR($A12="",$AI12=""),"",IFERROR(IF(INDEX(photos!$H$2:$H$701,MATCH($A12&amp;"|"&amp;$B12&amp;"|later|Y|"&amp;$AI12,photos!$S$2:$S$701,0))="","",INDEX(photos!$H$2:$H$701,MATCH($A12&amp;"|"&amp;$B12&amp;"|later|Y|"&amp;$AI12,photos!$S$2:$S$701,0))),""))</f>
        <v/>
      </c>
      <c r="AI12" s="31" t="str">
        <f aca="false">IF($A12="","",IFERROR(1/(1/SUMPRODUCT(MAX((photos!$B$2:$B$701=$A12)*(photos!$C$2:$C$701=$B12)*(photos!$D$2:$D$701="later")*(photos!$O$2:$O$701="Y")*photos!$E$2:$E$701))),""))</f>
        <v/>
      </c>
      <c r="AJ12" s="30" t="str">
        <f aca="false">IF(OR($A12="",$AI12="",$I12=""),"",NETWORKDAYS($I12,$AI12,calendar!$A$2:$A$80))</f>
        <v/>
      </c>
      <c r="AK12" s="30" t="str">
        <f aca="false">IF($A12="","",IF(AND($X12&lt;&gt;"",$AH12&lt;&gt;""),"Y","N"))</f>
        <v/>
      </c>
      <c r="AL12" s="30" t="str">
        <f aca="true">IF(OR($A12="",$I12=""),"",IF($BC12="Y",SUMIFS(survey_frozen!$C$2:$C$251,survey_frozen!$P$2:$P$251,$A12&amp;"|"&amp;$B12),IFERROR(COUNTIFS(INDIRECT("'"&amp;$A12&amp;"'!$B$2:$B$501"),$T12,INDIRECT("'"&amp;$A12&amp;"'!$A$2:$A$501"),"&gt;="&amp;$I12,INDIRECT("'"&amp;$A12&amp;"'!$A$2:$A$501"),"&lt;"&amp;($BA12+1)),0)))</f>
        <v/>
      </c>
      <c r="AM12" s="30" t="str">
        <f aca="true">IF(OR($A12="",$I12=""),"",IF($BC12="Y",SUMIFS(survey_frozen!$D$2:$D$251,survey_frozen!$P$2:$P$251,$A12&amp;"|"&amp;$B12),IFERROR(COUNTIFS(INDIRECT("'"&amp;$A12&amp;"'!$B$2:$B$501"),$T12,INDIRECT("'"&amp;$A12&amp;"'!$A$2:$A$501"),"&gt;="&amp;$I12,INDIRECT("'"&amp;$A12&amp;"'!$A$2:$A$501"),"&lt;"&amp;($BA12+1),INDIRECT("'"&amp;$A12&amp;"'!$C$2:$C$501"),"Yes"),0)))</f>
        <v/>
      </c>
      <c r="AN12" s="30" t="str">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30" t="str">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str">
        <f aca="true">IF(OR($A12="",$I12=""),"",IF($BC12="Y",SUMIFS(survey_frozen!$E$2:$E$251,survey_frozen!$P$2:$P$251,$A12&amp;"|"&amp;$B12),IFERROR(COUNTIFS(INDIRECT("'"&amp;$A12&amp;"'!$B$2:$B$501"),$T12,INDIRECT("'"&amp;$A12&amp;"'!$A$2:$A$501"),"&gt;="&amp;$I12,INDIRECT("'"&amp;$A12&amp;"'!$A$2:$A$501"),"&lt;"&amp;($BA12+1),INDIRECT("'"&amp;$A12&amp;"'!$F$2:$F$501"),"Didn't see it"),0)))</f>
        <v/>
      </c>
      <c r="AR12" s="30" t="str">
        <f aca="true">IF(OR($A12="",$I12=""),"",IF($BC12="Y",SUMIFS(survey_frozen!$F$2:$F$251,survey_frozen!$P$2:$P$251,$A12&amp;"|"&amp;$B12),IFERROR(COUNTIFS(INDIRECT("'"&amp;$A12&amp;"'!$B$2:$B$501"),$T12,INDIRECT("'"&amp;$A12&amp;"'!$A$2:$A$501"),"&gt;="&amp;$I12,INDIRECT("'"&amp;$A12&amp;"'!$A$2:$A$501"),"&lt;"&amp;($BA12+1),INDIRECT("'"&amp;$A12&amp;"'!$F$2:$F$501"),"Not for me"),0)))</f>
        <v/>
      </c>
      <c r="AS12" s="30" t="str">
        <f aca="true">IF(OR($A12="",$I12=""),"",IF($BC12="Y",SUMIFS(survey_frozen!$G$2:$G$251,survey_frozen!$P$2:$P$251,$A12&amp;"|"&amp;$B12),IFERROR(COUNTIFS(INDIRECT("'"&amp;$A12&amp;"'!$B$2:$B$501"),$T12,INDIRECT("'"&amp;$A12&amp;"'!$A$2:$A$501"),"&gt;="&amp;$I12,INDIRECT("'"&amp;$A12&amp;"'!$A$2:$A$501"),"&lt;"&amp;($BA12+1),INDIRECT("'"&amp;$A12&amp;"'!$F$2:$F$501"),"Gone by the time I looked"),0)))</f>
        <v/>
      </c>
      <c r="AT12" s="30" t="str">
        <f aca="true">IF(OR($A12="",$I12=""),"",IF($BC12="Y",SUMIFS(survey_frozen!$H$2:$H$251,survey_frozen!$P$2:$P$251,$A12&amp;"|"&amp;$B12),IFERROR(COUNTIFS(INDIRECT("'"&amp;$A12&amp;"'!$B$2:$B$501"),$T12,INDIRECT("'"&amp;$A12&amp;"'!$A$2:$A$501"),"&gt;="&amp;$I12,INDIRECT("'"&amp;$A12&amp;"'!$A$2:$A$501"),"&lt;"&amp;($BA12+1),INDIRECT("'"&amp;$A12&amp;"'!$D$2:$D$501"),"&gt;=1"),0)))</f>
        <v/>
      </c>
      <c r="AU12" s="30" t="str">
        <f aca="true">IF(OR($A12="",$I12=""),"",IF($BC12="Y",SUMIFS(survey_frozen!$I$2:$I$251,survey_frozen!$P$2:$P$251,$A12&amp;"|"&amp;$B12),IFERROR(SUMIFS(INDIRECT("'"&amp;$A12&amp;"'!$D$2:$D$501"),INDIRECT("'"&amp;$A12&amp;"'!$B$2:$B$501"),$T12,INDIRECT("'"&amp;$A12&amp;"'!$A$2:$A$501"),"&gt;="&amp;$I12,INDIRECT("'"&amp;$A12&amp;"'!$A$2:$A$501"),"&lt;"&amp;($BA12+1)),0)))</f>
        <v/>
      </c>
      <c r="AV12" s="30" t="str">
        <f aca="true">IF(OR($A12="",$I12=""),"",IF($BC12="Y",SUMIFS(survey_frozen!$J$2:$J$251,survey_frozen!$P$2:$P$251,$A12&amp;"|"&amp;$B12),IFERROR(COUNTIFS(INDIRECT("'"&amp;$A12&amp;"'!$B$2:$B$501"),$T12,INDIRECT("'"&amp;$A12&amp;"'!$A$2:$A$501"),"&gt;="&amp;$I12,INDIRECT("'"&amp;$A12&amp;"'!$A$2:$A$501"),"&lt;"&amp;($BA12+1),INDIRECT("'"&amp;$A12&amp;"'!$E$2:$E$501"),"Yes"),0)))</f>
        <v/>
      </c>
      <c r="AW12" s="30" t="str">
        <f aca="true">IF(OR($A12="",$I12=""),"",IF($BC12="Y",SUMIFS(survey_frozen!$K$2:$K$251,survey_frozen!$P$2:$P$251,$A12&amp;"|"&amp;$B12),IFERROR(COUNTIFS(INDIRECT("'"&amp;$A12&amp;"'!$B$2:$B$501"),$T12,INDIRECT("'"&amp;$A12&amp;"'!$A$2:$A$501"),"&gt;="&amp;$I12,INDIRECT("'"&amp;$A12&amp;"'!$A$2:$A$501"),"&lt;"&amp;($BA12+1),INDIRECT("'"&amp;$A12&amp;"'!$E$2:$E$501"),"Maybe"),0)))</f>
        <v/>
      </c>
      <c r="AX12" s="30" t="str">
        <f aca="true">IF(OR($A12="",$I12=""),"",IF($BC12="Y",SUMIFS(survey_frozen!$L$2:$L$251,survey_frozen!$P$2:$P$251,$A12&amp;"|"&amp;$B12),IFERROR(COUNTIFS(INDIRECT("'"&amp;$A12&amp;"'!$B$2:$B$501"),$T12,INDIRECT("'"&amp;$A12&amp;"'!$A$2:$A$501"),"&gt;="&amp;$I12,INDIRECT("'"&amp;$A12&amp;"'!$A$2:$A$501"),"&lt;"&amp;($BA12+1),INDIRECT("'"&amp;$A12&amp;"'!$E$2:$E$501"),"No"),0)))</f>
        <v/>
      </c>
      <c r="AY12" s="30" t="str">
        <f aca="true">IF(OR($A12="",$I12=""),"",IF($BC12="Y",SUMIFS(survey_frozen!$M$2:$M$251,survey_frozen!$P$2:$P$251,$A12&amp;"|"&amp;$B12),IFERROR(COUNTIFS(INDIRECT("'"&amp;$A12&amp;"'!$B$2:$B$501"),$T12,INDIRECT("'"&amp;$A12&amp;"'!$A$2:$A$501"),"&gt;="&amp;$I12,INDIRECT("'"&amp;$A12&amp;"'!$A$2:$A$501"),"&lt;"&amp;($BA12+1),INDIRECT("'"&amp;$A12&amp;"'!$G$2:$G$501"),"&lt;&gt;"),0)))</f>
        <v/>
      </c>
      <c r="AZ12" s="30" t="str">
        <f aca="false">IF($A12="","",$A12&amp;"|"&amp;$L12)</f>
        <v/>
      </c>
      <c r="BA12" s="31" t="str">
        <f aca="false">IF($A12="","",IFERROR(IF(INDEX(drops!$R$2:$R$21,MATCH($H12,drops!$A$2:$A$21,0))="","",INDEX(drops!$R$2:$R$21,MATCH($H12,drops!$A$2:$A$21,0))),""))</f>
        <v/>
      </c>
      <c r="BB12" s="30" t="n">
        <f aca="false">IF(OR($A12="",$Q12&lt;&gt;"Y"),1000000,N($AL12))</f>
        <v>1000000</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C13" s="11"/>
      <c r="D13" s="10"/>
      <c r="E13" s="11"/>
      <c r="H13" s="30" t="str">
        <f aca="false">IF($A13="","",IFERROR(IF(INDEX(campaigns!$B$2:$B$51,MATCH($A13,campaigns!$A$2:$A$51,0))="","",INDEX(campaigns!$B$2:$B$51,MATCH($A13,campaigns!$A$2:$A$51,0))),""))</f>
        <v/>
      </c>
      <c r="I13" s="31" t="str">
        <f aca="false">IF($A13="","",IFERROR(IF(INDEX(campaigns!$BG$2:$BG$51,MATCH($A13,campaigns!$A$2:$A$51,0))="","",INDEX(campaigns!$BG$2:$BG$51,MATCH($A13,campaigns!$A$2:$A$51,0))),""))</f>
        <v/>
      </c>
      <c r="J13" s="30" t="str">
        <f aca="false">IF($A13="","",IFERROR(IF(INDEX(campaigns!$BE$2:$BE$51,MATCH($A13,campaigns!$A$2:$A$51,0))="","",INDEX(campaigns!$BE$2:$BE$51,MATCH($A13,campaigns!$A$2:$A$51,0))),""))</f>
        <v/>
      </c>
      <c r="K13" s="30" t="str">
        <f aca="false">IF($B13="","",IFERROR(IF(INDEX(offices!$O$2:$O$61,MATCH($B13,offices!$A$2:$A$61,0))="","",INDEX(offices!$O$2:$O$61,MATCH($B13,offices!$A$2:$A$61,0))),""))</f>
        <v/>
      </c>
      <c r="L13" s="30" t="str">
        <f aca="false">IF($A13="","",IF($Q13="N","",COUNTIFS($A$2:$A13,$A13,$Q$2:$Q13,"&lt;&gt;N")))</f>
        <v/>
      </c>
      <c r="M13" s="30" t="str">
        <f aca="false">IF(OR($A13="",$L13=""),"",IF(AND(config!$B$34="names_if_public",IFERROR(IF(INDEX(offices!$AG$2:$AG$61,MATCH($B13,offices!$A$2:$A$61,0))="","",INDEX(offices!$AG$2:$AG$61,MATCH($B13,offices!$A$2:$A$61,0))),"")="Y"),$K13,CHAR(64+$L13)))</f>
        <v/>
      </c>
      <c r="N13" s="30" t="str">
        <f aca="false">IF(OR($A13="",$I13=""),"",COUNTIFS(stops!$B$2:$B$151,$B13,stops!$P$2:$P$151,"&lt;"&amp;$I13,stops!$L$2:$L$151,"&lt;&gt;not_delivered")+1)</f>
        <v/>
      </c>
      <c r="O13" s="30" t="str">
        <f aca="false">IF($A13="","",IF(N($N13)&lt;=config!$B$29,"explicit","opt-out"))</f>
        <v/>
      </c>
      <c r="P13" s="30" t="str">
        <f aca="false">IF($A13="","",IF($O13="explicit",IF($D13="yes","Y",IF($D13="no","N","pending")),IF($D13="no","N",IF(AND($C13&lt;&gt;"",$I13&lt;&gt;"",$C13&lt;=WORKDAY(N($I13),-5,calendar!$A$2:$A$80)),"Y","pending"))))</f>
        <v/>
      </c>
      <c r="Q13" s="30" t="str">
        <f aca="false">IF($A13="","",IF($P13="N","N",IF($P13&lt;&gt;"Y","pending",IF(AND((COUNTIFS(stops!$A$2:$A$151,$H13,stops!$B$2:$B$151,$B13,stops!$L$2:$L$151,"declined")+COUNTIFS(stops!$A$2:$A$151,$H13,stops!$B$2:$B$151,$B13,stops!$L$2:$L$151,"building_refused")+COUNTIFS(stops!$A$2:$A$151,$H13,stops!$B$2:$B$151,$B13,stops!$L$2:$L$151,"not_delivered"))&gt;0,N($U13)=0),"N","Y"))))</f>
        <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str">
        <f aca="false">IF($A13="","",IF($G13&lt;&gt;"",$G13,IFERROR(IF(INDEX(offices!$AM$2:$AM$61,MATCH($B13,offices!$A$2:$A$61,0))="","",INDEX(offices!$AM$2:$AM$61,MATCH($B13,offices!$A$2:$A$61,0))),"")))</f>
        <v/>
      </c>
      <c r="T13" s="30" t="str">
        <f aca="false">IF($A13="","",$A13&amp;"."&amp;$B13)</f>
        <v/>
      </c>
      <c r="U13" s="30" t="str">
        <f aca="false">IF($A13="","",SUMIFS(inventory!$G$2:$G$801,inventory!$C$2:$C$801,$A13,inventory!$D$2:$D$801,$B13,inventory!$E$2:$E$801,"delivered"))</f>
        <v/>
      </c>
      <c r="V13" s="37" t="str">
        <f aca="false">IF($A13="","",IFERROR(1/(1/SUMPRODUCT(MAX((inventory!$C$2:$C$801=$A13)*(inventory!$D$2:$D$801=$B13)*(inventory!$E$2:$E$801="delivered")*(inventory!$A$2:$A$801+inventory!$B$2:$B$801)))),""))</f>
        <v/>
      </c>
      <c r="W13" s="30" t="str">
        <f aca="false">IF($A13="","",IFERROR(IF(INDEX(inventory!$J$2:$J$801,MATCH($A13&amp;"|"&amp;$B13&amp;"|delivered",inventory!$R$2:$R$801,0))="","",INDEX(inventory!$J$2:$J$801,MATCH($A13&amp;"|"&amp;$B13&amp;"|delivered",inventory!$R$2:$R$801,0))),""))</f>
        <v/>
      </c>
      <c r="X13" s="30" t="str">
        <f aca="false">IF($A13="","",IFERROR(IF(INDEX(photos!$H$2:$H$701,MATCH($A13&amp;"|"&amp;$B13&amp;"|placement|Y",photos!$R$2:$R$701,0))="","",INDEX(photos!$H$2:$H$701,MATCH($A13&amp;"|"&amp;$B13&amp;"|placement|Y",photos!$R$2:$R$701,0))),""))</f>
        <v/>
      </c>
      <c r="Y13" s="31" t="str">
        <f aca="false">IF($A13="","",IFERROR(IF(INDEX(photos!$E$2:$E$701,MATCH($A13&amp;"|"&amp;$B13&amp;"|placement|Y",photos!$R$2:$R$701,0))="","",INDEX(photos!$E$2:$E$701,MATCH($A13&amp;"|"&amp;$B13&amp;"|placement|Y",photos!$R$2:$R$701,0))),""))</f>
        <v/>
      </c>
      <c r="Z13" s="30" t="str">
        <f aca="false">IF($A13="","",IF(COUNTIFS(counts!$C$2:$C$701,$A13,counts!$D$2:$D$701,$B13,counts!$E$2:$E$701,"placed")=0,"",SUMIFS(counts!$F$2:$F$701,counts!$C$2:$C$701,$A13,counts!$D$2:$D$701,$B13,counts!$E$2:$E$701,"placed")))</f>
        <v/>
      </c>
      <c r="AA13" s="30" t="str">
        <f aca="false">IF($A13="","",IF($Y13="",0,N($Z13)))</f>
        <v/>
      </c>
      <c r="AB13" s="30" t="str">
        <f aca="false">IF($A13="","",IF(OR($Y13="",$I13=""),"N",IF($Y13&lt;=WORKDAY(N($I13),1,calendar!$A$2:$A$80),"Y","N")))</f>
        <v/>
      </c>
      <c r="AC13" s="33" t="str">
        <f aca="false">IF(OR($A13="",$V13="",$Y13=""),"",ROUND(($Y13+N(IFERROR(IF(INDEX(photos!$F$2:$F$701,MATCH($A13&amp;"|"&amp;$B13&amp;"|placement|Y",photos!$R$2:$R$701,0))="","",INDEX(photos!$F$2:$F$701,MATCH($A13&amp;"|"&amp;$B13&amp;"|placement|Y",photos!$R$2:$R$701,0))),""))-$V13)*24,1))</f>
        <v/>
      </c>
      <c r="AD13" s="30" t="str">
        <f aca="false">IF($A13="","",SUMIFS(inventory!$G$2:$G$801,inventory!$C$2:$C$801,$A13,inventory!$D$2:$D$801,$B13,inventory!$E$2:$E$801,"topped_up"))</f>
        <v/>
      </c>
      <c r="AE13" s="30" t="str">
        <f aca="false">IF($A13="","",IF(COUNTIFS(counts!$C$2:$C$701,$A13,counts!$D$2:$D$701,$B13,counts!$E$2:$E$701,"remaining_day3")=0,"",SUMIFS(counts!$F$2:$F$701,counts!$C$2:$C$701,$A13,counts!$D$2:$D$701,$B13,counts!$E$2:$E$701,"remaining_day3")))</f>
        <v/>
      </c>
      <c r="AF13" s="30" t="str">
        <f aca="false">IF($A13="","",IF(COUNTIFS(counts!$C$2:$C$701,$A13,counts!$D$2:$D$701,$B13,counts!$E$2:$E$701,"remaining_day5")=0,"",SUMIFS(counts!$F$2:$F$701,counts!$C$2:$C$701,$A13,counts!$D$2:$D$701,$B13,counts!$E$2:$E$701,"remaining_day5")))</f>
        <v/>
      </c>
      <c r="AG13" s="30" t="str">
        <f aca="false">IF(OR($A13="",$AF13=""),"",MAX(0,$AA13+$AD13-$AF13))</f>
        <v/>
      </c>
      <c r="AH13" s="30" t="str">
        <f aca="false">IF(OR($A13="",$AI13=""),"",IFERROR(IF(INDEX(photos!$H$2:$H$701,MATCH($A13&amp;"|"&amp;$B13&amp;"|later|Y|"&amp;$AI13,photos!$S$2:$S$701,0))="","",INDEX(photos!$H$2:$H$701,MATCH($A13&amp;"|"&amp;$B13&amp;"|later|Y|"&amp;$AI13,photos!$S$2:$S$701,0))),""))</f>
        <v/>
      </c>
      <c r="AI13" s="31" t="str">
        <f aca="false">IF($A13="","",IFERROR(1/(1/SUMPRODUCT(MAX((photos!$B$2:$B$701=$A13)*(photos!$C$2:$C$701=$B13)*(photos!$D$2:$D$701="later")*(photos!$O$2:$O$701="Y")*photos!$E$2:$E$701))),""))</f>
        <v/>
      </c>
      <c r="AJ13" s="30" t="str">
        <f aca="false">IF(OR($A13="",$AI13="",$I13=""),"",NETWORKDAYS($I13,$AI13,calendar!$A$2:$A$80))</f>
        <v/>
      </c>
      <c r="AK13" s="30" t="str">
        <f aca="false">IF($A13="","",IF(AND($X13&lt;&gt;"",$AH13&lt;&gt;""),"Y","N"))</f>
        <v/>
      </c>
      <c r="AL13" s="30" t="str">
        <f aca="true">IF(OR($A13="",$I13=""),"",IF($BC13="Y",SUMIFS(survey_frozen!$C$2:$C$251,survey_frozen!$P$2:$P$251,$A13&amp;"|"&amp;$B13),IFERROR(COUNTIFS(INDIRECT("'"&amp;$A13&amp;"'!$B$2:$B$501"),$T13,INDIRECT("'"&amp;$A13&amp;"'!$A$2:$A$501"),"&gt;="&amp;$I13,INDIRECT("'"&amp;$A13&amp;"'!$A$2:$A$501"),"&lt;"&amp;($BA13+1)),0)))</f>
        <v/>
      </c>
      <c r="AM13" s="30" t="str">
        <f aca="true">IF(OR($A13="",$I13=""),"",IF($BC13="Y",SUMIFS(survey_frozen!$D$2:$D$251,survey_frozen!$P$2:$P$251,$A13&amp;"|"&amp;$B13),IFERROR(COUNTIFS(INDIRECT("'"&amp;$A13&amp;"'!$B$2:$B$501"),$T13,INDIRECT("'"&amp;$A13&amp;"'!$A$2:$A$501"),"&gt;="&amp;$I13,INDIRECT("'"&amp;$A13&amp;"'!$A$2:$A$501"),"&lt;"&amp;($BA13+1),INDIRECT("'"&amp;$A13&amp;"'!$C$2:$C$501"),"Yes"),0)))</f>
        <v/>
      </c>
      <c r="AN13" s="30" t="str">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30" t="str">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str">
        <f aca="true">IF(OR($A13="",$I13=""),"",IF($BC13="Y",SUMIFS(survey_frozen!$E$2:$E$251,survey_frozen!$P$2:$P$251,$A13&amp;"|"&amp;$B13),IFERROR(COUNTIFS(INDIRECT("'"&amp;$A13&amp;"'!$B$2:$B$501"),$T13,INDIRECT("'"&amp;$A13&amp;"'!$A$2:$A$501"),"&gt;="&amp;$I13,INDIRECT("'"&amp;$A13&amp;"'!$A$2:$A$501"),"&lt;"&amp;($BA13+1),INDIRECT("'"&amp;$A13&amp;"'!$F$2:$F$501"),"Didn't see it"),0)))</f>
        <v/>
      </c>
      <c r="AR13" s="30" t="str">
        <f aca="true">IF(OR($A13="",$I13=""),"",IF($BC13="Y",SUMIFS(survey_frozen!$F$2:$F$251,survey_frozen!$P$2:$P$251,$A13&amp;"|"&amp;$B13),IFERROR(COUNTIFS(INDIRECT("'"&amp;$A13&amp;"'!$B$2:$B$501"),$T13,INDIRECT("'"&amp;$A13&amp;"'!$A$2:$A$501"),"&gt;="&amp;$I13,INDIRECT("'"&amp;$A13&amp;"'!$A$2:$A$501"),"&lt;"&amp;($BA13+1),INDIRECT("'"&amp;$A13&amp;"'!$F$2:$F$501"),"Not for me"),0)))</f>
        <v/>
      </c>
      <c r="AS13" s="30" t="str">
        <f aca="true">IF(OR($A13="",$I13=""),"",IF($BC13="Y",SUMIFS(survey_frozen!$G$2:$G$251,survey_frozen!$P$2:$P$251,$A13&amp;"|"&amp;$B13),IFERROR(COUNTIFS(INDIRECT("'"&amp;$A13&amp;"'!$B$2:$B$501"),$T13,INDIRECT("'"&amp;$A13&amp;"'!$A$2:$A$501"),"&gt;="&amp;$I13,INDIRECT("'"&amp;$A13&amp;"'!$A$2:$A$501"),"&lt;"&amp;($BA13+1),INDIRECT("'"&amp;$A13&amp;"'!$F$2:$F$501"),"Gone by the time I looked"),0)))</f>
        <v/>
      </c>
      <c r="AT13" s="30" t="str">
        <f aca="true">IF(OR($A13="",$I13=""),"",IF($BC13="Y",SUMIFS(survey_frozen!$H$2:$H$251,survey_frozen!$P$2:$P$251,$A13&amp;"|"&amp;$B13),IFERROR(COUNTIFS(INDIRECT("'"&amp;$A13&amp;"'!$B$2:$B$501"),$T13,INDIRECT("'"&amp;$A13&amp;"'!$A$2:$A$501"),"&gt;="&amp;$I13,INDIRECT("'"&amp;$A13&amp;"'!$A$2:$A$501"),"&lt;"&amp;($BA13+1),INDIRECT("'"&amp;$A13&amp;"'!$D$2:$D$501"),"&gt;=1"),0)))</f>
        <v/>
      </c>
      <c r="AU13" s="30" t="str">
        <f aca="true">IF(OR($A13="",$I13=""),"",IF($BC13="Y",SUMIFS(survey_frozen!$I$2:$I$251,survey_frozen!$P$2:$P$251,$A13&amp;"|"&amp;$B13),IFERROR(SUMIFS(INDIRECT("'"&amp;$A13&amp;"'!$D$2:$D$501"),INDIRECT("'"&amp;$A13&amp;"'!$B$2:$B$501"),$T13,INDIRECT("'"&amp;$A13&amp;"'!$A$2:$A$501"),"&gt;="&amp;$I13,INDIRECT("'"&amp;$A13&amp;"'!$A$2:$A$501"),"&lt;"&amp;($BA13+1)),0)))</f>
        <v/>
      </c>
      <c r="AV13" s="30" t="str">
        <f aca="true">IF(OR($A13="",$I13=""),"",IF($BC13="Y",SUMIFS(survey_frozen!$J$2:$J$251,survey_frozen!$P$2:$P$251,$A13&amp;"|"&amp;$B13),IFERROR(COUNTIFS(INDIRECT("'"&amp;$A13&amp;"'!$B$2:$B$501"),$T13,INDIRECT("'"&amp;$A13&amp;"'!$A$2:$A$501"),"&gt;="&amp;$I13,INDIRECT("'"&amp;$A13&amp;"'!$A$2:$A$501"),"&lt;"&amp;($BA13+1),INDIRECT("'"&amp;$A13&amp;"'!$E$2:$E$501"),"Yes"),0)))</f>
        <v/>
      </c>
      <c r="AW13" s="30" t="str">
        <f aca="true">IF(OR($A13="",$I13=""),"",IF($BC13="Y",SUMIFS(survey_frozen!$K$2:$K$251,survey_frozen!$P$2:$P$251,$A13&amp;"|"&amp;$B13),IFERROR(COUNTIFS(INDIRECT("'"&amp;$A13&amp;"'!$B$2:$B$501"),$T13,INDIRECT("'"&amp;$A13&amp;"'!$A$2:$A$501"),"&gt;="&amp;$I13,INDIRECT("'"&amp;$A13&amp;"'!$A$2:$A$501"),"&lt;"&amp;($BA13+1),INDIRECT("'"&amp;$A13&amp;"'!$E$2:$E$501"),"Maybe"),0)))</f>
        <v/>
      </c>
      <c r="AX13" s="30" t="str">
        <f aca="true">IF(OR($A13="",$I13=""),"",IF($BC13="Y",SUMIFS(survey_frozen!$L$2:$L$251,survey_frozen!$P$2:$P$251,$A13&amp;"|"&amp;$B13),IFERROR(COUNTIFS(INDIRECT("'"&amp;$A13&amp;"'!$B$2:$B$501"),$T13,INDIRECT("'"&amp;$A13&amp;"'!$A$2:$A$501"),"&gt;="&amp;$I13,INDIRECT("'"&amp;$A13&amp;"'!$A$2:$A$501"),"&lt;"&amp;($BA13+1),INDIRECT("'"&amp;$A13&amp;"'!$E$2:$E$501"),"No"),0)))</f>
        <v/>
      </c>
      <c r="AY13" s="30" t="str">
        <f aca="true">IF(OR($A13="",$I13=""),"",IF($BC13="Y",SUMIFS(survey_frozen!$M$2:$M$251,survey_frozen!$P$2:$P$251,$A13&amp;"|"&amp;$B13),IFERROR(COUNTIFS(INDIRECT("'"&amp;$A13&amp;"'!$B$2:$B$501"),$T13,INDIRECT("'"&amp;$A13&amp;"'!$A$2:$A$501"),"&gt;="&amp;$I13,INDIRECT("'"&amp;$A13&amp;"'!$A$2:$A$501"),"&lt;"&amp;($BA13+1),INDIRECT("'"&amp;$A13&amp;"'!$G$2:$G$501"),"&lt;&gt;"),0)))</f>
        <v/>
      </c>
      <c r="AZ13" s="30" t="str">
        <f aca="false">IF($A13="","",$A13&amp;"|"&amp;$L13)</f>
        <v/>
      </c>
      <c r="BA13" s="31" t="str">
        <f aca="false">IF($A13="","",IFERROR(IF(INDEX(drops!$R$2:$R$21,MATCH($H13,drops!$A$2:$A$21,0))="","",INDEX(drops!$R$2:$R$21,MATCH($H13,drops!$A$2:$A$21,0))),""))</f>
        <v/>
      </c>
      <c r="BB13" s="30" t="n">
        <f aca="false">IF(OR($A13="",$Q13&lt;&gt;"Y"),1000000,N($AL13))</f>
        <v>1000000</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C14" s="11"/>
      <c r="D14" s="10"/>
      <c r="E14" s="11"/>
      <c r="H14" s="30" t="str">
        <f aca="false">IF($A14="","",IFERROR(IF(INDEX(campaigns!$B$2:$B$51,MATCH($A14,campaigns!$A$2:$A$51,0))="","",INDEX(campaigns!$B$2:$B$51,MATCH($A14,campaigns!$A$2:$A$51,0))),""))</f>
        <v/>
      </c>
      <c r="I14" s="31" t="str">
        <f aca="false">IF($A14="","",IFERROR(IF(INDEX(campaigns!$BG$2:$BG$51,MATCH($A14,campaigns!$A$2:$A$51,0))="","",INDEX(campaigns!$BG$2:$BG$51,MATCH($A14,campaigns!$A$2:$A$51,0))),""))</f>
        <v/>
      </c>
      <c r="J14" s="30" t="str">
        <f aca="false">IF($A14="","",IFERROR(IF(INDEX(campaigns!$BE$2:$BE$51,MATCH($A14,campaigns!$A$2:$A$51,0))="","",INDEX(campaigns!$BE$2:$BE$51,MATCH($A14,campaigns!$A$2:$A$51,0))),""))</f>
        <v/>
      </c>
      <c r="K14" s="30" t="str">
        <f aca="false">IF($B14="","",IFERROR(IF(INDEX(offices!$O$2:$O$61,MATCH($B14,offices!$A$2:$A$61,0))="","",INDEX(offices!$O$2:$O$61,MATCH($B14,offices!$A$2:$A$61,0))),""))</f>
        <v/>
      </c>
      <c r="L14" s="30" t="str">
        <f aca="false">IF($A14="","",IF($Q14="N","",COUNTIFS($A$2:$A14,$A14,$Q$2:$Q14,"&lt;&gt;N")))</f>
        <v/>
      </c>
      <c r="M14" s="30" t="str">
        <f aca="false">IF(OR($A14="",$L14=""),"",IF(AND(config!$B$34="names_if_public",IFERROR(IF(INDEX(offices!$AG$2:$AG$61,MATCH($B14,offices!$A$2:$A$61,0))="","",INDEX(offices!$AG$2:$AG$61,MATCH($B14,offices!$A$2:$A$61,0))),"")="Y"),$K14,CHAR(64+$L14)))</f>
        <v/>
      </c>
      <c r="N14" s="30" t="str">
        <f aca="false">IF(OR($A14="",$I14=""),"",COUNTIFS(stops!$B$2:$B$151,$B14,stops!$P$2:$P$151,"&lt;"&amp;$I14,stops!$L$2:$L$151,"&lt;&gt;not_delivered")+1)</f>
        <v/>
      </c>
      <c r="O14" s="30" t="str">
        <f aca="false">IF($A14="","",IF(N($N14)&lt;=config!$B$29,"explicit","opt-out"))</f>
        <v/>
      </c>
      <c r="P14" s="30" t="str">
        <f aca="false">IF($A14="","",IF($O14="explicit",IF($D14="yes","Y",IF($D14="no","N","pending")),IF($D14="no","N",IF(AND($C14&lt;&gt;"",$I14&lt;&gt;"",$C14&lt;=WORKDAY(N($I14),-5,calendar!$A$2:$A$80)),"Y","pending"))))</f>
        <v/>
      </c>
      <c r="Q14" s="30" t="str">
        <f aca="false">IF($A14="","",IF($P14="N","N",IF($P14&lt;&gt;"Y","pending",IF(AND((COUNTIFS(stops!$A$2:$A$151,$H14,stops!$B$2:$B$151,$B14,stops!$L$2:$L$151,"declined")+COUNTIFS(stops!$A$2:$A$151,$H14,stops!$B$2:$B$151,$B14,stops!$L$2:$L$151,"building_refused")+COUNTIFS(stops!$A$2:$A$151,$H14,stops!$B$2:$B$151,$B14,stops!$L$2:$L$151,"not_delivered"))&gt;0,N($U14)=0),"N","Y"))))</f>
        <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str">
        <f aca="false">IF($A14="","",IF($G14&lt;&gt;"",$G14,IFERROR(IF(INDEX(offices!$AM$2:$AM$61,MATCH($B14,offices!$A$2:$A$61,0))="","",INDEX(offices!$AM$2:$AM$61,MATCH($B14,offices!$A$2:$A$61,0))),"")))</f>
        <v/>
      </c>
      <c r="T14" s="30" t="str">
        <f aca="false">IF($A14="","",$A14&amp;"."&amp;$B14)</f>
        <v/>
      </c>
      <c r="U14" s="30" t="str">
        <f aca="false">IF($A14="","",SUMIFS(inventory!$G$2:$G$801,inventory!$C$2:$C$801,$A14,inventory!$D$2:$D$801,$B14,inventory!$E$2:$E$801,"delivered"))</f>
        <v/>
      </c>
      <c r="V14" s="37" t="str">
        <f aca="false">IF($A14="","",IFERROR(1/(1/SUMPRODUCT(MAX((inventory!$C$2:$C$801=$A14)*(inventory!$D$2:$D$801=$B14)*(inventory!$E$2:$E$801="delivered")*(inventory!$A$2:$A$801+inventory!$B$2:$B$801)))),""))</f>
        <v/>
      </c>
      <c r="W14" s="30" t="str">
        <f aca="false">IF($A14="","",IFERROR(IF(INDEX(inventory!$J$2:$J$801,MATCH($A14&amp;"|"&amp;$B14&amp;"|delivered",inventory!$R$2:$R$801,0))="","",INDEX(inventory!$J$2:$J$801,MATCH($A14&amp;"|"&amp;$B14&amp;"|delivered",inventory!$R$2:$R$801,0))),""))</f>
        <v/>
      </c>
      <c r="X14" s="30" t="str">
        <f aca="false">IF($A14="","",IFERROR(IF(INDEX(photos!$H$2:$H$701,MATCH($A14&amp;"|"&amp;$B14&amp;"|placement|Y",photos!$R$2:$R$701,0))="","",INDEX(photos!$H$2:$H$701,MATCH($A14&amp;"|"&amp;$B14&amp;"|placement|Y",photos!$R$2:$R$701,0))),""))</f>
        <v/>
      </c>
      <c r="Y14" s="31" t="str">
        <f aca="false">IF($A14="","",IFERROR(IF(INDEX(photos!$E$2:$E$701,MATCH($A14&amp;"|"&amp;$B14&amp;"|placement|Y",photos!$R$2:$R$701,0))="","",INDEX(photos!$E$2:$E$701,MATCH($A14&amp;"|"&amp;$B14&amp;"|placement|Y",photos!$R$2:$R$701,0))),""))</f>
        <v/>
      </c>
      <c r="Z14" s="30" t="str">
        <f aca="false">IF($A14="","",IF(COUNTIFS(counts!$C$2:$C$701,$A14,counts!$D$2:$D$701,$B14,counts!$E$2:$E$701,"placed")=0,"",SUMIFS(counts!$F$2:$F$701,counts!$C$2:$C$701,$A14,counts!$D$2:$D$701,$B14,counts!$E$2:$E$701,"placed")))</f>
        <v/>
      </c>
      <c r="AA14" s="30" t="str">
        <f aca="false">IF($A14="","",IF($Y14="",0,N($Z14)))</f>
        <v/>
      </c>
      <c r="AB14" s="30" t="str">
        <f aca="false">IF($A14="","",IF(OR($Y14="",$I14=""),"N",IF($Y14&lt;=WORKDAY(N($I14),1,calendar!$A$2:$A$80),"Y","N")))</f>
        <v/>
      </c>
      <c r="AC14" s="33" t="str">
        <f aca="false">IF(OR($A14="",$V14="",$Y14=""),"",ROUND(($Y14+N(IFERROR(IF(INDEX(photos!$F$2:$F$701,MATCH($A14&amp;"|"&amp;$B14&amp;"|placement|Y",photos!$R$2:$R$701,0))="","",INDEX(photos!$F$2:$F$701,MATCH($A14&amp;"|"&amp;$B14&amp;"|placement|Y",photos!$R$2:$R$701,0))),""))-$V14)*24,1))</f>
        <v/>
      </c>
      <c r="AD14" s="30" t="str">
        <f aca="false">IF($A14="","",SUMIFS(inventory!$G$2:$G$801,inventory!$C$2:$C$801,$A14,inventory!$D$2:$D$801,$B14,inventory!$E$2:$E$801,"topped_up"))</f>
        <v/>
      </c>
      <c r="AE14" s="30" t="str">
        <f aca="false">IF($A14="","",IF(COUNTIFS(counts!$C$2:$C$701,$A14,counts!$D$2:$D$701,$B14,counts!$E$2:$E$701,"remaining_day3")=0,"",SUMIFS(counts!$F$2:$F$701,counts!$C$2:$C$701,$A14,counts!$D$2:$D$701,$B14,counts!$E$2:$E$701,"remaining_day3")))</f>
        <v/>
      </c>
      <c r="AF14" s="30" t="str">
        <f aca="false">IF($A14="","",IF(COUNTIFS(counts!$C$2:$C$701,$A14,counts!$D$2:$D$701,$B14,counts!$E$2:$E$701,"remaining_day5")=0,"",SUMIFS(counts!$F$2:$F$701,counts!$C$2:$C$701,$A14,counts!$D$2:$D$701,$B14,counts!$E$2:$E$701,"remaining_day5")))</f>
        <v/>
      </c>
      <c r="AG14" s="30" t="str">
        <f aca="false">IF(OR($A14="",$AF14=""),"",MAX(0,$AA14+$AD14-$AF14))</f>
        <v/>
      </c>
      <c r="AH14" s="30" t="str">
        <f aca="false">IF(OR($A14="",$AI14=""),"",IFERROR(IF(INDEX(photos!$H$2:$H$701,MATCH($A14&amp;"|"&amp;$B14&amp;"|later|Y|"&amp;$AI14,photos!$S$2:$S$701,0))="","",INDEX(photos!$H$2:$H$701,MATCH($A14&amp;"|"&amp;$B14&amp;"|later|Y|"&amp;$AI14,photos!$S$2:$S$701,0))),""))</f>
        <v/>
      </c>
      <c r="AI14" s="31" t="str">
        <f aca="false">IF($A14="","",IFERROR(1/(1/SUMPRODUCT(MAX((photos!$B$2:$B$701=$A14)*(photos!$C$2:$C$701=$B14)*(photos!$D$2:$D$701="later")*(photos!$O$2:$O$701="Y")*photos!$E$2:$E$701))),""))</f>
        <v/>
      </c>
      <c r="AJ14" s="30" t="str">
        <f aca="false">IF(OR($A14="",$AI14="",$I14=""),"",NETWORKDAYS($I14,$AI14,calendar!$A$2:$A$80))</f>
        <v/>
      </c>
      <c r="AK14" s="30" t="str">
        <f aca="false">IF($A14="","",IF(AND($X14&lt;&gt;"",$AH14&lt;&gt;""),"Y","N"))</f>
        <v/>
      </c>
      <c r="AL14" s="30" t="str">
        <f aca="true">IF(OR($A14="",$I14=""),"",IF($BC14="Y",SUMIFS(survey_frozen!$C$2:$C$251,survey_frozen!$P$2:$P$251,$A14&amp;"|"&amp;$B14),IFERROR(COUNTIFS(INDIRECT("'"&amp;$A14&amp;"'!$B$2:$B$501"),$T14,INDIRECT("'"&amp;$A14&amp;"'!$A$2:$A$501"),"&gt;="&amp;$I14,INDIRECT("'"&amp;$A14&amp;"'!$A$2:$A$501"),"&lt;"&amp;($BA14+1)),0)))</f>
        <v/>
      </c>
      <c r="AM14" s="30" t="str">
        <f aca="true">IF(OR($A14="",$I14=""),"",IF($BC14="Y",SUMIFS(survey_frozen!$D$2:$D$251,survey_frozen!$P$2:$P$251,$A14&amp;"|"&amp;$B14),IFERROR(COUNTIFS(INDIRECT("'"&amp;$A14&amp;"'!$B$2:$B$501"),$T14,INDIRECT("'"&amp;$A14&amp;"'!$A$2:$A$501"),"&gt;="&amp;$I14,INDIRECT("'"&amp;$A14&amp;"'!$A$2:$A$501"),"&lt;"&amp;($BA14+1),INDIRECT("'"&amp;$A14&amp;"'!$C$2:$C$501"),"Yes"),0)))</f>
        <v/>
      </c>
      <c r="AN14" s="30" t="str">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30" t="str">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str">
        <f aca="true">IF(OR($A14="",$I14=""),"",IF($BC14="Y",SUMIFS(survey_frozen!$E$2:$E$251,survey_frozen!$P$2:$P$251,$A14&amp;"|"&amp;$B14),IFERROR(COUNTIFS(INDIRECT("'"&amp;$A14&amp;"'!$B$2:$B$501"),$T14,INDIRECT("'"&amp;$A14&amp;"'!$A$2:$A$501"),"&gt;="&amp;$I14,INDIRECT("'"&amp;$A14&amp;"'!$A$2:$A$501"),"&lt;"&amp;($BA14+1),INDIRECT("'"&amp;$A14&amp;"'!$F$2:$F$501"),"Didn't see it"),0)))</f>
        <v/>
      </c>
      <c r="AR14" s="30" t="str">
        <f aca="true">IF(OR($A14="",$I14=""),"",IF($BC14="Y",SUMIFS(survey_frozen!$F$2:$F$251,survey_frozen!$P$2:$P$251,$A14&amp;"|"&amp;$B14),IFERROR(COUNTIFS(INDIRECT("'"&amp;$A14&amp;"'!$B$2:$B$501"),$T14,INDIRECT("'"&amp;$A14&amp;"'!$A$2:$A$501"),"&gt;="&amp;$I14,INDIRECT("'"&amp;$A14&amp;"'!$A$2:$A$501"),"&lt;"&amp;($BA14+1),INDIRECT("'"&amp;$A14&amp;"'!$F$2:$F$501"),"Not for me"),0)))</f>
        <v/>
      </c>
      <c r="AS14" s="30" t="str">
        <f aca="true">IF(OR($A14="",$I14=""),"",IF($BC14="Y",SUMIFS(survey_frozen!$G$2:$G$251,survey_frozen!$P$2:$P$251,$A14&amp;"|"&amp;$B14),IFERROR(COUNTIFS(INDIRECT("'"&amp;$A14&amp;"'!$B$2:$B$501"),$T14,INDIRECT("'"&amp;$A14&amp;"'!$A$2:$A$501"),"&gt;="&amp;$I14,INDIRECT("'"&amp;$A14&amp;"'!$A$2:$A$501"),"&lt;"&amp;($BA14+1),INDIRECT("'"&amp;$A14&amp;"'!$F$2:$F$501"),"Gone by the time I looked"),0)))</f>
        <v/>
      </c>
      <c r="AT14" s="30" t="str">
        <f aca="true">IF(OR($A14="",$I14=""),"",IF($BC14="Y",SUMIFS(survey_frozen!$H$2:$H$251,survey_frozen!$P$2:$P$251,$A14&amp;"|"&amp;$B14),IFERROR(COUNTIFS(INDIRECT("'"&amp;$A14&amp;"'!$B$2:$B$501"),$T14,INDIRECT("'"&amp;$A14&amp;"'!$A$2:$A$501"),"&gt;="&amp;$I14,INDIRECT("'"&amp;$A14&amp;"'!$A$2:$A$501"),"&lt;"&amp;($BA14+1),INDIRECT("'"&amp;$A14&amp;"'!$D$2:$D$501"),"&gt;=1"),0)))</f>
        <v/>
      </c>
      <c r="AU14" s="30" t="str">
        <f aca="true">IF(OR($A14="",$I14=""),"",IF($BC14="Y",SUMIFS(survey_frozen!$I$2:$I$251,survey_frozen!$P$2:$P$251,$A14&amp;"|"&amp;$B14),IFERROR(SUMIFS(INDIRECT("'"&amp;$A14&amp;"'!$D$2:$D$501"),INDIRECT("'"&amp;$A14&amp;"'!$B$2:$B$501"),$T14,INDIRECT("'"&amp;$A14&amp;"'!$A$2:$A$501"),"&gt;="&amp;$I14,INDIRECT("'"&amp;$A14&amp;"'!$A$2:$A$501"),"&lt;"&amp;($BA14+1)),0)))</f>
        <v/>
      </c>
      <c r="AV14" s="30" t="str">
        <f aca="true">IF(OR($A14="",$I14=""),"",IF($BC14="Y",SUMIFS(survey_frozen!$J$2:$J$251,survey_frozen!$P$2:$P$251,$A14&amp;"|"&amp;$B14),IFERROR(COUNTIFS(INDIRECT("'"&amp;$A14&amp;"'!$B$2:$B$501"),$T14,INDIRECT("'"&amp;$A14&amp;"'!$A$2:$A$501"),"&gt;="&amp;$I14,INDIRECT("'"&amp;$A14&amp;"'!$A$2:$A$501"),"&lt;"&amp;($BA14+1),INDIRECT("'"&amp;$A14&amp;"'!$E$2:$E$501"),"Yes"),0)))</f>
        <v/>
      </c>
      <c r="AW14" s="30" t="str">
        <f aca="true">IF(OR($A14="",$I14=""),"",IF($BC14="Y",SUMIFS(survey_frozen!$K$2:$K$251,survey_frozen!$P$2:$P$251,$A14&amp;"|"&amp;$B14),IFERROR(COUNTIFS(INDIRECT("'"&amp;$A14&amp;"'!$B$2:$B$501"),$T14,INDIRECT("'"&amp;$A14&amp;"'!$A$2:$A$501"),"&gt;="&amp;$I14,INDIRECT("'"&amp;$A14&amp;"'!$A$2:$A$501"),"&lt;"&amp;($BA14+1),INDIRECT("'"&amp;$A14&amp;"'!$E$2:$E$501"),"Maybe"),0)))</f>
        <v/>
      </c>
      <c r="AX14" s="30" t="str">
        <f aca="true">IF(OR($A14="",$I14=""),"",IF($BC14="Y",SUMIFS(survey_frozen!$L$2:$L$251,survey_frozen!$P$2:$P$251,$A14&amp;"|"&amp;$B14),IFERROR(COUNTIFS(INDIRECT("'"&amp;$A14&amp;"'!$B$2:$B$501"),$T14,INDIRECT("'"&amp;$A14&amp;"'!$A$2:$A$501"),"&gt;="&amp;$I14,INDIRECT("'"&amp;$A14&amp;"'!$A$2:$A$501"),"&lt;"&amp;($BA14+1),INDIRECT("'"&amp;$A14&amp;"'!$E$2:$E$501"),"No"),0)))</f>
        <v/>
      </c>
      <c r="AY14" s="30" t="str">
        <f aca="true">IF(OR($A14="",$I14=""),"",IF($BC14="Y",SUMIFS(survey_frozen!$M$2:$M$251,survey_frozen!$P$2:$P$251,$A14&amp;"|"&amp;$B14),IFERROR(COUNTIFS(INDIRECT("'"&amp;$A14&amp;"'!$B$2:$B$501"),$T14,INDIRECT("'"&amp;$A14&amp;"'!$A$2:$A$501"),"&gt;="&amp;$I14,INDIRECT("'"&amp;$A14&amp;"'!$A$2:$A$501"),"&lt;"&amp;($BA14+1),INDIRECT("'"&amp;$A14&amp;"'!$G$2:$G$501"),"&lt;&gt;"),0)))</f>
        <v/>
      </c>
      <c r="AZ14" s="30" t="str">
        <f aca="false">IF($A14="","",$A14&amp;"|"&amp;$L14)</f>
        <v/>
      </c>
      <c r="BA14" s="31" t="str">
        <f aca="false">IF($A14="","",IFERROR(IF(INDEX(drops!$R$2:$R$21,MATCH($H14,drops!$A$2:$A$21,0))="","",INDEX(drops!$R$2:$R$21,MATCH($H14,drops!$A$2:$A$21,0))),""))</f>
        <v/>
      </c>
      <c r="BB14" s="30" t="n">
        <f aca="false">IF(OR($A14="",$Q14&lt;&gt;"Y"),1000000,N($AL14))</f>
        <v>1000000</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C15" s="11"/>
      <c r="D15" s="10"/>
      <c r="E15" s="11"/>
      <c r="H15" s="30" t="str">
        <f aca="false">IF($A15="","",IFERROR(IF(INDEX(campaigns!$B$2:$B$51,MATCH($A15,campaigns!$A$2:$A$51,0))="","",INDEX(campaigns!$B$2:$B$51,MATCH($A15,campaigns!$A$2:$A$51,0))),""))</f>
        <v/>
      </c>
      <c r="I15" s="31" t="str">
        <f aca="false">IF($A15="","",IFERROR(IF(INDEX(campaigns!$BG$2:$BG$51,MATCH($A15,campaigns!$A$2:$A$51,0))="","",INDEX(campaigns!$BG$2:$BG$51,MATCH($A15,campaigns!$A$2:$A$51,0))),""))</f>
        <v/>
      </c>
      <c r="J15" s="30" t="str">
        <f aca="false">IF($A15="","",IFERROR(IF(INDEX(campaigns!$BE$2:$BE$51,MATCH($A15,campaigns!$A$2:$A$51,0))="","",INDEX(campaigns!$BE$2:$BE$51,MATCH($A15,campaigns!$A$2:$A$51,0))),""))</f>
        <v/>
      </c>
      <c r="K15" s="30" t="str">
        <f aca="false">IF($B15="","",IFERROR(IF(INDEX(offices!$O$2:$O$61,MATCH($B15,offices!$A$2:$A$61,0))="","",INDEX(offices!$O$2:$O$61,MATCH($B15,offices!$A$2:$A$61,0))),""))</f>
        <v/>
      </c>
      <c r="L15" s="30" t="str">
        <f aca="false">IF($A15="","",IF($Q15="N","",COUNTIFS($A$2:$A15,$A15,$Q$2:$Q15,"&lt;&gt;N")))</f>
        <v/>
      </c>
      <c r="M15" s="30" t="str">
        <f aca="false">IF(OR($A15="",$L15=""),"",IF(AND(config!$B$34="names_if_public",IFERROR(IF(INDEX(offices!$AG$2:$AG$61,MATCH($B15,offices!$A$2:$A$61,0))="","",INDEX(offices!$AG$2:$AG$61,MATCH($B15,offices!$A$2:$A$61,0))),"")="Y"),$K15,CHAR(64+$L15)))</f>
        <v/>
      </c>
      <c r="N15" s="30" t="str">
        <f aca="false">IF(OR($A15="",$I15=""),"",COUNTIFS(stops!$B$2:$B$151,$B15,stops!$P$2:$P$151,"&lt;"&amp;$I15,stops!$L$2:$L$151,"&lt;&gt;not_delivered")+1)</f>
        <v/>
      </c>
      <c r="O15" s="30" t="str">
        <f aca="false">IF($A15="","",IF(N($N15)&lt;=config!$B$29,"explicit","opt-out"))</f>
        <v/>
      </c>
      <c r="P15" s="30" t="str">
        <f aca="false">IF($A15="","",IF($O15="explicit",IF($D15="yes","Y",IF($D15="no","N","pending")),IF($D15="no","N",IF(AND($C15&lt;&gt;"",$I15&lt;&gt;"",$C15&lt;=WORKDAY(N($I15),-5,calendar!$A$2:$A$80)),"Y","pending"))))</f>
        <v/>
      </c>
      <c r="Q15" s="30" t="str">
        <f aca="false">IF($A15="","",IF($P15="N","N",IF($P15&lt;&gt;"Y","pending",IF(AND((COUNTIFS(stops!$A$2:$A$151,$H15,stops!$B$2:$B$151,$B15,stops!$L$2:$L$151,"declined")+COUNTIFS(stops!$A$2:$A$151,$H15,stops!$B$2:$B$151,$B15,stops!$L$2:$L$151,"building_refused")+COUNTIFS(stops!$A$2:$A$151,$H15,stops!$B$2:$B$151,$B15,stops!$L$2:$L$151,"not_delivered"))&gt;0,N($U15)=0),"N","Y"))))</f>
        <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str">
        <f aca="false">IF($A15="","",IF($G15&lt;&gt;"",$G15,IFERROR(IF(INDEX(offices!$AM$2:$AM$61,MATCH($B15,offices!$A$2:$A$61,0))="","",INDEX(offices!$AM$2:$AM$61,MATCH($B15,offices!$A$2:$A$61,0))),"")))</f>
        <v/>
      </c>
      <c r="T15" s="30" t="str">
        <f aca="false">IF($A15="","",$A15&amp;"."&amp;$B15)</f>
        <v/>
      </c>
      <c r="U15" s="30" t="str">
        <f aca="false">IF($A15="","",SUMIFS(inventory!$G$2:$G$801,inventory!$C$2:$C$801,$A15,inventory!$D$2:$D$801,$B15,inventory!$E$2:$E$801,"delivered"))</f>
        <v/>
      </c>
      <c r="V15" s="37" t="str">
        <f aca="false">IF($A15="","",IFERROR(1/(1/SUMPRODUCT(MAX((inventory!$C$2:$C$801=$A15)*(inventory!$D$2:$D$801=$B15)*(inventory!$E$2:$E$801="delivered")*(inventory!$A$2:$A$801+inventory!$B$2:$B$801)))),""))</f>
        <v/>
      </c>
      <c r="W15" s="30" t="str">
        <f aca="false">IF($A15="","",IFERROR(IF(INDEX(inventory!$J$2:$J$801,MATCH($A15&amp;"|"&amp;$B15&amp;"|delivered",inventory!$R$2:$R$801,0))="","",INDEX(inventory!$J$2:$J$801,MATCH($A15&amp;"|"&amp;$B15&amp;"|delivered",inventory!$R$2:$R$801,0))),""))</f>
        <v/>
      </c>
      <c r="X15" s="30" t="str">
        <f aca="false">IF($A15="","",IFERROR(IF(INDEX(photos!$H$2:$H$701,MATCH($A15&amp;"|"&amp;$B15&amp;"|placement|Y",photos!$R$2:$R$701,0))="","",INDEX(photos!$H$2:$H$701,MATCH($A15&amp;"|"&amp;$B15&amp;"|placement|Y",photos!$R$2:$R$701,0))),""))</f>
        <v/>
      </c>
      <c r="Y15" s="31" t="str">
        <f aca="false">IF($A15="","",IFERROR(IF(INDEX(photos!$E$2:$E$701,MATCH($A15&amp;"|"&amp;$B15&amp;"|placement|Y",photos!$R$2:$R$701,0))="","",INDEX(photos!$E$2:$E$701,MATCH($A15&amp;"|"&amp;$B15&amp;"|placement|Y",photos!$R$2:$R$701,0))),""))</f>
        <v/>
      </c>
      <c r="Z15" s="30" t="str">
        <f aca="false">IF($A15="","",IF(COUNTIFS(counts!$C$2:$C$701,$A15,counts!$D$2:$D$701,$B15,counts!$E$2:$E$701,"placed")=0,"",SUMIFS(counts!$F$2:$F$701,counts!$C$2:$C$701,$A15,counts!$D$2:$D$701,$B15,counts!$E$2:$E$701,"placed")))</f>
        <v/>
      </c>
      <c r="AA15" s="30" t="str">
        <f aca="false">IF($A15="","",IF($Y15="",0,N($Z15)))</f>
        <v/>
      </c>
      <c r="AB15" s="30" t="str">
        <f aca="false">IF($A15="","",IF(OR($Y15="",$I15=""),"N",IF($Y15&lt;=WORKDAY(N($I15),1,calendar!$A$2:$A$80),"Y","N")))</f>
        <v/>
      </c>
      <c r="AC15" s="33" t="str">
        <f aca="false">IF(OR($A15="",$V15="",$Y15=""),"",ROUND(($Y15+N(IFERROR(IF(INDEX(photos!$F$2:$F$701,MATCH($A15&amp;"|"&amp;$B15&amp;"|placement|Y",photos!$R$2:$R$701,0))="","",INDEX(photos!$F$2:$F$701,MATCH($A15&amp;"|"&amp;$B15&amp;"|placement|Y",photos!$R$2:$R$701,0))),""))-$V15)*24,1))</f>
        <v/>
      </c>
      <c r="AD15" s="30" t="str">
        <f aca="false">IF($A15="","",SUMIFS(inventory!$G$2:$G$801,inventory!$C$2:$C$801,$A15,inventory!$D$2:$D$801,$B15,inventory!$E$2:$E$801,"topped_up"))</f>
        <v/>
      </c>
      <c r="AE15" s="30" t="str">
        <f aca="false">IF($A15="","",IF(COUNTIFS(counts!$C$2:$C$701,$A15,counts!$D$2:$D$701,$B15,counts!$E$2:$E$701,"remaining_day3")=0,"",SUMIFS(counts!$F$2:$F$701,counts!$C$2:$C$701,$A15,counts!$D$2:$D$701,$B15,counts!$E$2:$E$701,"remaining_day3")))</f>
        <v/>
      </c>
      <c r="AF15" s="30" t="str">
        <f aca="false">IF($A15="","",IF(COUNTIFS(counts!$C$2:$C$701,$A15,counts!$D$2:$D$701,$B15,counts!$E$2:$E$701,"remaining_day5")=0,"",SUMIFS(counts!$F$2:$F$701,counts!$C$2:$C$701,$A15,counts!$D$2:$D$701,$B15,counts!$E$2:$E$701,"remaining_day5")))</f>
        <v/>
      </c>
      <c r="AG15" s="30" t="str">
        <f aca="false">IF(OR($A15="",$AF15=""),"",MAX(0,$AA15+$AD15-$AF15))</f>
        <v/>
      </c>
      <c r="AH15" s="30" t="str">
        <f aca="false">IF(OR($A15="",$AI15=""),"",IFERROR(IF(INDEX(photos!$H$2:$H$701,MATCH($A15&amp;"|"&amp;$B15&amp;"|later|Y|"&amp;$AI15,photos!$S$2:$S$701,0))="","",INDEX(photos!$H$2:$H$701,MATCH($A15&amp;"|"&amp;$B15&amp;"|later|Y|"&amp;$AI15,photos!$S$2:$S$701,0))),""))</f>
        <v/>
      </c>
      <c r="AI15" s="31" t="str">
        <f aca="false">IF($A15="","",IFERROR(1/(1/SUMPRODUCT(MAX((photos!$B$2:$B$701=$A15)*(photos!$C$2:$C$701=$B15)*(photos!$D$2:$D$701="later")*(photos!$O$2:$O$701="Y")*photos!$E$2:$E$701))),""))</f>
        <v/>
      </c>
      <c r="AJ15" s="30" t="str">
        <f aca="false">IF(OR($A15="",$AI15="",$I15=""),"",NETWORKDAYS($I15,$AI15,calendar!$A$2:$A$80))</f>
        <v/>
      </c>
      <c r="AK15" s="30" t="str">
        <f aca="false">IF($A15="","",IF(AND($X15&lt;&gt;"",$AH15&lt;&gt;""),"Y","N"))</f>
        <v/>
      </c>
      <c r="AL15" s="30" t="str">
        <f aca="true">IF(OR($A15="",$I15=""),"",IF($BC15="Y",SUMIFS(survey_frozen!$C$2:$C$251,survey_frozen!$P$2:$P$251,$A15&amp;"|"&amp;$B15),IFERROR(COUNTIFS(INDIRECT("'"&amp;$A15&amp;"'!$B$2:$B$501"),$T15,INDIRECT("'"&amp;$A15&amp;"'!$A$2:$A$501"),"&gt;="&amp;$I15,INDIRECT("'"&amp;$A15&amp;"'!$A$2:$A$501"),"&lt;"&amp;($BA15+1)),0)))</f>
        <v/>
      </c>
      <c r="AM15" s="30" t="str">
        <f aca="true">IF(OR($A15="",$I15=""),"",IF($BC15="Y",SUMIFS(survey_frozen!$D$2:$D$251,survey_frozen!$P$2:$P$251,$A15&amp;"|"&amp;$B15),IFERROR(COUNTIFS(INDIRECT("'"&amp;$A15&amp;"'!$B$2:$B$501"),$T15,INDIRECT("'"&amp;$A15&amp;"'!$A$2:$A$501"),"&gt;="&amp;$I15,INDIRECT("'"&amp;$A15&amp;"'!$A$2:$A$501"),"&lt;"&amp;($BA15+1),INDIRECT("'"&amp;$A15&amp;"'!$C$2:$C$501"),"Yes"),0)))</f>
        <v/>
      </c>
      <c r="AN15" s="30" t="str">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30" t="str">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str">
        <f aca="true">IF(OR($A15="",$I15=""),"",IF($BC15="Y",SUMIFS(survey_frozen!$E$2:$E$251,survey_frozen!$P$2:$P$251,$A15&amp;"|"&amp;$B15),IFERROR(COUNTIFS(INDIRECT("'"&amp;$A15&amp;"'!$B$2:$B$501"),$T15,INDIRECT("'"&amp;$A15&amp;"'!$A$2:$A$501"),"&gt;="&amp;$I15,INDIRECT("'"&amp;$A15&amp;"'!$A$2:$A$501"),"&lt;"&amp;($BA15+1),INDIRECT("'"&amp;$A15&amp;"'!$F$2:$F$501"),"Didn't see it"),0)))</f>
        <v/>
      </c>
      <c r="AR15" s="30" t="str">
        <f aca="true">IF(OR($A15="",$I15=""),"",IF($BC15="Y",SUMIFS(survey_frozen!$F$2:$F$251,survey_frozen!$P$2:$P$251,$A15&amp;"|"&amp;$B15),IFERROR(COUNTIFS(INDIRECT("'"&amp;$A15&amp;"'!$B$2:$B$501"),$T15,INDIRECT("'"&amp;$A15&amp;"'!$A$2:$A$501"),"&gt;="&amp;$I15,INDIRECT("'"&amp;$A15&amp;"'!$A$2:$A$501"),"&lt;"&amp;($BA15+1),INDIRECT("'"&amp;$A15&amp;"'!$F$2:$F$501"),"Not for me"),0)))</f>
        <v/>
      </c>
      <c r="AS15" s="30" t="str">
        <f aca="true">IF(OR($A15="",$I15=""),"",IF($BC15="Y",SUMIFS(survey_frozen!$G$2:$G$251,survey_frozen!$P$2:$P$251,$A15&amp;"|"&amp;$B15),IFERROR(COUNTIFS(INDIRECT("'"&amp;$A15&amp;"'!$B$2:$B$501"),$T15,INDIRECT("'"&amp;$A15&amp;"'!$A$2:$A$501"),"&gt;="&amp;$I15,INDIRECT("'"&amp;$A15&amp;"'!$A$2:$A$501"),"&lt;"&amp;($BA15+1),INDIRECT("'"&amp;$A15&amp;"'!$F$2:$F$501"),"Gone by the time I looked"),0)))</f>
        <v/>
      </c>
      <c r="AT15" s="30" t="str">
        <f aca="true">IF(OR($A15="",$I15=""),"",IF($BC15="Y",SUMIFS(survey_frozen!$H$2:$H$251,survey_frozen!$P$2:$P$251,$A15&amp;"|"&amp;$B15),IFERROR(COUNTIFS(INDIRECT("'"&amp;$A15&amp;"'!$B$2:$B$501"),$T15,INDIRECT("'"&amp;$A15&amp;"'!$A$2:$A$501"),"&gt;="&amp;$I15,INDIRECT("'"&amp;$A15&amp;"'!$A$2:$A$501"),"&lt;"&amp;($BA15+1),INDIRECT("'"&amp;$A15&amp;"'!$D$2:$D$501"),"&gt;=1"),0)))</f>
        <v/>
      </c>
      <c r="AU15" s="30" t="str">
        <f aca="true">IF(OR($A15="",$I15=""),"",IF($BC15="Y",SUMIFS(survey_frozen!$I$2:$I$251,survey_frozen!$P$2:$P$251,$A15&amp;"|"&amp;$B15),IFERROR(SUMIFS(INDIRECT("'"&amp;$A15&amp;"'!$D$2:$D$501"),INDIRECT("'"&amp;$A15&amp;"'!$B$2:$B$501"),$T15,INDIRECT("'"&amp;$A15&amp;"'!$A$2:$A$501"),"&gt;="&amp;$I15,INDIRECT("'"&amp;$A15&amp;"'!$A$2:$A$501"),"&lt;"&amp;($BA15+1)),0)))</f>
        <v/>
      </c>
      <c r="AV15" s="30" t="str">
        <f aca="true">IF(OR($A15="",$I15=""),"",IF($BC15="Y",SUMIFS(survey_frozen!$J$2:$J$251,survey_frozen!$P$2:$P$251,$A15&amp;"|"&amp;$B15),IFERROR(COUNTIFS(INDIRECT("'"&amp;$A15&amp;"'!$B$2:$B$501"),$T15,INDIRECT("'"&amp;$A15&amp;"'!$A$2:$A$501"),"&gt;="&amp;$I15,INDIRECT("'"&amp;$A15&amp;"'!$A$2:$A$501"),"&lt;"&amp;($BA15+1),INDIRECT("'"&amp;$A15&amp;"'!$E$2:$E$501"),"Yes"),0)))</f>
        <v/>
      </c>
      <c r="AW15" s="30" t="str">
        <f aca="true">IF(OR($A15="",$I15=""),"",IF($BC15="Y",SUMIFS(survey_frozen!$K$2:$K$251,survey_frozen!$P$2:$P$251,$A15&amp;"|"&amp;$B15),IFERROR(COUNTIFS(INDIRECT("'"&amp;$A15&amp;"'!$B$2:$B$501"),$T15,INDIRECT("'"&amp;$A15&amp;"'!$A$2:$A$501"),"&gt;="&amp;$I15,INDIRECT("'"&amp;$A15&amp;"'!$A$2:$A$501"),"&lt;"&amp;($BA15+1),INDIRECT("'"&amp;$A15&amp;"'!$E$2:$E$501"),"Maybe"),0)))</f>
        <v/>
      </c>
      <c r="AX15" s="30" t="str">
        <f aca="true">IF(OR($A15="",$I15=""),"",IF($BC15="Y",SUMIFS(survey_frozen!$L$2:$L$251,survey_frozen!$P$2:$P$251,$A15&amp;"|"&amp;$B15),IFERROR(COUNTIFS(INDIRECT("'"&amp;$A15&amp;"'!$B$2:$B$501"),$T15,INDIRECT("'"&amp;$A15&amp;"'!$A$2:$A$501"),"&gt;="&amp;$I15,INDIRECT("'"&amp;$A15&amp;"'!$A$2:$A$501"),"&lt;"&amp;($BA15+1),INDIRECT("'"&amp;$A15&amp;"'!$E$2:$E$501"),"No"),0)))</f>
        <v/>
      </c>
      <c r="AY15" s="30" t="str">
        <f aca="true">IF(OR($A15="",$I15=""),"",IF($BC15="Y",SUMIFS(survey_frozen!$M$2:$M$251,survey_frozen!$P$2:$P$251,$A15&amp;"|"&amp;$B15),IFERROR(COUNTIFS(INDIRECT("'"&amp;$A15&amp;"'!$B$2:$B$501"),$T15,INDIRECT("'"&amp;$A15&amp;"'!$A$2:$A$501"),"&gt;="&amp;$I15,INDIRECT("'"&amp;$A15&amp;"'!$A$2:$A$501"),"&lt;"&amp;($BA15+1),INDIRECT("'"&amp;$A15&amp;"'!$G$2:$G$501"),"&lt;&gt;"),0)))</f>
        <v/>
      </c>
      <c r="AZ15" s="30" t="str">
        <f aca="false">IF($A15="","",$A15&amp;"|"&amp;$L15)</f>
        <v/>
      </c>
      <c r="BA15" s="31" t="str">
        <f aca="false">IF($A15="","",IFERROR(IF(INDEX(drops!$R$2:$R$21,MATCH($H15,drops!$A$2:$A$21,0))="","",INDEX(drops!$R$2:$R$21,MATCH($H15,drops!$A$2:$A$21,0))),""))</f>
        <v/>
      </c>
      <c r="BB15" s="30" t="n">
        <f aca="false">IF(OR($A15="",$Q15&lt;&gt;"Y"),1000000,N($AL15))</f>
        <v>1000000</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C16" s="11"/>
      <c r="D16" s="10"/>
      <c r="E16" s="11"/>
      <c r="H16" s="30" t="str">
        <f aca="false">IF($A16="","",IFERROR(IF(INDEX(campaigns!$B$2:$B$51,MATCH($A16,campaigns!$A$2:$A$51,0))="","",INDEX(campaigns!$B$2:$B$51,MATCH($A16,campaigns!$A$2:$A$51,0))),""))</f>
        <v/>
      </c>
      <c r="I16" s="31" t="str">
        <f aca="false">IF($A16="","",IFERROR(IF(INDEX(campaigns!$BG$2:$BG$51,MATCH($A16,campaigns!$A$2:$A$51,0))="","",INDEX(campaigns!$BG$2:$BG$51,MATCH($A16,campaigns!$A$2:$A$51,0))),""))</f>
        <v/>
      </c>
      <c r="J16" s="30" t="str">
        <f aca="false">IF($A16="","",IFERROR(IF(INDEX(campaigns!$BE$2:$BE$51,MATCH($A16,campaigns!$A$2:$A$51,0))="","",INDEX(campaigns!$BE$2:$BE$51,MATCH($A16,campaigns!$A$2:$A$51,0))),""))</f>
        <v/>
      </c>
      <c r="K16" s="30" t="str">
        <f aca="false">IF($B16="","",IFERROR(IF(INDEX(offices!$O$2:$O$61,MATCH($B16,offices!$A$2:$A$61,0))="","",INDEX(offices!$O$2:$O$61,MATCH($B16,offices!$A$2:$A$61,0))),""))</f>
        <v/>
      </c>
      <c r="L16" s="30" t="str">
        <f aca="false">IF($A16="","",IF($Q16="N","",COUNTIFS($A$2:$A16,$A16,$Q$2:$Q16,"&lt;&gt;N")))</f>
        <v/>
      </c>
      <c r="M16" s="30" t="str">
        <f aca="false">IF(OR($A16="",$L16=""),"",IF(AND(config!$B$34="names_if_public",IFERROR(IF(INDEX(offices!$AG$2:$AG$61,MATCH($B16,offices!$A$2:$A$61,0))="","",INDEX(offices!$AG$2:$AG$61,MATCH($B16,offices!$A$2:$A$61,0))),"")="Y"),$K16,CHAR(64+$L16)))</f>
        <v/>
      </c>
      <c r="N16" s="30" t="str">
        <f aca="false">IF(OR($A16="",$I16=""),"",COUNTIFS(stops!$B$2:$B$151,$B16,stops!$P$2:$P$151,"&lt;"&amp;$I16,stops!$L$2:$L$151,"&lt;&gt;not_delivered")+1)</f>
        <v/>
      </c>
      <c r="O16" s="30" t="str">
        <f aca="false">IF($A16="","",IF(N($N16)&lt;=config!$B$29,"explicit","opt-out"))</f>
        <v/>
      </c>
      <c r="P16" s="30" t="str">
        <f aca="false">IF($A16="","",IF($O16="explicit",IF($D16="yes","Y",IF($D16="no","N","pending")),IF($D16="no","N",IF(AND($C16&lt;&gt;"",$I16&lt;&gt;"",$C16&lt;=WORKDAY(N($I16),-5,calendar!$A$2:$A$80)),"Y","pending"))))</f>
        <v/>
      </c>
      <c r="Q16" s="30" t="str">
        <f aca="false">IF($A16="","",IF($P16="N","N",IF($P16&lt;&gt;"Y","pending",IF(AND((COUNTIFS(stops!$A$2:$A$151,$H16,stops!$B$2:$B$151,$B16,stops!$L$2:$L$151,"declined")+COUNTIFS(stops!$A$2:$A$151,$H16,stops!$B$2:$B$151,$B16,stops!$L$2:$L$151,"building_refused")+COUNTIFS(stops!$A$2:$A$151,$H16,stops!$B$2:$B$151,$B16,stops!$L$2:$L$151,"not_delivered"))&gt;0,N($U16)=0),"N","Y"))))</f>
        <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str">
        <f aca="false">IF($A16="","",IF($G16&lt;&gt;"",$G16,IFERROR(IF(INDEX(offices!$AM$2:$AM$61,MATCH($B16,offices!$A$2:$A$61,0))="","",INDEX(offices!$AM$2:$AM$61,MATCH($B16,offices!$A$2:$A$61,0))),"")))</f>
        <v/>
      </c>
      <c r="T16" s="30" t="str">
        <f aca="false">IF($A16="","",$A16&amp;"."&amp;$B16)</f>
        <v/>
      </c>
      <c r="U16" s="30" t="str">
        <f aca="false">IF($A16="","",SUMIFS(inventory!$G$2:$G$801,inventory!$C$2:$C$801,$A16,inventory!$D$2:$D$801,$B16,inventory!$E$2:$E$801,"delivered"))</f>
        <v/>
      </c>
      <c r="V16" s="37" t="str">
        <f aca="false">IF($A16="","",IFERROR(1/(1/SUMPRODUCT(MAX((inventory!$C$2:$C$801=$A16)*(inventory!$D$2:$D$801=$B16)*(inventory!$E$2:$E$801="delivered")*(inventory!$A$2:$A$801+inventory!$B$2:$B$801)))),""))</f>
        <v/>
      </c>
      <c r="W16" s="30" t="str">
        <f aca="false">IF($A16="","",IFERROR(IF(INDEX(inventory!$J$2:$J$801,MATCH($A16&amp;"|"&amp;$B16&amp;"|delivered",inventory!$R$2:$R$801,0))="","",INDEX(inventory!$J$2:$J$801,MATCH($A16&amp;"|"&amp;$B16&amp;"|delivered",inventory!$R$2:$R$801,0))),""))</f>
        <v/>
      </c>
      <c r="X16" s="30" t="str">
        <f aca="false">IF($A16="","",IFERROR(IF(INDEX(photos!$H$2:$H$701,MATCH($A16&amp;"|"&amp;$B16&amp;"|placement|Y",photos!$R$2:$R$701,0))="","",INDEX(photos!$H$2:$H$701,MATCH($A16&amp;"|"&amp;$B16&amp;"|placement|Y",photos!$R$2:$R$701,0))),""))</f>
        <v/>
      </c>
      <c r="Y16" s="31" t="str">
        <f aca="false">IF($A16="","",IFERROR(IF(INDEX(photos!$E$2:$E$701,MATCH($A16&amp;"|"&amp;$B16&amp;"|placement|Y",photos!$R$2:$R$701,0))="","",INDEX(photos!$E$2:$E$701,MATCH($A16&amp;"|"&amp;$B16&amp;"|placement|Y",photos!$R$2:$R$701,0))),""))</f>
        <v/>
      </c>
      <c r="Z16" s="30" t="str">
        <f aca="false">IF($A16="","",IF(COUNTIFS(counts!$C$2:$C$701,$A16,counts!$D$2:$D$701,$B16,counts!$E$2:$E$701,"placed")=0,"",SUMIFS(counts!$F$2:$F$701,counts!$C$2:$C$701,$A16,counts!$D$2:$D$701,$B16,counts!$E$2:$E$701,"placed")))</f>
        <v/>
      </c>
      <c r="AA16" s="30" t="str">
        <f aca="false">IF($A16="","",IF($Y16="",0,N($Z16)))</f>
        <v/>
      </c>
      <c r="AB16" s="30" t="str">
        <f aca="false">IF($A16="","",IF(OR($Y16="",$I16=""),"N",IF($Y16&lt;=WORKDAY(N($I16),1,calendar!$A$2:$A$80),"Y","N")))</f>
        <v/>
      </c>
      <c r="AC16" s="33" t="str">
        <f aca="false">IF(OR($A16="",$V16="",$Y16=""),"",ROUND(($Y16+N(IFERROR(IF(INDEX(photos!$F$2:$F$701,MATCH($A16&amp;"|"&amp;$B16&amp;"|placement|Y",photos!$R$2:$R$701,0))="","",INDEX(photos!$F$2:$F$701,MATCH($A16&amp;"|"&amp;$B16&amp;"|placement|Y",photos!$R$2:$R$701,0))),""))-$V16)*24,1))</f>
        <v/>
      </c>
      <c r="AD16" s="30" t="str">
        <f aca="false">IF($A16="","",SUMIFS(inventory!$G$2:$G$801,inventory!$C$2:$C$801,$A16,inventory!$D$2:$D$801,$B16,inventory!$E$2:$E$801,"topped_up"))</f>
        <v/>
      </c>
      <c r="AE16" s="30" t="str">
        <f aca="false">IF($A16="","",IF(COUNTIFS(counts!$C$2:$C$701,$A16,counts!$D$2:$D$701,$B16,counts!$E$2:$E$701,"remaining_day3")=0,"",SUMIFS(counts!$F$2:$F$701,counts!$C$2:$C$701,$A16,counts!$D$2:$D$701,$B16,counts!$E$2:$E$701,"remaining_day3")))</f>
        <v/>
      </c>
      <c r="AF16" s="30" t="str">
        <f aca="false">IF($A16="","",IF(COUNTIFS(counts!$C$2:$C$701,$A16,counts!$D$2:$D$701,$B16,counts!$E$2:$E$701,"remaining_day5")=0,"",SUMIFS(counts!$F$2:$F$701,counts!$C$2:$C$701,$A16,counts!$D$2:$D$701,$B16,counts!$E$2:$E$701,"remaining_day5")))</f>
        <v/>
      </c>
      <c r="AG16" s="30" t="str">
        <f aca="false">IF(OR($A16="",$AF16=""),"",MAX(0,$AA16+$AD16-$AF16))</f>
        <v/>
      </c>
      <c r="AH16" s="30" t="str">
        <f aca="false">IF(OR($A16="",$AI16=""),"",IFERROR(IF(INDEX(photos!$H$2:$H$701,MATCH($A16&amp;"|"&amp;$B16&amp;"|later|Y|"&amp;$AI16,photos!$S$2:$S$701,0))="","",INDEX(photos!$H$2:$H$701,MATCH($A16&amp;"|"&amp;$B16&amp;"|later|Y|"&amp;$AI16,photos!$S$2:$S$701,0))),""))</f>
        <v/>
      </c>
      <c r="AI16" s="31" t="str">
        <f aca="false">IF($A16="","",IFERROR(1/(1/SUMPRODUCT(MAX((photos!$B$2:$B$701=$A16)*(photos!$C$2:$C$701=$B16)*(photos!$D$2:$D$701="later")*(photos!$O$2:$O$701="Y")*photos!$E$2:$E$701))),""))</f>
        <v/>
      </c>
      <c r="AJ16" s="30" t="str">
        <f aca="false">IF(OR($A16="",$AI16="",$I16=""),"",NETWORKDAYS($I16,$AI16,calendar!$A$2:$A$80))</f>
        <v/>
      </c>
      <c r="AK16" s="30" t="str">
        <f aca="false">IF($A16="","",IF(AND($X16&lt;&gt;"",$AH16&lt;&gt;""),"Y","N"))</f>
        <v/>
      </c>
      <c r="AL16" s="30" t="str">
        <f aca="true">IF(OR($A16="",$I16=""),"",IF($BC16="Y",SUMIFS(survey_frozen!$C$2:$C$251,survey_frozen!$P$2:$P$251,$A16&amp;"|"&amp;$B16),IFERROR(COUNTIFS(INDIRECT("'"&amp;$A16&amp;"'!$B$2:$B$501"),$T16,INDIRECT("'"&amp;$A16&amp;"'!$A$2:$A$501"),"&gt;="&amp;$I16,INDIRECT("'"&amp;$A16&amp;"'!$A$2:$A$501"),"&lt;"&amp;($BA16+1)),0)))</f>
        <v/>
      </c>
      <c r="AM16" s="30" t="str">
        <f aca="true">IF(OR($A16="",$I16=""),"",IF($BC16="Y",SUMIFS(survey_frozen!$D$2:$D$251,survey_frozen!$P$2:$P$251,$A16&amp;"|"&amp;$B16),IFERROR(COUNTIFS(INDIRECT("'"&amp;$A16&amp;"'!$B$2:$B$501"),$T16,INDIRECT("'"&amp;$A16&amp;"'!$A$2:$A$501"),"&gt;="&amp;$I16,INDIRECT("'"&amp;$A16&amp;"'!$A$2:$A$501"),"&lt;"&amp;($BA16+1),INDIRECT("'"&amp;$A16&amp;"'!$C$2:$C$501"),"Yes"),0)))</f>
        <v/>
      </c>
      <c r="AN16" s="30" t="str">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30" t="str">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str">
        <f aca="true">IF(OR($A16="",$I16=""),"",IF($BC16="Y",SUMIFS(survey_frozen!$E$2:$E$251,survey_frozen!$P$2:$P$251,$A16&amp;"|"&amp;$B16),IFERROR(COUNTIFS(INDIRECT("'"&amp;$A16&amp;"'!$B$2:$B$501"),$T16,INDIRECT("'"&amp;$A16&amp;"'!$A$2:$A$501"),"&gt;="&amp;$I16,INDIRECT("'"&amp;$A16&amp;"'!$A$2:$A$501"),"&lt;"&amp;($BA16+1),INDIRECT("'"&amp;$A16&amp;"'!$F$2:$F$501"),"Didn't see it"),0)))</f>
        <v/>
      </c>
      <c r="AR16" s="30" t="str">
        <f aca="true">IF(OR($A16="",$I16=""),"",IF($BC16="Y",SUMIFS(survey_frozen!$F$2:$F$251,survey_frozen!$P$2:$P$251,$A16&amp;"|"&amp;$B16),IFERROR(COUNTIFS(INDIRECT("'"&amp;$A16&amp;"'!$B$2:$B$501"),$T16,INDIRECT("'"&amp;$A16&amp;"'!$A$2:$A$501"),"&gt;="&amp;$I16,INDIRECT("'"&amp;$A16&amp;"'!$A$2:$A$501"),"&lt;"&amp;($BA16+1),INDIRECT("'"&amp;$A16&amp;"'!$F$2:$F$501"),"Not for me"),0)))</f>
        <v/>
      </c>
      <c r="AS16" s="30" t="str">
        <f aca="true">IF(OR($A16="",$I16=""),"",IF($BC16="Y",SUMIFS(survey_frozen!$G$2:$G$251,survey_frozen!$P$2:$P$251,$A16&amp;"|"&amp;$B16),IFERROR(COUNTIFS(INDIRECT("'"&amp;$A16&amp;"'!$B$2:$B$501"),$T16,INDIRECT("'"&amp;$A16&amp;"'!$A$2:$A$501"),"&gt;="&amp;$I16,INDIRECT("'"&amp;$A16&amp;"'!$A$2:$A$501"),"&lt;"&amp;($BA16+1),INDIRECT("'"&amp;$A16&amp;"'!$F$2:$F$501"),"Gone by the time I looked"),0)))</f>
        <v/>
      </c>
      <c r="AT16" s="30" t="str">
        <f aca="true">IF(OR($A16="",$I16=""),"",IF($BC16="Y",SUMIFS(survey_frozen!$H$2:$H$251,survey_frozen!$P$2:$P$251,$A16&amp;"|"&amp;$B16),IFERROR(COUNTIFS(INDIRECT("'"&amp;$A16&amp;"'!$B$2:$B$501"),$T16,INDIRECT("'"&amp;$A16&amp;"'!$A$2:$A$501"),"&gt;="&amp;$I16,INDIRECT("'"&amp;$A16&amp;"'!$A$2:$A$501"),"&lt;"&amp;($BA16+1),INDIRECT("'"&amp;$A16&amp;"'!$D$2:$D$501"),"&gt;=1"),0)))</f>
        <v/>
      </c>
      <c r="AU16" s="30" t="str">
        <f aca="true">IF(OR($A16="",$I16=""),"",IF($BC16="Y",SUMIFS(survey_frozen!$I$2:$I$251,survey_frozen!$P$2:$P$251,$A16&amp;"|"&amp;$B16),IFERROR(SUMIFS(INDIRECT("'"&amp;$A16&amp;"'!$D$2:$D$501"),INDIRECT("'"&amp;$A16&amp;"'!$B$2:$B$501"),$T16,INDIRECT("'"&amp;$A16&amp;"'!$A$2:$A$501"),"&gt;="&amp;$I16,INDIRECT("'"&amp;$A16&amp;"'!$A$2:$A$501"),"&lt;"&amp;($BA16+1)),0)))</f>
        <v/>
      </c>
      <c r="AV16" s="30" t="str">
        <f aca="true">IF(OR($A16="",$I16=""),"",IF($BC16="Y",SUMIFS(survey_frozen!$J$2:$J$251,survey_frozen!$P$2:$P$251,$A16&amp;"|"&amp;$B16),IFERROR(COUNTIFS(INDIRECT("'"&amp;$A16&amp;"'!$B$2:$B$501"),$T16,INDIRECT("'"&amp;$A16&amp;"'!$A$2:$A$501"),"&gt;="&amp;$I16,INDIRECT("'"&amp;$A16&amp;"'!$A$2:$A$501"),"&lt;"&amp;($BA16+1),INDIRECT("'"&amp;$A16&amp;"'!$E$2:$E$501"),"Yes"),0)))</f>
        <v/>
      </c>
      <c r="AW16" s="30" t="str">
        <f aca="true">IF(OR($A16="",$I16=""),"",IF($BC16="Y",SUMIFS(survey_frozen!$K$2:$K$251,survey_frozen!$P$2:$P$251,$A16&amp;"|"&amp;$B16),IFERROR(COUNTIFS(INDIRECT("'"&amp;$A16&amp;"'!$B$2:$B$501"),$T16,INDIRECT("'"&amp;$A16&amp;"'!$A$2:$A$501"),"&gt;="&amp;$I16,INDIRECT("'"&amp;$A16&amp;"'!$A$2:$A$501"),"&lt;"&amp;($BA16+1),INDIRECT("'"&amp;$A16&amp;"'!$E$2:$E$501"),"Maybe"),0)))</f>
        <v/>
      </c>
      <c r="AX16" s="30" t="str">
        <f aca="true">IF(OR($A16="",$I16=""),"",IF($BC16="Y",SUMIFS(survey_frozen!$L$2:$L$251,survey_frozen!$P$2:$P$251,$A16&amp;"|"&amp;$B16),IFERROR(COUNTIFS(INDIRECT("'"&amp;$A16&amp;"'!$B$2:$B$501"),$T16,INDIRECT("'"&amp;$A16&amp;"'!$A$2:$A$501"),"&gt;="&amp;$I16,INDIRECT("'"&amp;$A16&amp;"'!$A$2:$A$501"),"&lt;"&amp;($BA16+1),INDIRECT("'"&amp;$A16&amp;"'!$E$2:$E$501"),"No"),0)))</f>
        <v/>
      </c>
      <c r="AY16" s="30" t="str">
        <f aca="true">IF(OR($A16="",$I16=""),"",IF($BC16="Y",SUMIFS(survey_frozen!$M$2:$M$251,survey_frozen!$P$2:$P$251,$A16&amp;"|"&amp;$B16),IFERROR(COUNTIFS(INDIRECT("'"&amp;$A16&amp;"'!$B$2:$B$501"),$T16,INDIRECT("'"&amp;$A16&amp;"'!$A$2:$A$501"),"&gt;="&amp;$I16,INDIRECT("'"&amp;$A16&amp;"'!$A$2:$A$501"),"&lt;"&amp;($BA16+1),INDIRECT("'"&amp;$A16&amp;"'!$G$2:$G$501"),"&lt;&gt;"),0)))</f>
        <v/>
      </c>
      <c r="AZ16" s="30" t="str">
        <f aca="false">IF($A16="","",$A16&amp;"|"&amp;$L16)</f>
        <v/>
      </c>
      <c r="BA16" s="31" t="str">
        <f aca="false">IF($A16="","",IFERROR(IF(INDEX(drops!$R$2:$R$21,MATCH($H16,drops!$A$2:$A$21,0))="","",INDEX(drops!$R$2:$R$21,MATCH($H16,drops!$A$2:$A$21,0))),""))</f>
        <v/>
      </c>
      <c r="BB16" s="30" t="n">
        <f aca="false">IF(OR($A16="",$Q16&lt;&gt;"Y"),1000000,N($AL16))</f>
        <v>1000000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C17" s="11"/>
      <c r="D17" s="10"/>
      <c r="E17" s="11"/>
      <c r="H17" s="30" t="str">
        <f aca="false">IF($A17="","",IFERROR(IF(INDEX(campaigns!$B$2:$B$51,MATCH($A17,campaigns!$A$2:$A$51,0))="","",INDEX(campaigns!$B$2:$B$51,MATCH($A17,campaigns!$A$2:$A$51,0))),""))</f>
        <v/>
      </c>
      <c r="I17" s="31" t="str">
        <f aca="false">IF($A17="","",IFERROR(IF(INDEX(campaigns!$BG$2:$BG$51,MATCH($A17,campaigns!$A$2:$A$51,0))="","",INDEX(campaigns!$BG$2:$BG$51,MATCH($A17,campaigns!$A$2:$A$51,0))),""))</f>
        <v/>
      </c>
      <c r="J17" s="30" t="str">
        <f aca="false">IF($A17="","",IFERROR(IF(INDEX(campaigns!$BE$2:$BE$51,MATCH($A17,campaigns!$A$2:$A$51,0))="","",INDEX(campaigns!$BE$2:$BE$51,MATCH($A17,campaigns!$A$2:$A$51,0))),""))</f>
        <v/>
      </c>
      <c r="K17" s="30" t="str">
        <f aca="false">IF($B17="","",IFERROR(IF(INDEX(offices!$O$2:$O$61,MATCH($B17,offices!$A$2:$A$61,0))="","",INDEX(offices!$O$2:$O$61,MATCH($B17,offices!$A$2:$A$61,0))),""))</f>
        <v/>
      </c>
      <c r="L17" s="30" t="str">
        <f aca="false">IF($A17="","",IF($Q17="N","",COUNTIFS($A$2:$A17,$A17,$Q$2:$Q17,"&lt;&gt;N")))</f>
        <v/>
      </c>
      <c r="M17" s="30" t="str">
        <f aca="false">IF(OR($A17="",$L17=""),"",IF(AND(config!$B$34="names_if_public",IFERROR(IF(INDEX(offices!$AG$2:$AG$61,MATCH($B17,offices!$A$2:$A$61,0))="","",INDEX(offices!$AG$2:$AG$61,MATCH($B17,offices!$A$2:$A$61,0))),"")="Y"),$K17,CHAR(64+$L17)))</f>
        <v/>
      </c>
      <c r="N17" s="30" t="str">
        <f aca="false">IF(OR($A17="",$I17=""),"",COUNTIFS(stops!$B$2:$B$151,$B17,stops!$P$2:$P$151,"&lt;"&amp;$I17,stops!$L$2:$L$151,"&lt;&gt;not_delivered")+1)</f>
        <v/>
      </c>
      <c r="O17" s="30" t="str">
        <f aca="false">IF($A17="","",IF(N($N17)&lt;=config!$B$29,"explicit","opt-out"))</f>
        <v/>
      </c>
      <c r="P17" s="30" t="str">
        <f aca="false">IF($A17="","",IF($O17="explicit",IF($D17="yes","Y",IF($D17="no","N","pending")),IF($D17="no","N",IF(AND($C17&lt;&gt;"",$I17&lt;&gt;"",$C17&lt;=WORKDAY(N($I17),-5,calendar!$A$2:$A$80)),"Y","pending"))))</f>
        <v/>
      </c>
      <c r="Q17" s="30" t="str">
        <f aca="false">IF($A17="","",IF($P17="N","N",IF($P17&lt;&gt;"Y","pending",IF(AND((COUNTIFS(stops!$A$2:$A$151,$H17,stops!$B$2:$B$151,$B17,stops!$L$2:$L$151,"declined")+COUNTIFS(stops!$A$2:$A$151,$H17,stops!$B$2:$B$151,$B17,stops!$L$2:$L$151,"building_refused")+COUNTIFS(stops!$A$2:$A$151,$H17,stops!$B$2:$B$151,$B17,stops!$L$2:$L$151,"not_delivered"))&gt;0,N($U17)=0),"N","Y"))))</f>
        <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str">
        <f aca="false">IF($A17="","",IF($G17&lt;&gt;"",$G17,IFERROR(IF(INDEX(offices!$AM$2:$AM$61,MATCH($B17,offices!$A$2:$A$61,0))="","",INDEX(offices!$AM$2:$AM$61,MATCH($B17,offices!$A$2:$A$61,0))),"")))</f>
        <v/>
      </c>
      <c r="T17" s="30" t="str">
        <f aca="false">IF($A17="","",$A17&amp;"."&amp;$B17)</f>
        <v/>
      </c>
      <c r="U17" s="30" t="str">
        <f aca="false">IF($A17="","",SUMIFS(inventory!$G$2:$G$801,inventory!$C$2:$C$801,$A17,inventory!$D$2:$D$801,$B17,inventory!$E$2:$E$801,"delivered"))</f>
        <v/>
      </c>
      <c r="V17" s="37" t="str">
        <f aca="false">IF($A17="","",IFERROR(1/(1/SUMPRODUCT(MAX((inventory!$C$2:$C$801=$A17)*(inventory!$D$2:$D$801=$B17)*(inventory!$E$2:$E$801="delivered")*(inventory!$A$2:$A$801+inventory!$B$2:$B$801)))),""))</f>
        <v/>
      </c>
      <c r="W17" s="30" t="str">
        <f aca="false">IF($A17="","",IFERROR(IF(INDEX(inventory!$J$2:$J$801,MATCH($A17&amp;"|"&amp;$B17&amp;"|delivered",inventory!$R$2:$R$801,0))="","",INDEX(inventory!$J$2:$J$801,MATCH($A17&amp;"|"&amp;$B17&amp;"|delivered",inventory!$R$2:$R$801,0))),""))</f>
        <v/>
      </c>
      <c r="X17" s="30" t="str">
        <f aca="false">IF($A17="","",IFERROR(IF(INDEX(photos!$H$2:$H$701,MATCH($A17&amp;"|"&amp;$B17&amp;"|placement|Y",photos!$R$2:$R$701,0))="","",INDEX(photos!$H$2:$H$701,MATCH($A17&amp;"|"&amp;$B17&amp;"|placement|Y",photos!$R$2:$R$701,0))),""))</f>
        <v/>
      </c>
      <c r="Y17" s="31" t="str">
        <f aca="false">IF($A17="","",IFERROR(IF(INDEX(photos!$E$2:$E$701,MATCH($A17&amp;"|"&amp;$B17&amp;"|placement|Y",photos!$R$2:$R$701,0))="","",INDEX(photos!$E$2:$E$701,MATCH($A17&amp;"|"&amp;$B17&amp;"|placement|Y",photos!$R$2:$R$701,0))),""))</f>
        <v/>
      </c>
      <c r="Z17" s="30" t="str">
        <f aca="false">IF($A17="","",IF(COUNTIFS(counts!$C$2:$C$701,$A17,counts!$D$2:$D$701,$B17,counts!$E$2:$E$701,"placed")=0,"",SUMIFS(counts!$F$2:$F$701,counts!$C$2:$C$701,$A17,counts!$D$2:$D$701,$B17,counts!$E$2:$E$701,"placed")))</f>
        <v/>
      </c>
      <c r="AA17" s="30" t="str">
        <f aca="false">IF($A17="","",IF($Y17="",0,N($Z17)))</f>
        <v/>
      </c>
      <c r="AB17" s="30" t="str">
        <f aca="false">IF($A17="","",IF(OR($Y17="",$I17=""),"N",IF($Y17&lt;=WORKDAY(N($I17),1,calendar!$A$2:$A$80),"Y","N")))</f>
        <v/>
      </c>
      <c r="AC17" s="33" t="str">
        <f aca="false">IF(OR($A17="",$V17="",$Y17=""),"",ROUND(($Y17+N(IFERROR(IF(INDEX(photos!$F$2:$F$701,MATCH($A17&amp;"|"&amp;$B17&amp;"|placement|Y",photos!$R$2:$R$701,0))="","",INDEX(photos!$F$2:$F$701,MATCH($A17&amp;"|"&amp;$B17&amp;"|placement|Y",photos!$R$2:$R$701,0))),""))-$V17)*24,1))</f>
        <v/>
      </c>
      <c r="AD17" s="30" t="str">
        <f aca="false">IF($A17="","",SUMIFS(inventory!$G$2:$G$801,inventory!$C$2:$C$801,$A17,inventory!$D$2:$D$801,$B17,inventory!$E$2:$E$801,"topped_up"))</f>
        <v/>
      </c>
      <c r="AE17" s="30" t="str">
        <f aca="false">IF($A17="","",IF(COUNTIFS(counts!$C$2:$C$701,$A17,counts!$D$2:$D$701,$B17,counts!$E$2:$E$701,"remaining_day3")=0,"",SUMIFS(counts!$F$2:$F$701,counts!$C$2:$C$701,$A17,counts!$D$2:$D$701,$B17,counts!$E$2:$E$701,"remaining_day3")))</f>
        <v/>
      </c>
      <c r="AF17" s="30" t="str">
        <f aca="false">IF($A17="","",IF(COUNTIFS(counts!$C$2:$C$701,$A17,counts!$D$2:$D$701,$B17,counts!$E$2:$E$701,"remaining_day5")=0,"",SUMIFS(counts!$F$2:$F$701,counts!$C$2:$C$701,$A17,counts!$D$2:$D$701,$B17,counts!$E$2:$E$701,"remaining_day5")))</f>
        <v/>
      </c>
      <c r="AG17" s="30" t="str">
        <f aca="false">IF(OR($A17="",$AF17=""),"",MAX(0,$AA17+$AD17-$AF17))</f>
        <v/>
      </c>
      <c r="AH17" s="30" t="str">
        <f aca="false">IF(OR($A17="",$AI17=""),"",IFERROR(IF(INDEX(photos!$H$2:$H$701,MATCH($A17&amp;"|"&amp;$B17&amp;"|later|Y|"&amp;$AI17,photos!$S$2:$S$701,0))="","",INDEX(photos!$H$2:$H$701,MATCH($A17&amp;"|"&amp;$B17&amp;"|later|Y|"&amp;$AI17,photos!$S$2:$S$701,0))),""))</f>
        <v/>
      </c>
      <c r="AI17" s="31" t="str">
        <f aca="false">IF($A17="","",IFERROR(1/(1/SUMPRODUCT(MAX((photos!$B$2:$B$701=$A17)*(photos!$C$2:$C$701=$B17)*(photos!$D$2:$D$701="later")*(photos!$O$2:$O$701="Y")*photos!$E$2:$E$701))),""))</f>
        <v/>
      </c>
      <c r="AJ17" s="30" t="str">
        <f aca="false">IF(OR($A17="",$AI17="",$I17=""),"",NETWORKDAYS($I17,$AI17,calendar!$A$2:$A$80))</f>
        <v/>
      </c>
      <c r="AK17" s="30" t="str">
        <f aca="false">IF($A17="","",IF(AND($X17&lt;&gt;"",$AH17&lt;&gt;""),"Y","N"))</f>
        <v/>
      </c>
      <c r="AL17" s="30" t="str">
        <f aca="true">IF(OR($A17="",$I17=""),"",IF($BC17="Y",SUMIFS(survey_frozen!$C$2:$C$251,survey_frozen!$P$2:$P$251,$A17&amp;"|"&amp;$B17),IFERROR(COUNTIFS(INDIRECT("'"&amp;$A17&amp;"'!$B$2:$B$501"),$T17,INDIRECT("'"&amp;$A17&amp;"'!$A$2:$A$501"),"&gt;="&amp;$I17,INDIRECT("'"&amp;$A17&amp;"'!$A$2:$A$501"),"&lt;"&amp;($BA17+1)),0)))</f>
        <v/>
      </c>
      <c r="AM17" s="30" t="str">
        <f aca="true">IF(OR($A17="",$I17=""),"",IF($BC17="Y",SUMIFS(survey_frozen!$D$2:$D$251,survey_frozen!$P$2:$P$251,$A17&amp;"|"&amp;$B17),IFERROR(COUNTIFS(INDIRECT("'"&amp;$A17&amp;"'!$B$2:$B$501"),$T17,INDIRECT("'"&amp;$A17&amp;"'!$A$2:$A$501"),"&gt;="&amp;$I17,INDIRECT("'"&amp;$A17&amp;"'!$A$2:$A$501"),"&lt;"&amp;($BA17+1),INDIRECT("'"&amp;$A17&amp;"'!$C$2:$C$501"),"Yes"),0)))</f>
        <v/>
      </c>
      <c r="AN17" s="30" t="str">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30" t="str">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str">
        <f aca="true">IF(OR($A17="",$I17=""),"",IF($BC17="Y",SUMIFS(survey_frozen!$E$2:$E$251,survey_frozen!$P$2:$P$251,$A17&amp;"|"&amp;$B17),IFERROR(COUNTIFS(INDIRECT("'"&amp;$A17&amp;"'!$B$2:$B$501"),$T17,INDIRECT("'"&amp;$A17&amp;"'!$A$2:$A$501"),"&gt;="&amp;$I17,INDIRECT("'"&amp;$A17&amp;"'!$A$2:$A$501"),"&lt;"&amp;($BA17+1),INDIRECT("'"&amp;$A17&amp;"'!$F$2:$F$501"),"Didn't see it"),0)))</f>
        <v/>
      </c>
      <c r="AR17" s="30" t="str">
        <f aca="true">IF(OR($A17="",$I17=""),"",IF($BC17="Y",SUMIFS(survey_frozen!$F$2:$F$251,survey_frozen!$P$2:$P$251,$A17&amp;"|"&amp;$B17),IFERROR(COUNTIFS(INDIRECT("'"&amp;$A17&amp;"'!$B$2:$B$501"),$T17,INDIRECT("'"&amp;$A17&amp;"'!$A$2:$A$501"),"&gt;="&amp;$I17,INDIRECT("'"&amp;$A17&amp;"'!$A$2:$A$501"),"&lt;"&amp;($BA17+1),INDIRECT("'"&amp;$A17&amp;"'!$F$2:$F$501"),"Not for me"),0)))</f>
        <v/>
      </c>
      <c r="AS17" s="30" t="str">
        <f aca="true">IF(OR($A17="",$I17=""),"",IF($BC17="Y",SUMIFS(survey_frozen!$G$2:$G$251,survey_frozen!$P$2:$P$251,$A17&amp;"|"&amp;$B17),IFERROR(COUNTIFS(INDIRECT("'"&amp;$A17&amp;"'!$B$2:$B$501"),$T17,INDIRECT("'"&amp;$A17&amp;"'!$A$2:$A$501"),"&gt;="&amp;$I17,INDIRECT("'"&amp;$A17&amp;"'!$A$2:$A$501"),"&lt;"&amp;($BA17+1),INDIRECT("'"&amp;$A17&amp;"'!$F$2:$F$501"),"Gone by the time I looked"),0)))</f>
        <v/>
      </c>
      <c r="AT17" s="30" t="str">
        <f aca="true">IF(OR($A17="",$I17=""),"",IF($BC17="Y",SUMIFS(survey_frozen!$H$2:$H$251,survey_frozen!$P$2:$P$251,$A17&amp;"|"&amp;$B17),IFERROR(COUNTIFS(INDIRECT("'"&amp;$A17&amp;"'!$B$2:$B$501"),$T17,INDIRECT("'"&amp;$A17&amp;"'!$A$2:$A$501"),"&gt;="&amp;$I17,INDIRECT("'"&amp;$A17&amp;"'!$A$2:$A$501"),"&lt;"&amp;($BA17+1),INDIRECT("'"&amp;$A17&amp;"'!$D$2:$D$501"),"&gt;=1"),0)))</f>
        <v/>
      </c>
      <c r="AU17" s="30" t="str">
        <f aca="true">IF(OR($A17="",$I17=""),"",IF($BC17="Y",SUMIFS(survey_frozen!$I$2:$I$251,survey_frozen!$P$2:$P$251,$A17&amp;"|"&amp;$B17),IFERROR(SUMIFS(INDIRECT("'"&amp;$A17&amp;"'!$D$2:$D$501"),INDIRECT("'"&amp;$A17&amp;"'!$B$2:$B$501"),$T17,INDIRECT("'"&amp;$A17&amp;"'!$A$2:$A$501"),"&gt;="&amp;$I17,INDIRECT("'"&amp;$A17&amp;"'!$A$2:$A$501"),"&lt;"&amp;($BA17+1)),0)))</f>
        <v/>
      </c>
      <c r="AV17" s="30" t="str">
        <f aca="true">IF(OR($A17="",$I17=""),"",IF($BC17="Y",SUMIFS(survey_frozen!$J$2:$J$251,survey_frozen!$P$2:$P$251,$A17&amp;"|"&amp;$B17),IFERROR(COUNTIFS(INDIRECT("'"&amp;$A17&amp;"'!$B$2:$B$501"),$T17,INDIRECT("'"&amp;$A17&amp;"'!$A$2:$A$501"),"&gt;="&amp;$I17,INDIRECT("'"&amp;$A17&amp;"'!$A$2:$A$501"),"&lt;"&amp;($BA17+1),INDIRECT("'"&amp;$A17&amp;"'!$E$2:$E$501"),"Yes"),0)))</f>
        <v/>
      </c>
      <c r="AW17" s="30" t="str">
        <f aca="true">IF(OR($A17="",$I17=""),"",IF($BC17="Y",SUMIFS(survey_frozen!$K$2:$K$251,survey_frozen!$P$2:$P$251,$A17&amp;"|"&amp;$B17),IFERROR(COUNTIFS(INDIRECT("'"&amp;$A17&amp;"'!$B$2:$B$501"),$T17,INDIRECT("'"&amp;$A17&amp;"'!$A$2:$A$501"),"&gt;="&amp;$I17,INDIRECT("'"&amp;$A17&amp;"'!$A$2:$A$501"),"&lt;"&amp;($BA17+1),INDIRECT("'"&amp;$A17&amp;"'!$E$2:$E$501"),"Maybe"),0)))</f>
        <v/>
      </c>
      <c r="AX17" s="30" t="str">
        <f aca="true">IF(OR($A17="",$I17=""),"",IF($BC17="Y",SUMIFS(survey_frozen!$L$2:$L$251,survey_frozen!$P$2:$P$251,$A17&amp;"|"&amp;$B17),IFERROR(COUNTIFS(INDIRECT("'"&amp;$A17&amp;"'!$B$2:$B$501"),$T17,INDIRECT("'"&amp;$A17&amp;"'!$A$2:$A$501"),"&gt;="&amp;$I17,INDIRECT("'"&amp;$A17&amp;"'!$A$2:$A$501"),"&lt;"&amp;($BA17+1),INDIRECT("'"&amp;$A17&amp;"'!$E$2:$E$501"),"No"),0)))</f>
        <v/>
      </c>
      <c r="AY17" s="30" t="str">
        <f aca="true">IF(OR($A17="",$I17=""),"",IF($BC17="Y",SUMIFS(survey_frozen!$M$2:$M$251,survey_frozen!$P$2:$P$251,$A17&amp;"|"&amp;$B17),IFERROR(COUNTIFS(INDIRECT("'"&amp;$A17&amp;"'!$B$2:$B$501"),$T17,INDIRECT("'"&amp;$A17&amp;"'!$A$2:$A$501"),"&gt;="&amp;$I17,INDIRECT("'"&amp;$A17&amp;"'!$A$2:$A$501"),"&lt;"&amp;($BA17+1),INDIRECT("'"&amp;$A17&amp;"'!$G$2:$G$501"),"&lt;&gt;"),0)))</f>
        <v/>
      </c>
      <c r="AZ17" s="30" t="str">
        <f aca="false">IF($A17="","",$A17&amp;"|"&amp;$L17)</f>
        <v/>
      </c>
      <c r="BA17" s="31" t="str">
        <f aca="false">IF($A17="","",IFERROR(IF(INDEX(drops!$R$2:$R$21,MATCH($H17,drops!$A$2:$A$21,0))="","",INDEX(drops!$R$2:$R$21,MATCH($H17,drops!$A$2:$A$21,0))),""))</f>
        <v/>
      </c>
      <c r="BB17" s="30" t="n">
        <f aca="false">IF(OR($A17="",$Q17&lt;&gt;"Y"),1000000,N($AL17))</f>
        <v>1000000</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C18" s="11"/>
      <c r="D18" s="10"/>
      <c r="E18" s="11"/>
      <c r="H18" s="30" t="str">
        <f aca="false">IF($A18="","",IFERROR(IF(INDEX(campaigns!$B$2:$B$51,MATCH($A18,campaigns!$A$2:$A$51,0))="","",INDEX(campaigns!$B$2:$B$51,MATCH($A18,campaigns!$A$2:$A$51,0))),""))</f>
        <v/>
      </c>
      <c r="I18" s="31" t="str">
        <f aca="false">IF($A18="","",IFERROR(IF(INDEX(campaigns!$BG$2:$BG$51,MATCH($A18,campaigns!$A$2:$A$51,0))="","",INDEX(campaigns!$BG$2:$BG$51,MATCH($A18,campaigns!$A$2:$A$51,0))),""))</f>
        <v/>
      </c>
      <c r="J18" s="30" t="str">
        <f aca="false">IF($A18="","",IFERROR(IF(INDEX(campaigns!$BE$2:$BE$51,MATCH($A18,campaigns!$A$2:$A$51,0))="","",INDEX(campaigns!$BE$2:$BE$51,MATCH($A18,campaigns!$A$2:$A$51,0))),""))</f>
        <v/>
      </c>
      <c r="K18" s="30" t="str">
        <f aca="false">IF($B18="","",IFERROR(IF(INDEX(offices!$O$2:$O$61,MATCH($B18,offices!$A$2:$A$61,0))="","",INDEX(offices!$O$2:$O$61,MATCH($B18,offices!$A$2:$A$61,0))),""))</f>
        <v/>
      </c>
      <c r="L18" s="30" t="str">
        <f aca="false">IF($A18="","",IF($Q18="N","",COUNTIFS($A$2:$A18,$A18,$Q$2:$Q18,"&lt;&gt;N")))</f>
        <v/>
      </c>
      <c r="M18" s="30" t="str">
        <f aca="false">IF(OR($A18="",$L18=""),"",IF(AND(config!$B$34="names_if_public",IFERROR(IF(INDEX(offices!$AG$2:$AG$61,MATCH($B18,offices!$A$2:$A$61,0))="","",INDEX(offices!$AG$2:$AG$61,MATCH($B18,offices!$A$2:$A$61,0))),"")="Y"),$K18,CHAR(64+$L18)))</f>
        <v/>
      </c>
      <c r="N18" s="30" t="str">
        <f aca="false">IF(OR($A18="",$I18=""),"",COUNTIFS(stops!$B$2:$B$151,$B18,stops!$P$2:$P$151,"&lt;"&amp;$I18,stops!$L$2:$L$151,"&lt;&gt;not_delivered")+1)</f>
        <v/>
      </c>
      <c r="O18" s="30" t="str">
        <f aca="false">IF($A18="","",IF(N($N18)&lt;=config!$B$29,"explicit","opt-out"))</f>
        <v/>
      </c>
      <c r="P18" s="30" t="str">
        <f aca="false">IF($A18="","",IF($O18="explicit",IF($D18="yes","Y",IF($D18="no","N","pending")),IF($D18="no","N",IF(AND($C18&lt;&gt;"",$I18&lt;&gt;"",$C18&lt;=WORKDAY(N($I18),-5,calendar!$A$2:$A$80)),"Y","pending"))))</f>
        <v/>
      </c>
      <c r="Q18" s="30" t="str">
        <f aca="false">IF($A18="","",IF($P18="N","N",IF($P18&lt;&gt;"Y","pending",IF(AND((COUNTIFS(stops!$A$2:$A$151,$H18,stops!$B$2:$B$151,$B18,stops!$L$2:$L$151,"declined")+COUNTIFS(stops!$A$2:$A$151,$H18,stops!$B$2:$B$151,$B18,stops!$L$2:$L$151,"building_refused")+COUNTIFS(stops!$A$2:$A$151,$H18,stops!$B$2:$B$151,$B18,stops!$L$2:$L$151,"not_delivered"))&gt;0,N($U18)=0),"N","Y"))))</f>
        <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30" t="str">
        <f aca="false">IF($A18="","",IF($G18&lt;&gt;"",$G18,IFERROR(IF(INDEX(offices!$AM$2:$AM$61,MATCH($B18,offices!$A$2:$A$61,0))="","",INDEX(offices!$AM$2:$AM$61,MATCH($B18,offices!$A$2:$A$61,0))),"")))</f>
        <v/>
      </c>
      <c r="T18" s="30" t="str">
        <f aca="false">IF($A18="","",$A18&amp;"."&amp;$B18)</f>
        <v/>
      </c>
      <c r="U18" s="30" t="str">
        <f aca="false">IF($A18="","",SUMIFS(inventory!$G$2:$G$801,inventory!$C$2:$C$801,$A18,inventory!$D$2:$D$801,$B18,inventory!$E$2:$E$801,"delivered"))</f>
        <v/>
      </c>
      <c r="V18" s="37" t="str">
        <f aca="false">IF($A18="","",IFERROR(1/(1/SUMPRODUCT(MAX((inventory!$C$2:$C$801=$A18)*(inventory!$D$2:$D$801=$B18)*(inventory!$E$2:$E$801="delivered")*(inventory!$A$2:$A$801+inventory!$B$2:$B$801)))),""))</f>
        <v/>
      </c>
      <c r="W18" s="30" t="str">
        <f aca="false">IF($A18="","",IFERROR(IF(INDEX(inventory!$J$2:$J$801,MATCH($A18&amp;"|"&amp;$B18&amp;"|delivered",inventory!$R$2:$R$801,0))="","",INDEX(inventory!$J$2:$J$801,MATCH($A18&amp;"|"&amp;$B18&amp;"|delivered",inventory!$R$2:$R$801,0))),""))</f>
        <v/>
      </c>
      <c r="X18" s="30" t="str">
        <f aca="false">IF($A18="","",IFERROR(IF(INDEX(photos!$H$2:$H$701,MATCH($A18&amp;"|"&amp;$B18&amp;"|placement|Y",photos!$R$2:$R$701,0))="","",INDEX(photos!$H$2:$H$701,MATCH($A18&amp;"|"&amp;$B18&amp;"|placement|Y",photos!$R$2:$R$701,0))),""))</f>
        <v/>
      </c>
      <c r="Y18" s="31" t="str">
        <f aca="false">IF($A18="","",IFERROR(IF(INDEX(photos!$E$2:$E$701,MATCH($A18&amp;"|"&amp;$B18&amp;"|placement|Y",photos!$R$2:$R$701,0))="","",INDEX(photos!$E$2:$E$701,MATCH($A18&amp;"|"&amp;$B18&amp;"|placement|Y",photos!$R$2:$R$701,0))),""))</f>
        <v/>
      </c>
      <c r="Z18" s="30" t="str">
        <f aca="false">IF($A18="","",IF(COUNTIFS(counts!$C$2:$C$701,$A18,counts!$D$2:$D$701,$B18,counts!$E$2:$E$701,"placed")=0,"",SUMIFS(counts!$F$2:$F$701,counts!$C$2:$C$701,$A18,counts!$D$2:$D$701,$B18,counts!$E$2:$E$701,"placed")))</f>
        <v/>
      </c>
      <c r="AA18" s="30" t="str">
        <f aca="false">IF($A18="","",IF($Y18="",0,N($Z18)))</f>
        <v/>
      </c>
      <c r="AB18" s="30" t="str">
        <f aca="false">IF($A18="","",IF(OR($Y18="",$I18=""),"N",IF($Y18&lt;=WORKDAY(N($I18),1,calendar!$A$2:$A$80),"Y","N")))</f>
        <v/>
      </c>
      <c r="AC18" s="33" t="str">
        <f aca="false">IF(OR($A18="",$V18="",$Y18=""),"",ROUND(($Y18+N(IFERROR(IF(INDEX(photos!$F$2:$F$701,MATCH($A18&amp;"|"&amp;$B18&amp;"|placement|Y",photos!$R$2:$R$701,0))="","",INDEX(photos!$F$2:$F$701,MATCH($A18&amp;"|"&amp;$B18&amp;"|placement|Y",photos!$R$2:$R$701,0))),""))-$V18)*24,1))</f>
        <v/>
      </c>
      <c r="AD18" s="30" t="str">
        <f aca="false">IF($A18="","",SUMIFS(inventory!$G$2:$G$801,inventory!$C$2:$C$801,$A18,inventory!$D$2:$D$801,$B18,inventory!$E$2:$E$801,"topped_up"))</f>
        <v/>
      </c>
      <c r="AE18" s="30" t="str">
        <f aca="false">IF($A18="","",IF(COUNTIFS(counts!$C$2:$C$701,$A18,counts!$D$2:$D$701,$B18,counts!$E$2:$E$701,"remaining_day3")=0,"",SUMIFS(counts!$F$2:$F$701,counts!$C$2:$C$701,$A18,counts!$D$2:$D$701,$B18,counts!$E$2:$E$701,"remaining_day3")))</f>
        <v/>
      </c>
      <c r="AF18" s="30" t="str">
        <f aca="false">IF($A18="","",IF(COUNTIFS(counts!$C$2:$C$701,$A18,counts!$D$2:$D$701,$B18,counts!$E$2:$E$701,"remaining_day5")=0,"",SUMIFS(counts!$F$2:$F$701,counts!$C$2:$C$701,$A18,counts!$D$2:$D$701,$B18,counts!$E$2:$E$701,"remaining_day5")))</f>
        <v/>
      </c>
      <c r="AG18" s="30" t="str">
        <f aca="false">IF(OR($A18="",$AF18=""),"",MAX(0,$AA18+$AD18-$AF18))</f>
        <v/>
      </c>
      <c r="AH18" s="30" t="str">
        <f aca="false">IF(OR($A18="",$AI18=""),"",IFERROR(IF(INDEX(photos!$H$2:$H$701,MATCH($A18&amp;"|"&amp;$B18&amp;"|later|Y|"&amp;$AI18,photos!$S$2:$S$701,0))="","",INDEX(photos!$H$2:$H$701,MATCH($A18&amp;"|"&amp;$B18&amp;"|later|Y|"&amp;$AI18,photos!$S$2:$S$701,0))),""))</f>
        <v/>
      </c>
      <c r="AI18" s="31" t="str">
        <f aca="false">IF($A18="","",IFERROR(1/(1/SUMPRODUCT(MAX((photos!$B$2:$B$701=$A18)*(photos!$C$2:$C$701=$B18)*(photos!$D$2:$D$701="later")*(photos!$O$2:$O$701="Y")*photos!$E$2:$E$701))),""))</f>
        <v/>
      </c>
      <c r="AJ18" s="30" t="str">
        <f aca="false">IF(OR($A18="",$AI18="",$I18=""),"",NETWORKDAYS($I18,$AI18,calendar!$A$2:$A$80))</f>
        <v/>
      </c>
      <c r="AK18" s="30" t="str">
        <f aca="false">IF($A18="","",IF(AND($X18&lt;&gt;"",$AH18&lt;&gt;""),"Y","N"))</f>
        <v/>
      </c>
      <c r="AL18" s="30" t="str">
        <f aca="true">IF(OR($A18="",$I18=""),"",IF($BC18="Y",SUMIFS(survey_frozen!$C$2:$C$251,survey_frozen!$P$2:$P$251,$A18&amp;"|"&amp;$B18),IFERROR(COUNTIFS(INDIRECT("'"&amp;$A18&amp;"'!$B$2:$B$501"),$T18,INDIRECT("'"&amp;$A18&amp;"'!$A$2:$A$501"),"&gt;="&amp;$I18,INDIRECT("'"&amp;$A18&amp;"'!$A$2:$A$501"),"&lt;"&amp;($BA18+1)),0)))</f>
        <v/>
      </c>
      <c r="AM18" s="30" t="str">
        <f aca="true">IF(OR($A18="",$I18=""),"",IF($BC18="Y",SUMIFS(survey_frozen!$D$2:$D$251,survey_frozen!$P$2:$P$251,$A18&amp;"|"&amp;$B18),IFERROR(COUNTIFS(INDIRECT("'"&amp;$A18&amp;"'!$B$2:$B$501"),$T18,INDIRECT("'"&amp;$A18&amp;"'!$A$2:$A$501"),"&gt;="&amp;$I18,INDIRECT("'"&amp;$A18&amp;"'!$A$2:$A$501"),"&lt;"&amp;($BA18+1),INDIRECT("'"&amp;$A18&amp;"'!$C$2:$C$501"),"Yes"),0)))</f>
        <v/>
      </c>
      <c r="AN18" s="30" t="str">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30" t="str">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30" t="str">
        <f aca="true">IF(OR($A18="",$I18=""),"",IF($BC18="Y",SUMIFS(survey_frozen!$E$2:$E$251,survey_frozen!$P$2:$P$251,$A18&amp;"|"&amp;$B18),IFERROR(COUNTIFS(INDIRECT("'"&amp;$A18&amp;"'!$B$2:$B$501"),$T18,INDIRECT("'"&amp;$A18&amp;"'!$A$2:$A$501"),"&gt;="&amp;$I18,INDIRECT("'"&amp;$A18&amp;"'!$A$2:$A$501"),"&lt;"&amp;($BA18+1),INDIRECT("'"&amp;$A18&amp;"'!$F$2:$F$501"),"Didn't see it"),0)))</f>
        <v/>
      </c>
      <c r="AR18" s="30" t="str">
        <f aca="true">IF(OR($A18="",$I18=""),"",IF($BC18="Y",SUMIFS(survey_frozen!$F$2:$F$251,survey_frozen!$P$2:$P$251,$A18&amp;"|"&amp;$B18),IFERROR(COUNTIFS(INDIRECT("'"&amp;$A18&amp;"'!$B$2:$B$501"),$T18,INDIRECT("'"&amp;$A18&amp;"'!$A$2:$A$501"),"&gt;="&amp;$I18,INDIRECT("'"&amp;$A18&amp;"'!$A$2:$A$501"),"&lt;"&amp;($BA18+1),INDIRECT("'"&amp;$A18&amp;"'!$F$2:$F$501"),"Not for me"),0)))</f>
        <v/>
      </c>
      <c r="AS18" s="30" t="str">
        <f aca="true">IF(OR($A18="",$I18=""),"",IF($BC18="Y",SUMIFS(survey_frozen!$G$2:$G$251,survey_frozen!$P$2:$P$251,$A18&amp;"|"&amp;$B18),IFERROR(COUNTIFS(INDIRECT("'"&amp;$A18&amp;"'!$B$2:$B$501"),$T18,INDIRECT("'"&amp;$A18&amp;"'!$A$2:$A$501"),"&gt;="&amp;$I18,INDIRECT("'"&amp;$A18&amp;"'!$A$2:$A$501"),"&lt;"&amp;($BA18+1),INDIRECT("'"&amp;$A18&amp;"'!$F$2:$F$501"),"Gone by the time I looked"),0)))</f>
        <v/>
      </c>
      <c r="AT18" s="30" t="str">
        <f aca="true">IF(OR($A18="",$I18=""),"",IF($BC18="Y",SUMIFS(survey_frozen!$H$2:$H$251,survey_frozen!$P$2:$P$251,$A18&amp;"|"&amp;$B18),IFERROR(COUNTIFS(INDIRECT("'"&amp;$A18&amp;"'!$B$2:$B$501"),$T18,INDIRECT("'"&amp;$A18&amp;"'!$A$2:$A$501"),"&gt;="&amp;$I18,INDIRECT("'"&amp;$A18&amp;"'!$A$2:$A$501"),"&lt;"&amp;($BA18+1),INDIRECT("'"&amp;$A18&amp;"'!$D$2:$D$501"),"&gt;=1"),0)))</f>
        <v/>
      </c>
      <c r="AU18" s="30" t="str">
        <f aca="true">IF(OR($A18="",$I18=""),"",IF($BC18="Y",SUMIFS(survey_frozen!$I$2:$I$251,survey_frozen!$P$2:$P$251,$A18&amp;"|"&amp;$B18),IFERROR(SUMIFS(INDIRECT("'"&amp;$A18&amp;"'!$D$2:$D$501"),INDIRECT("'"&amp;$A18&amp;"'!$B$2:$B$501"),$T18,INDIRECT("'"&amp;$A18&amp;"'!$A$2:$A$501"),"&gt;="&amp;$I18,INDIRECT("'"&amp;$A18&amp;"'!$A$2:$A$501"),"&lt;"&amp;($BA18+1)),0)))</f>
        <v/>
      </c>
      <c r="AV18" s="30" t="str">
        <f aca="true">IF(OR($A18="",$I18=""),"",IF($BC18="Y",SUMIFS(survey_frozen!$J$2:$J$251,survey_frozen!$P$2:$P$251,$A18&amp;"|"&amp;$B18),IFERROR(COUNTIFS(INDIRECT("'"&amp;$A18&amp;"'!$B$2:$B$501"),$T18,INDIRECT("'"&amp;$A18&amp;"'!$A$2:$A$501"),"&gt;="&amp;$I18,INDIRECT("'"&amp;$A18&amp;"'!$A$2:$A$501"),"&lt;"&amp;($BA18+1),INDIRECT("'"&amp;$A18&amp;"'!$E$2:$E$501"),"Yes"),0)))</f>
        <v/>
      </c>
      <c r="AW18" s="30" t="str">
        <f aca="true">IF(OR($A18="",$I18=""),"",IF($BC18="Y",SUMIFS(survey_frozen!$K$2:$K$251,survey_frozen!$P$2:$P$251,$A18&amp;"|"&amp;$B18),IFERROR(COUNTIFS(INDIRECT("'"&amp;$A18&amp;"'!$B$2:$B$501"),$T18,INDIRECT("'"&amp;$A18&amp;"'!$A$2:$A$501"),"&gt;="&amp;$I18,INDIRECT("'"&amp;$A18&amp;"'!$A$2:$A$501"),"&lt;"&amp;($BA18+1),INDIRECT("'"&amp;$A18&amp;"'!$E$2:$E$501"),"Maybe"),0)))</f>
        <v/>
      </c>
      <c r="AX18" s="30" t="str">
        <f aca="true">IF(OR($A18="",$I18=""),"",IF($BC18="Y",SUMIFS(survey_frozen!$L$2:$L$251,survey_frozen!$P$2:$P$251,$A18&amp;"|"&amp;$B18),IFERROR(COUNTIFS(INDIRECT("'"&amp;$A18&amp;"'!$B$2:$B$501"),$T18,INDIRECT("'"&amp;$A18&amp;"'!$A$2:$A$501"),"&gt;="&amp;$I18,INDIRECT("'"&amp;$A18&amp;"'!$A$2:$A$501"),"&lt;"&amp;($BA18+1),INDIRECT("'"&amp;$A18&amp;"'!$E$2:$E$501"),"No"),0)))</f>
        <v/>
      </c>
      <c r="AY18" s="30" t="str">
        <f aca="true">IF(OR($A18="",$I18=""),"",IF($BC18="Y",SUMIFS(survey_frozen!$M$2:$M$251,survey_frozen!$P$2:$P$251,$A18&amp;"|"&amp;$B18),IFERROR(COUNTIFS(INDIRECT("'"&amp;$A18&amp;"'!$B$2:$B$501"),$T18,INDIRECT("'"&amp;$A18&amp;"'!$A$2:$A$501"),"&gt;="&amp;$I18,INDIRECT("'"&amp;$A18&amp;"'!$A$2:$A$501"),"&lt;"&amp;($BA18+1),INDIRECT("'"&amp;$A18&amp;"'!$G$2:$G$501"),"&lt;&gt;"),0)))</f>
        <v/>
      </c>
      <c r="AZ18" s="30" t="str">
        <f aca="false">IF($A18="","",$A18&amp;"|"&amp;$L18)</f>
        <v/>
      </c>
      <c r="BA18" s="31" t="str">
        <f aca="false">IF($A18="","",IFERROR(IF(INDEX(drops!$R$2:$R$21,MATCH($H18,drops!$A$2:$A$21,0))="","",INDEX(drops!$R$2:$R$21,MATCH($H18,drops!$A$2:$A$21,0))),""))</f>
        <v/>
      </c>
      <c r="BB18" s="30" t="n">
        <f aca="false">IF(OR($A18="",$Q18&lt;&gt;"Y"),1000000,N($AL18))</f>
        <v>1000000</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C19" s="11"/>
      <c r="D19" s="10"/>
      <c r="E19" s="11"/>
      <c r="H19" s="30" t="str">
        <f aca="false">IF($A19="","",IFERROR(IF(INDEX(campaigns!$B$2:$B$51,MATCH($A19,campaigns!$A$2:$A$51,0))="","",INDEX(campaigns!$B$2:$B$51,MATCH($A19,campaigns!$A$2:$A$51,0))),""))</f>
        <v/>
      </c>
      <c r="I19" s="31" t="str">
        <f aca="false">IF($A19="","",IFERROR(IF(INDEX(campaigns!$BG$2:$BG$51,MATCH($A19,campaigns!$A$2:$A$51,0))="","",INDEX(campaigns!$BG$2:$BG$51,MATCH($A19,campaigns!$A$2:$A$51,0))),""))</f>
        <v/>
      </c>
      <c r="J19" s="30" t="str">
        <f aca="false">IF($A19="","",IFERROR(IF(INDEX(campaigns!$BE$2:$BE$51,MATCH($A19,campaigns!$A$2:$A$51,0))="","",INDEX(campaigns!$BE$2:$BE$51,MATCH($A19,campaigns!$A$2:$A$51,0))),""))</f>
        <v/>
      </c>
      <c r="K19" s="30" t="str">
        <f aca="false">IF($B19="","",IFERROR(IF(INDEX(offices!$O$2:$O$61,MATCH($B19,offices!$A$2:$A$61,0))="","",INDEX(offices!$O$2:$O$61,MATCH($B19,offices!$A$2:$A$61,0))),""))</f>
        <v/>
      </c>
      <c r="L19" s="30" t="str">
        <f aca="false">IF($A19="","",IF($Q19="N","",COUNTIFS($A$2:$A19,$A19,$Q$2:$Q19,"&lt;&gt;N")))</f>
        <v/>
      </c>
      <c r="M19" s="30" t="str">
        <f aca="false">IF(OR($A19="",$L19=""),"",IF(AND(config!$B$34="names_if_public",IFERROR(IF(INDEX(offices!$AG$2:$AG$61,MATCH($B19,offices!$A$2:$A$61,0))="","",INDEX(offices!$AG$2:$AG$61,MATCH($B19,offices!$A$2:$A$61,0))),"")="Y"),$K19,CHAR(64+$L19)))</f>
        <v/>
      </c>
      <c r="N19" s="30" t="str">
        <f aca="false">IF(OR($A19="",$I19=""),"",COUNTIFS(stops!$B$2:$B$151,$B19,stops!$P$2:$P$151,"&lt;"&amp;$I19,stops!$L$2:$L$151,"&lt;&gt;not_delivered")+1)</f>
        <v/>
      </c>
      <c r="O19" s="30" t="str">
        <f aca="false">IF($A19="","",IF(N($N19)&lt;=config!$B$29,"explicit","opt-out"))</f>
        <v/>
      </c>
      <c r="P19" s="30" t="str">
        <f aca="false">IF($A19="","",IF($O19="explicit",IF($D19="yes","Y",IF($D19="no","N","pending")),IF($D19="no","N",IF(AND($C19&lt;&gt;"",$I19&lt;&gt;"",$C19&lt;=WORKDAY(N($I19),-5,calendar!$A$2:$A$80)),"Y","pending"))))</f>
        <v/>
      </c>
      <c r="Q19" s="30" t="str">
        <f aca="false">IF($A19="","",IF($P19="N","N",IF($P19&lt;&gt;"Y","pending",IF(AND((COUNTIFS(stops!$A$2:$A$151,$H19,stops!$B$2:$B$151,$B19,stops!$L$2:$L$151,"declined")+COUNTIFS(stops!$A$2:$A$151,$H19,stops!$B$2:$B$151,$B19,stops!$L$2:$L$151,"building_refused")+COUNTIFS(stops!$A$2:$A$151,$H19,stops!$B$2:$B$151,$B19,stops!$L$2:$L$151,"not_delivered"))&gt;0,N($U19)=0),"N","Y"))))</f>
        <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str">
        <f aca="false">IF($A19="","",IF($G19&lt;&gt;"",$G19,IFERROR(IF(INDEX(offices!$AM$2:$AM$61,MATCH($B19,offices!$A$2:$A$61,0))="","",INDEX(offices!$AM$2:$AM$61,MATCH($B19,offices!$A$2:$A$61,0))),"")))</f>
        <v/>
      </c>
      <c r="T19" s="30" t="str">
        <f aca="false">IF($A19="","",$A19&amp;"."&amp;$B19)</f>
        <v/>
      </c>
      <c r="U19" s="30" t="str">
        <f aca="false">IF($A19="","",SUMIFS(inventory!$G$2:$G$801,inventory!$C$2:$C$801,$A19,inventory!$D$2:$D$801,$B19,inventory!$E$2:$E$801,"delivered"))</f>
        <v/>
      </c>
      <c r="V19" s="37" t="str">
        <f aca="false">IF($A19="","",IFERROR(1/(1/SUMPRODUCT(MAX((inventory!$C$2:$C$801=$A19)*(inventory!$D$2:$D$801=$B19)*(inventory!$E$2:$E$801="delivered")*(inventory!$A$2:$A$801+inventory!$B$2:$B$801)))),""))</f>
        <v/>
      </c>
      <c r="W19" s="30" t="str">
        <f aca="false">IF($A19="","",IFERROR(IF(INDEX(inventory!$J$2:$J$801,MATCH($A19&amp;"|"&amp;$B19&amp;"|delivered",inventory!$R$2:$R$801,0))="","",INDEX(inventory!$J$2:$J$801,MATCH($A19&amp;"|"&amp;$B19&amp;"|delivered",inventory!$R$2:$R$801,0))),""))</f>
        <v/>
      </c>
      <c r="X19" s="30" t="str">
        <f aca="false">IF($A19="","",IFERROR(IF(INDEX(photos!$H$2:$H$701,MATCH($A19&amp;"|"&amp;$B19&amp;"|placement|Y",photos!$R$2:$R$701,0))="","",INDEX(photos!$H$2:$H$701,MATCH($A19&amp;"|"&amp;$B19&amp;"|placement|Y",photos!$R$2:$R$701,0))),""))</f>
        <v/>
      </c>
      <c r="Y19" s="31" t="str">
        <f aca="false">IF($A19="","",IFERROR(IF(INDEX(photos!$E$2:$E$701,MATCH($A19&amp;"|"&amp;$B19&amp;"|placement|Y",photos!$R$2:$R$701,0))="","",INDEX(photos!$E$2:$E$701,MATCH($A19&amp;"|"&amp;$B19&amp;"|placement|Y",photos!$R$2:$R$701,0))),""))</f>
        <v/>
      </c>
      <c r="Z19" s="30" t="str">
        <f aca="false">IF($A19="","",IF(COUNTIFS(counts!$C$2:$C$701,$A19,counts!$D$2:$D$701,$B19,counts!$E$2:$E$701,"placed")=0,"",SUMIFS(counts!$F$2:$F$701,counts!$C$2:$C$701,$A19,counts!$D$2:$D$701,$B19,counts!$E$2:$E$701,"placed")))</f>
        <v/>
      </c>
      <c r="AA19" s="30" t="str">
        <f aca="false">IF($A19="","",IF($Y19="",0,N($Z19)))</f>
        <v/>
      </c>
      <c r="AB19" s="30" t="str">
        <f aca="false">IF($A19="","",IF(OR($Y19="",$I19=""),"N",IF($Y19&lt;=WORKDAY(N($I19),1,calendar!$A$2:$A$80),"Y","N")))</f>
        <v/>
      </c>
      <c r="AC19" s="33" t="str">
        <f aca="false">IF(OR($A19="",$V19="",$Y19=""),"",ROUND(($Y19+N(IFERROR(IF(INDEX(photos!$F$2:$F$701,MATCH($A19&amp;"|"&amp;$B19&amp;"|placement|Y",photos!$R$2:$R$701,0))="","",INDEX(photos!$F$2:$F$701,MATCH($A19&amp;"|"&amp;$B19&amp;"|placement|Y",photos!$R$2:$R$701,0))),""))-$V19)*24,1))</f>
        <v/>
      </c>
      <c r="AD19" s="30" t="str">
        <f aca="false">IF($A19="","",SUMIFS(inventory!$G$2:$G$801,inventory!$C$2:$C$801,$A19,inventory!$D$2:$D$801,$B19,inventory!$E$2:$E$801,"topped_up"))</f>
        <v/>
      </c>
      <c r="AE19" s="30" t="str">
        <f aca="false">IF($A19="","",IF(COUNTIFS(counts!$C$2:$C$701,$A19,counts!$D$2:$D$701,$B19,counts!$E$2:$E$701,"remaining_day3")=0,"",SUMIFS(counts!$F$2:$F$701,counts!$C$2:$C$701,$A19,counts!$D$2:$D$701,$B19,counts!$E$2:$E$701,"remaining_day3")))</f>
        <v/>
      </c>
      <c r="AF19" s="30" t="str">
        <f aca="false">IF($A19="","",IF(COUNTIFS(counts!$C$2:$C$701,$A19,counts!$D$2:$D$701,$B19,counts!$E$2:$E$701,"remaining_day5")=0,"",SUMIFS(counts!$F$2:$F$701,counts!$C$2:$C$701,$A19,counts!$D$2:$D$701,$B19,counts!$E$2:$E$701,"remaining_day5")))</f>
        <v/>
      </c>
      <c r="AG19" s="30" t="str">
        <f aca="false">IF(OR($A19="",$AF19=""),"",MAX(0,$AA19+$AD19-$AF19))</f>
        <v/>
      </c>
      <c r="AH19" s="30" t="str">
        <f aca="false">IF(OR($A19="",$AI19=""),"",IFERROR(IF(INDEX(photos!$H$2:$H$701,MATCH($A19&amp;"|"&amp;$B19&amp;"|later|Y|"&amp;$AI19,photos!$S$2:$S$701,0))="","",INDEX(photos!$H$2:$H$701,MATCH($A19&amp;"|"&amp;$B19&amp;"|later|Y|"&amp;$AI19,photos!$S$2:$S$701,0))),""))</f>
        <v/>
      </c>
      <c r="AI19" s="31" t="str">
        <f aca="false">IF($A19="","",IFERROR(1/(1/SUMPRODUCT(MAX((photos!$B$2:$B$701=$A19)*(photos!$C$2:$C$701=$B19)*(photos!$D$2:$D$701="later")*(photos!$O$2:$O$701="Y")*photos!$E$2:$E$701))),""))</f>
        <v/>
      </c>
      <c r="AJ19" s="30" t="str">
        <f aca="false">IF(OR($A19="",$AI19="",$I19=""),"",NETWORKDAYS($I19,$AI19,calendar!$A$2:$A$80))</f>
        <v/>
      </c>
      <c r="AK19" s="30" t="str">
        <f aca="false">IF($A19="","",IF(AND($X19&lt;&gt;"",$AH19&lt;&gt;""),"Y","N"))</f>
        <v/>
      </c>
      <c r="AL19" s="30" t="str">
        <f aca="true">IF(OR($A19="",$I19=""),"",IF($BC19="Y",SUMIFS(survey_frozen!$C$2:$C$251,survey_frozen!$P$2:$P$251,$A19&amp;"|"&amp;$B19),IFERROR(COUNTIFS(INDIRECT("'"&amp;$A19&amp;"'!$B$2:$B$501"),$T19,INDIRECT("'"&amp;$A19&amp;"'!$A$2:$A$501"),"&gt;="&amp;$I19,INDIRECT("'"&amp;$A19&amp;"'!$A$2:$A$501"),"&lt;"&amp;($BA19+1)),0)))</f>
        <v/>
      </c>
      <c r="AM19" s="30" t="str">
        <f aca="true">IF(OR($A19="",$I19=""),"",IF($BC19="Y",SUMIFS(survey_frozen!$D$2:$D$251,survey_frozen!$P$2:$P$251,$A19&amp;"|"&amp;$B19),IFERROR(COUNTIFS(INDIRECT("'"&amp;$A19&amp;"'!$B$2:$B$501"),$T19,INDIRECT("'"&amp;$A19&amp;"'!$A$2:$A$501"),"&gt;="&amp;$I19,INDIRECT("'"&amp;$A19&amp;"'!$A$2:$A$501"),"&lt;"&amp;($BA19+1),INDIRECT("'"&amp;$A19&amp;"'!$C$2:$C$501"),"Yes"),0)))</f>
        <v/>
      </c>
      <c r="AN19" s="30" t="str">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30" t="str">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str">
        <f aca="true">IF(OR($A19="",$I19=""),"",IF($BC19="Y",SUMIFS(survey_frozen!$E$2:$E$251,survey_frozen!$P$2:$P$251,$A19&amp;"|"&amp;$B19),IFERROR(COUNTIFS(INDIRECT("'"&amp;$A19&amp;"'!$B$2:$B$501"),$T19,INDIRECT("'"&amp;$A19&amp;"'!$A$2:$A$501"),"&gt;="&amp;$I19,INDIRECT("'"&amp;$A19&amp;"'!$A$2:$A$501"),"&lt;"&amp;($BA19+1),INDIRECT("'"&amp;$A19&amp;"'!$F$2:$F$501"),"Didn't see it"),0)))</f>
        <v/>
      </c>
      <c r="AR19" s="30" t="str">
        <f aca="true">IF(OR($A19="",$I19=""),"",IF($BC19="Y",SUMIFS(survey_frozen!$F$2:$F$251,survey_frozen!$P$2:$P$251,$A19&amp;"|"&amp;$B19),IFERROR(COUNTIFS(INDIRECT("'"&amp;$A19&amp;"'!$B$2:$B$501"),$T19,INDIRECT("'"&amp;$A19&amp;"'!$A$2:$A$501"),"&gt;="&amp;$I19,INDIRECT("'"&amp;$A19&amp;"'!$A$2:$A$501"),"&lt;"&amp;($BA19+1),INDIRECT("'"&amp;$A19&amp;"'!$F$2:$F$501"),"Not for me"),0)))</f>
        <v/>
      </c>
      <c r="AS19" s="30" t="str">
        <f aca="true">IF(OR($A19="",$I19=""),"",IF($BC19="Y",SUMIFS(survey_frozen!$G$2:$G$251,survey_frozen!$P$2:$P$251,$A19&amp;"|"&amp;$B19),IFERROR(COUNTIFS(INDIRECT("'"&amp;$A19&amp;"'!$B$2:$B$501"),$T19,INDIRECT("'"&amp;$A19&amp;"'!$A$2:$A$501"),"&gt;="&amp;$I19,INDIRECT("'"&amp;$A19&amp;"'!$A$2:$A$501"),"&lt;"&amp;($BA19+1),INDIRECT("'"&amp;$A19&amp;"'!$F$2:$F$501"),"Gone by the time I looked"),0)))</f>
        <v/>
      </c>
      <c r="AT19" s="30" t="str">
        <f aca="true">IF(OR($A19="",$I19=""),"",IF($BC19="Y",SUMIFS(survey_frozen!$H$2:$H$251,survey_frozen!$P$2:$P$251,$A19&amp;"|"&amp;$B19),IFERROR(COUNTIFS(INDIRECT("'"&amp;$A19&amp;"'!$B$2:$B$501"),$T19,INDIRECT("'"&amp;$A19&amp;"'!$A$2:$A$501"),"&gt;="&amp;$I19,INDIRECT("'"&amp;$A19&amp;"'!$A$2:$A$501"),"&lt;"&amp;($BA19+1),INDIRECT("'"&amp;$A19&amp;"'!$D$2:$D$501"),"&gt;=1"),0)))</f>
        <v/>
      </c>
      <c r="AU19" s="30" t="str">
        <f aca="true">IF(OR($A19="",$I19=""),"",IF($BC19="Y",SUMIFS(survey_frozen!$I$2:$I$251,survey_frozen!$P$2:$P$251,$A19&amp;"|"&amp;$B19),IFERROR(SUMIFS(INDIRECT("'"&amp;$A19&amp;"'!$D$2:$D$501"),INDIRECT("'"&amp;$A19&amp;"'!$B$2:$B$501"),$T19,INDIRECT("'"&amp;$A19&amp;"'!$A$2:$A$501"),"&gt;="&amp;$I19,INDIRECT("'"&amp;$A19&amp;"'!$A$2:$A$501"),"&lt;"&amp;($BA19+1)),0)))</f>
        <v/>
      </c>
      <c r="AV19" s="30" t="str">
        <f aca="true">IF(OR($A19="",$I19=""),"",IF($BC19="Y",SUMIFS(survey_frozen!$J$2:$J$251,survey_frozen!$P$2:$P$251,$A19&amp;"|"&amp;$B19),IFERROR(COUNTIFS(INDIRECT("'"&amp;$A19&amp;"'!$B$2:$B$501"),$T19,INDIRECT("'"&amp;$A19&amp;"'!$A$2:$A$501"),"&gt;="&amp;$I19,INDIRECT("'"&amp;$A19&amp;"'!$A$2:$A$501"),"&lt;"&amp;($BA19+1),INDIRECT("'"&amp;$A19&amp;"'!$E$2:$E$501"),"Yes"),0)))</f>
        <v/>
      </c>
      <c r="AW19" s="30" t="str">
        <f aca="true">IF(OR($A19="",$I19=""),"",IF($BC19="Y",SUMIFS(survey_frozen!$K$2:$K$251,survey_frozen!$P$2:$P$251,$A19&amp;"|"&amp;$B19),IFERROR(COUNTIFS(INDIRECT("'"&amp;$A19&amp;"'!$B$2:$B$501"),$T19,INDIRECT("'"&amp;$A19&amp;"'!$A$2:$A$501"),"&gt;="&amp;$I19,INDIRECT("'"&amp;$A19&amp;"'!$A$2:$A$501"),"&lt;"&amp;($BA19+1),INDIRECT("'"&amp;$A19&amp;"'!$E$2:$E$501"),"Maybe"),0)))</f>
        <v/>
      </c>
      <c r="AX19" s="30" t="str">
        <f aca="true">IF(OR($A19="",$I19=""),"",IF($BC19="Y",SUMIFS(survey_frozen!$L$2:$L$251,survey_frozen!$P$2:$P$251,$A19&amp;"|"&amp;$B19),IFERROR(COUNTIFS(INDIRECT("'"&amp;$A19&amp;"'!$B$2:$B$501"),$T19,INDIRECT("'"&amp;$A19&amp;"'!$A$2:$A$501"),"&gt;="&amp;$I19,INDIRECT("'"&amp;$A19&amp;"'!$A$2:$A$501"),"&lt;"&amp;($BA19+1),INDIRECT("'"&amp;$A19&amp;"'!$E$2:$E$501"),"No"),0)))</f>
        <v/>
      </c>
      <c r="AY19" s="30" t="str">
        <f aca="true">IF(OR($A19="",$I19=""),"",IF($BC19="Y",SUMIFS(survey_frozen!$M$2:$M$251,survey_frozen!$P$2:$P$251,$A19&amp;"|"&amp;$B19),IFERROR(COUNTIFS(INDIRECT("'"&amp;$A19&amp;"'!$B$2:$B$501"),$T19,INDIRECT("'"&amp;$A19&amp;"'!$A$2:$A$501"),"&gt;="&amp;$I19,INDIRECT("'"&amp;$A19&amp;"'!$A$2:$A$501"),"&lt;"&amp;($BA19+1),INDIRECT("'"&amp;$A19&amp;"'!$G$2:$G$501"),"&lt;&gt;"),0)))</f>
        <v/>
      </c>
      <c r="AZ19" s="30" t="str">
        <f aca="false">IF($A19="","",$A19&amp;"|"&amp;$L19)</f>
        <v/>
      </c>
      <c r="BA19" s="31" t="str">
        <f aca="false">IF($A19="","",IFERROR(IF(INDEX(drops!$R$2:$R$21,MATCH($H19,drops!$A$2:$A$21,0))="","",INDEX(drops!$R$2:$R$21,MATCH($H19,drops!$A$2:$A$21,0))),""))</f>
        <v/>
      </c>
      <c r="BB19" s="30" t="n">
        <f aca="false">IF(OR($A19="",$Q19&lt;&gt;"Y"),1000000,N($AL19))</f>
        <v>1000000</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C20" s="11"/>
      <c r="D20" s="10"/>
      <c r="E20" s="11"/>
      <c r="H20" s="30" t="str">
        <f aca="false">IF($A20="","",IFERROR(IF(INDEX(campaigns!$B$2:$B$51,MATCH($A20,campaigns!$A$2:$A$51,0))="","",INDEX(campaigns!$B$2:$B$51,MATCH($A20,campaigns!$A$2:$A$51,0))),""))</f>
        <v/>
      </c>
      <c r="I20" s="31" t="str">
        <f aca="false">IF($A20="","",IFERROR(IF(INDEX(campaigns!$BG$2:$BG$51,MATCH($A20,campaigns!$A$2:$A$51,0))="","",INDEX(campaigns!$BG$2:$BG$51,MATCH($A20,campaigns!$A$2:$A$51,0))),""))</f>
        <v/>
      </c>
      <c r="J20" s="30" t="str">
        <f aca="false">IF($A20="","",IFERROR(IF(INDEX(campaigns!$BE$2:$BE$51,MATCH($A20,campaigns!$A$2:$A$51,0))="","",INDEX(campaigns!$BE$2:$BE$51,MATCH($A20,campaigns!$A$2:$A$51,0))),""))</f>
        <v/>
      </c>
      <c r="K20" s="30" t="str">
        <f aca="false">IF($B20="","",IFERROR(IF(INDEX(offices!$O$2:$O$61,MATCH($B20,offices!$A$2:$A$61,0))="","",INDEX(offices!$O$2:$O$61,MATCH($B20,offices!$A$2:$A$61,0))),""))</f>
        <v/>
      </c>
      <c r="L20" s="30" t="str">
        <f aca="false">IF($A20="","",IF($Q20="N","",COUNTIFS($A$2:$A20,$A20,$Q$2:$Q20,"&lt;&gt;N")))</f>
        <v/>
      </c>
      <c r="M20" s="30" t="str">
        <f aca="false">IF(OR($A20="",$L20=""),"",IF(AND(config!$B$34="names_if_public",IFERROR(IF(INDEX(offices!$AG$2:$AG$61,MATCH($B20,offices!$A$2:$A$61,0))="","",INDEX(offices!$AG$2:$AG$61,MATCH($B20,offices!$A$2:$A$61,0))),"")="Y"),$K20,CHAR(64+$L20)))</f>
        <v/>
      </c>
      <c r="N20" s="30" t="str">
        <f aca="false">IF(OR($A20="",$I20=""),"",COUNTIFS(stops!$B$2:$B$151,$B20,stops!$P$2:$P$151,"&lt;"&amp;$I20,stops!$L$2:$L$151,"&lt;&gt;not_delivered")+1)</f>
        <v/>
      </c>
      <c r="O20" s="30" t="str">
        <f aca="false">IF($A20="","",IF(N($N20)&lt;=config!$B$29,"explicit","opt-out"))</f>
        <v/>
      </c>
      <c r="P20" s="30" t="str">
        <f aca="false">IF($A20="","",IF($O20="explicit",IF($D20="yes","Y",IF($D20="no","N","pending")),IF($D20="no","N",IF(AND($C20&lt;&gt;"",$I20&lt;&gt;"",$C20&lt;=WORKDAY(N($I20),-5,calendar!$A$2:$A$80)),"Y","pending"))))</f>
        <v/>
      </c>
      <c r="Q20" s="30" t="str">
        <f aca="false">IF($A20="","",IF($P20="N","N",IF($P20&lt;&gt;"Y","pending",IF(AND((COUNTIFS(stops!$A$2:$A$151,$H20,stops!$B$2:$B$151,$B20,stops!$L$2:$L$151,"declined")+COUNTIFS(stops!$A$2:$A$151,$H20,stops!$B$2:$B$151,$B20,stops!$L$2:$L$151,"building_refused")+COUNTIFS(stops!$A$2:$A$151,$H20,stops!$B$2:$B$151,$B20,stops!$L$2:$L$151,"not_delivered"))&gt;0,N($U20)=0),"N","Y"))))</f>
        <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str">
        <f aca="false">IF($A20="","",IF($G20&lt;&gt;"",$G20,IFERROR(IF(INDEX(offices!$AM$2:$AM$61,MATCH($B20,offices!$A$2:$A$61,0))="","",INDEX(offices!$AM$2:$AM$61,MATCH($B20,offices!$A$2:$A$61,0))),"")))</f>
        <v/>
      </c>
      <c r="T20" s="30" t="str">
        <f aca="false">IF($A20="","",$A20&amp;"."&amp;$B20)</f>
        <v/>
      </c>
      <c r="U20" s="30" t="str">
        <f aca="false">IF($A20="","",SUMIFS(inventory!$G$2:$G$801,inventory!$C$2:$C$801,$A20,inventory!$D$2:$D$801,$B20,inventory!$E$2:$E$801,"delivered"))</f>
        <v/>
      </c>
      <c r="V20" s="37" t="str">
        <f aca="false">IF($A20="","",IFERROR(1/(1/SUMPRODUCT(MAX((inventory!$C$2:$C$801=$A20)*(inventory!$D$2:$D$801=$B20)*(inventory!$E$2:$E$801="delivered")*(inventory!$A$2:$A$801+inventory!$B$2:$B$801)))),""))</f>
        <v/>
      </c>
      <c r="W20" s="30" t="str">
        <f aca="false">IF($A20="","",IFERROR(IF(INDEX(inventory!$J$2:$J$801,MATCH($A20&amp;"|"&amp;$B20&amp;"|delivered",inventory!$R$2:$R$801,0))="","",INDEX(inventory!$J$2:$J$801,MATCH($A20&amp;"|"&amp;$B20&amp;"|delivered",inventory!$R$2:$R$801,0))),""))</f>
        <v/>
      </c>
      <c r="X20" s="30" t="str">
        <f aca="false">IF($A20="","",IFERROR(IF(INDEX(photos!$H$2:$H$701,MATCH($A20&amp;"|"&amp;$B20&amp;"|placement|Y",photos!$R$2:$R$701,0))="","",INDEX(photos!$H$2:$H$701,MATCH($A20&amp;"|"&amp;$B20&amp;"|placement|Y",photos!$R$2:$R$701,0))),""))</f>
        <v/>
      </c>
      <c r="Y20" s="31" t="str">
        <f aca="false">IF($A20="","",IFERROR(IF(INDEX(photos!$E$2:$E$701,MATCH($A20&amp;"|"&amp;$B20&amp;"|placement|Y",photos!$R$2:$R$701,0))="","",INDEX(photos!$E$2:$E$701,MATCH($A20&amp;"|"&amp;$B20&amp;"|placement|Y",photos!$R$2:$R$701,0))),""))</f>
        <v/>
      </c>
      <c r="Z20" s="30" t="str">
        <f aca="false">IF($A20="","",IF(COUNTIFS(counts!$C$2:$C$701,$A20,counts!$D$2:$D$701,$B20,counts!$E$2:$E$701,"placed")=0,"",SUMIFS(counts!$F$2:$F$701,counts!$C$2:$C$701,$A20,counts!$D$2:$D$701,$B20,counts!$E$2:$E$701,"placed")))</f>
        <v/>
      </c>
      <c r="AA20" s="30" t="str">
        <f aca="false">IF($A20="","",IF($Y20="",0,N($Z20)))</f>
        <v/>
      </c>
      <c r="AB20" s="30" t="str">
        <f aca="false">IF($A20="","",IF(OR($Y20="",$I20=""),"N",IF($Y20&lt;=WORKDAY(N($I20),1,calendar!$A$2:$A$80),"Y","N")))</f>
        <v/>
      </c>
      <c r="AC20" s="33" t="str">
        <f aca="false">IF(OR($A20="",$V20="",$Y20=""),"",ROUND(($Y20+N(IFERROR(IF(INDEX(photos!$F$2:$F$701,MATCH($A20&amp;"|"&amp;$B20&amp;"|placement|Y",photos!$R$2:$R$701,0))="","",INDEX(photos!$F$2:$F$701,MATCH($A20&amp;"|"&amp;$B20&amp;"|placement|Y",photos!$R$2:$R$701,0))),""))-$V20)*24,1))</f>
        <v/>
      </c>
      <c r="AD20" s="30" t="str">
        <f aca="false">IF($A20="","",SUMIFS(inventory!$G$2:$G$801,inventory!$C$2:$C$801,$A20,inventory!$D$2:$D$801,$B20,inventory!$E$2:$E$801,"topped_up"))</f>
        <v/>
      </c>
      <c r="AE20" s="30" t="str">
        <f aca="false">IF($A20="","",IF(COUNTIFS(counts!$C$2:$C$701,$A20,counts!$D$2:$D$701,$B20,counts!$E$2:$E$701,"remaining_day3")=0,"",SUMIFS(counts!$F$2:$F$701,counts!$C$2:$C$701,$A20,counts!$D$2:$D$701,$B20,counts!$E$2:$E$701,"remaining_day3")))</f>
        <v/>
      </c>
      <c r="AF20" s="30" t="str">
        <f aca="false">IF($A20="","",IF(COUNTIFS(counts!$C$2:$C$701,$A20,counts!$D$2:$D$701,$B20,counts!$E$2:$E$701,"remaining_day5")=0,"",SUMIFS(counts!$F$2:$F$701,counts!$C$2:$C$701,$A20,counts!$D$2:$D$701,$B20,counts!$E$2:$E$701,"remaining_day5")))</f>
        <v/>
      </c>
      <c r="AG20" s="30" t="str">
        <f aca="false">IF(OR($A20="",$AF20=""),"",MAX(0,$AA20+$AD20-$AF20))</f>
        <v/>
      </c>
      <c r="AH20" s="30" t="str">
        <f aca="false">IF(OR($A20="",$AI20=""),"",IFERROR(IF(INDEX(photos!$H$2:$H$701,MATCH($A20&amp;"|"&amp;$B20&amp;"|later|Y|"&amp;$AI20,photos!$S$2:$S$701,0))="","",INDEX(photos!$H$2:$H$701,MATCH($A20&amp;"|"&amp;$B20&amp;"|later|Y|"&amp;$AI20,photos!$S$2:$S$701,0))),""))</f>
        <v/>
      </c>
      <c r="AI20" s="31" t="str">
        <f aca="false">IF($A20="","",IFERROR(1/(1/SUMPRODUCT(MAX((photos!$B$2:$B$701=$A20)*(photos!$C$2:$C$701=$B20)*(photos!$D$2:$D$701="later")*(photos!$O$2:$O$701="Y")*photos!$E$2:$E$701))),""))</f>
        <v/>
      </c>
      <c r="AJ20" s="30" t="str">
        <f aca="false">IF(OR($A20="",$AI20="",$I20=""),"",NETWORKDAYS($I20,$AI20,calendar!$A$2:$A$80))</f>
        <v/>
      </c>
      <c r="AK20" s="30" t="str">
        <f aca="false">IF($A20="","",IF(AND($X20&lt;&gt;"",$AH20&lt;&gt;""),"Y","N"))</f>
        <v/>
      </c>
      <c r="AL20" s="30" t="str">
        <f aca="true">IF(OR($A20="",$I20=""),"",IF($BC20="Y",SUMIFS(survey_frozen!$C$2:$C$251,survey_frozen!$P$2:$P$251,$A20&amp;"|"&amp;$B20),IFERROR(COUNTIFS(INDIRECT("'"&amp;$A20&amp;"'!$B$2:$B$501"),$T20,INDIRECT("'"&amp;$A20&amp;"'!$A$2:$A$501"),"&gt;="&amp;$I20,INDIRECT("'"&amp;$A20&amp;"'!$A$2:$A$501"),"&lt;"&amp;($BA20+1)),0)))</f>
        <v/>
      </c>
      <c r="AM20" s="30" t="str">
        <f aca="true">IF(OR($A20="",$I20=""),"",IF($BC20="Y",SUMIFS(survey_frozen!$D$2:$D$251,survey_frozen!$P$2:$P$251,$A20&amp;"|"&amp;$B20),IFERROR(COUNTIFS(INDIRECT("'"&amp;$A20&amp;"'!$B$2:$B$501"),$T20,INDIRECT("'"&amp;$A20&amp;"'!$A$2:$A$501"),"&gt;="&amp;$I20,INDIRECT("'"&amp;$A20&amp;"'!$A$2:$A$501"),"&lt;"&amp;($BA20+1),INDIRECT("'"&amp;$A20&amp;"'!$C$2:$C$501"),"Yes"),0)))</f>
        <v/>
      </c>
      <c r="AN20" s="30" t="str">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30" t="str">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str">
        <f aca="true">IF(OR($A20="",$I20=""),"",IF($BC20="Y",SUMIFS(survey_frozen!$E$2:$E$251,survey_frozen!$P$2:$P$251,$A20&amp;"|"&amp;$B20),IFERROR(COUNTIFS(INDIRECT("'"&amp;$A20&amp;"'!$B$2:$B$501"),$T20,INDIRECT("'"&amp;$A20&amp;"'!$A$2:$A$501"),"&gt;="&amp;$I20,INDIRECT("'"&amp;$A20&amp;"'!$A$2:$A$501"),"&lt;"&amp;($BA20+1),INDIRECT("'"&amp;$A20&amp;"'!$F$2:$F$501"),"Didn't see it"),0)))</f>
        <v/>
      </c>
      <c r="AR20" s="30" t="str">
        <f aca="true">IF(OR($A20="",$I20=""),"",IF($BC20="Y",SUMIFS(survey_frozen!$F$2:$F$251,survey_frozen!$P$2:$P$251,$A20&amp;"|"&amp;$B20),IFERROR(COUNTIFS(INDIRECT("'"&amp;$A20&amp;"'!$B$2:$B$501"),$T20,INDIRECT("'"&amp;$A20&amp;"'!$A$2:$A$501"),"&gt;="&amp;$I20,INDIRECT("'"&amp;$A20&amp;"'!$A$2:$A$501"),"&lt;"&amp;($BA20+1),INDIRECT("'"&amp;$A20&amp;"'!$F$2:$F$501"),"Not for me"),0)))</f>
        <v/>
      </c>
      <c r="AS20" s="30" t="str">
        <f aca="true">IF(OR($A20="",$I20=""),"",IF($BC20="Y",SUMIFS(survey_frozen!$G$2:$G$251,survey_frozen!$P$2:$P$251,$A20&amp;"|"&amp;$B20),IFERROR(COUNTIFS(INDIRECT("'"&amp;$A20&amp;"'!$B$2:$B$501"),$T20,INDIRECT("'"&amp;$A20&amp;"'!$A$2:$A$501"),"&gt;="&amp;$I20,INDIRECT("'"&amp;$A20&amp;"'!$A$2:$A$501"),"&lt;"&amp;($BA20+1),INDIRECT("'"&amp;$A20&amp;"'!$F$2:$F$501"),"Gone by the time I looked"),0)))</f>
        <v/>
      </c>
      <c r="AT20" s="30" t="str">
        <f aca="true">IF(OR($A20="",$I20=""),"",IF($BC20="Y",SUMIFS(survey_frozen!$H$2:$H$251,survey_frozen!$P$2:$P$251,$A20&amp;"|"&amp;$B20),IFERROR(COUNTIFS(INDIRECT("'"&amp;$A20&amp;"'!$B$2:$B$501"),$T20,INDIRECT("'"&amp;$A20&amp;"'!$A$2:$A$501"),"&gt;="&amp;$I20,INDIRECT("'"&amp;$A20&amp;"'!$A$2:$A$501"),"&lt;"&amp;($BA20+1),INDIRECT("'"&amp;$A20&amp;"'!$D$2:$D$501"),"&gt;=1"),0)))</f>
        <v/>
      </c>
      <c r="AU20" s="30" t="str">
        <f aca="true">IF(OR($A20="",$I20=""),"",IF($BC20="Y",SUMIFS(survey_frozen!$I$2:$I$251,survey_frozen!$P$2:$P$251,$A20&amp;"|"&amp;$B20),IFERROR(SUMIFS(INDIRECT("'"&amp;$A20&amp;"'!$D$2:$D$501"),INDIRECT("'"&amp;$A20&amp;"'!$B$2:$B$501"),$T20,INDIRECT("'"&amp;$A20&amp;"'!$A$2:$A$501"),"&gt;="&amp;$I20,INDIRECT("'"&amp;$A20&amp;"'!$A$2:$A$501"),"&lt;"&amp;($BA20+1)),0)))</f>
        <v/>
      </c>
      <c r="AV20" s="30" t="str">
        <f aca="true">IF(OR($A20="",$I20=""),"",IF($BC20="Y",SUMIFS(survey_frozen!$J$2:$J$251,survey_frozen!$P$2:$P$251,$A20&amp;"|"&amp;$B20),IFERROR(COUNTIFS(INDIRECT("'"&amp;$A20&amp;"'!$B$2:$B$501"),$T20,INDIRECT("'"&amp;$A20&amp;"'!$A$2:$A$501"),"&gt;="&amp;$I20,INDIRECT("'"&amp;$A20&amp;"'!$A$2:$A$501"),"&lt;"&amp;($BA20+1),INDIRECT("'"&amp;$A20&amp;"'!$E$2:$E$501"),"Yes"),0)))</f>
        <v/>
      </c>
      <c r="AW20" s="30" t="str">
        <f aca="true">IF(OR($A20="",$I20=""),"",IF($BC20="Y",SUMIFS(survey_frozen!$K$2:$K$251,survey_frozen!$P$2:$P$251,$A20&amp;"|"&amp;$B20),IFERROR(COUNTIFS(INDIRECT("'"&amp;$A20&amp;"'!$B$2:$B$501"),$T20,INDIRECT("'"&amp;$A20&amp;"'!$A$2:$A$501"),"&gt;="&amp;$I20,INDIRECT("'"&amp;$A20&amp;"'!$A$2:$A$501"),"&lt;"&amp;($BA20+1),INDIRECT("'"&amp;$A20&amp;"'!$E$2:$E$501"),"Maybe"),0)))</f>
        <v/>
      </c>
      <c r="AX20" s="30" t="str">
        <f aca="true">IF(OR($A20="",$I20=""),"",IF($BC20="Y",SUMIFS(survey_frozen!$L$2:$L$251,survey_frozen!$P$2:$P$251,$A20&amp;"|"&amp;$B20),IFERROR(COUNTIFS(INDIRECT("'"&amp;$A20&amp;"'!$B$2:$B$501"),$T20,INDIRECT("'"&amp;$A20&amp;"'!$A$2:$A$501"),"&gt;="&amp;$I20,INDIRECT("'"&amp;$A20&amp;"'!$A$2:$A$501"),"&lt;"&amp;($BA20+1),INDIRECT("'"&amp;$A20&amp;"'!$E$2:$E$501"),"No"),0)))</f>
        <v/>
      </c>
      <c r="AY20" s="30" t="str">
        <f aca="true">IF(OR($A20="",$I20=""),"",IF($BC20="Y",SUMIFS(survey_frozen!$M$2:$M$251,survey_frozen!$P$2:$P$251,$A20&amp;"|"&amp;$B20),IFERROR(COUNTIFS(INDIRECT("'"&amp;$A20&amp;"'!$B$2:$B$501"),$T20,INDIRECT("'"&amp;$A20&amp;"'!$A$2:$A$501"),"&gt;="&amp;$I20,INDIRECT("'"&amp;$A20&amp;"'!$A$2:$A$501"),"&lt;"&amp;($BA20+1),INDIRECT("'"&amp;$A20&amp;"'!$G$2:$G$501"),"&lt;&gt;"),0)))</f>
        <v/>
      </c>
      <c r="AZ20" s="30" t="str">
        <f aca="false">IF($A20="","",$A20&amp;"|"&amp;$L20)</f>
        <v/>
      </c>
      <c r="BA20" s="31" t="str">
        <f aca="false">IF($A20="","",IFERROR(IF(INDEX(drops!$R$2:$R$21,MATCH($H20,drops!$A$2:$A$21,0))="","",INDEX(drops!$R$2:$R$21,MATCH($H20,drops!$A$2:$A$21,0))),""))</f>
        <v/>
      </c>
      <c r="BB20" s="30" t="n">
        <f aca="false">IF(OR($A20="",$Q20&lt;&gt;"Y"),1000000,N($AL20))</f>
        <v>1000000</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C21" s="11"/>
      <c r="D21" s="10"/>
      <c r="E21" s="11"/>
      <c r="H21" s="30" t="str">
        <f aca="false">IF($A21="","",IFERROR(IF(INDEX(campaigns!$B$2:$B$51,MATCH($A21,campaigns!$A$2:$A$51,0))="","",INDEX(campaigns!$B$2:$B$51,MATCH($A21,campaigns!$A$2:$A$51,0))),""))</f>
        <v/>
      </c>
      <c r="I21" s="31" t="str">
        <f aca="false">IF($A21="","",IFERROR(IF(INDEX(campaigns!$BG$2:$BG$51,MATCH($A21,campaigns!$A$2:$A$51,0))="","",INDEX(campaigns!$BG$2:$BG$51,MATCH($A21,campaigns!$A$2:$A$51,0))),""))</f>
        <v/>
      </c>
      <c r="J21" s="30" t="str">
        <f aca="false">IF($A21="","",IFERROR(IF(INDEX(campaigns!$BE$2:$BE$51,MATCH($A21,campaigns!$A$2:$A$51,0))="","",INDEX(campaigns!$BE$2:$BE$51,MATCH($A21,campaigns!$A$2:$A$51,0))),""))</f>
        <v/>
      </c>
      <c r="K21" s="30" t="str">
        <f aca="false">IF($B21="","",IFERROR(IF(INDEX(offices!$O$2:$O$61,MATCH($B21,offices!$A$2:$A$61,0))="","",INDEX(offices!$O$2:$O$61,MATCH($B21,offices!$A$2:$A$61,0))),""))</f>
        <v/>
      </c>
      <c r="L21" s="30" t="str">
        <f aca="false">IF($A21="","",IF($Q21="N","",COUNTIFS($A$2:$A21,$A21,$Q$2:$Q21,"&lt;&gt;N")))</f>
        <v/>
      </c>
      <c r="M21" s="30" t="str">
        <f aca="false">IF(OR($A21="",$L21=""),"",IF(AND(config!$B$34="names_if_public",IFERROR(IF(INDEX(offices!$AG$2:$AG$61,MATCH($B21,offices!$A$2:$A$61,0))="","",INDEX(offices!$AG$2:$AG$61,MATCH($B21,offices!$A$2:$A$61,0))),"")="Y"),$K21,CHAR(64+$L21)))</f>
        <v/>
      </c>
      <c r="N21" s="30" t="str">
        <f aca="false">IF(OR($A21="",$I21=""),"",COUNTIFS(stops!$B$2:$B$151,$B21,stops!$P$2:$P$151,"&lt;"&amp;$I21,stops!$L$2:$L$151,"&lt;&gt;not_delivered")+1)</f>
        <v/>
      </c>
      <c r="O21" s="30" t="str">
        <f aca="false">IF($A21="","",IF(N($N21)&lt;=config!$B$29,"explicit","opt-out"))</f>
        <v/>
      </c>
      <c r="P21" s="30" t="str">
        <f aca="false">IF($A21="","",IF($O21="explicit",IF($D21="yes","Y",IF($D21="no","N","pending")),IF($D21="no","N",IF(AND($C21&lt;&gt;"",$I21&lt;&gt;"",$C21&lt;=WORKDAY(N($I21),-5,calendar!$A$2:$A$80)),"Y","pending"))))</f>
        <v/>
      </c>
      <c r="Q21" s="30" t="str">
        <f aca="false">IF($A21="","",IF($P21="N","N",IF($P21&lt;&gt;"Y","pending",IF(AND((COUNTIFS(stops!$A$2:$A$151,$H21,stops!$B$2:$B$151,$B21,stops!$L$2:$L$151,"declined")+COUNTIFS(stops!$A$2:$A$151,$H21,stops!$B$2:$B$151,$B21,stops!$L$2:$L$151,"building_refused")+COUNTIFS(stops!$A$2:$A$151,$H21,stops!$B$2:$B$151,$B21,stops!$L$2:$L$151,"not_delivered"))&gt;0,N($U21)=0),"N","Y"))))</f>
        <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str">
        <f aca="false">IF($A21="","",IF($G21&lt;&gt;"",$G21,IFERROR(IF(INDEX(offices!$AM$2:$AM$61,MATCH($B21,offices!$A$2:$A$61,0))="","",INDEX(offices!$AM$2:$AM$61,MATCH($B21,offices!$A$2:$A$61,0))),"")))</f>
        <v/>
      </c>
      <c r="T21" s="30" t="str">
        <f aca="false">IF($A21="","",$A21&amp;"."&amp;$B21)</f>
        <v/>
      </c>
      <c r="U21" s="30" t="str">
        <f aca="false">IF($A21="","",SUMIFS(inventory!$G$2:$G$801,inventory!$C$2:$C$801,$A21,inventory!$D$2:$D$801,$B21,inventory!$E$2:$E$801,"delivered"))</f>
        <v/>
      </c>
      <c r="V21" s="37" t="str">
        <f aca="false">IF($A21="","",IFERROR(1/(1/SUMPRODUCT(MAX((inventory!$C$2:$C$801=$A21)*(inventory!$D$2:$D$801=$B21)*(inventory!$E$2:$E$801="delivered")*(inventory!$A$2:$A$801+inventory!$B$2:$B$801)))),""))</f>
        <v/>
      </c>
      <c r="W21" s="30" t="str">
        <f aca="false">IF($A21="","",IFERROR(IF(INDEX(inventory!$J$2:$J$801,MATCH($A21&amp;"|"&amp;$B21&amp;"|delivered",inventory!$R$2:$R$801,0))="","",INDEX(inventory!$J$2:$J$801,MATCH($A21&amp;"|"&amp;$B21&amp;"|delivered",inventory!$R$2:$R$801,0))),""))</f>
        <v/>
      </c>
      <c r="X21" s="30" t="str">
        <f aca="false">IF($A21="","",IFERROR(IF(INDEX(photos!$H$2:$H$701,MATCH($A21&amp;"|"&amp;$B21&amp;"|placement|Y",photos!$R$2:$R$701,0))="","",INDEX(photos!$H$2:$H$701,MATCH($A21&amp;"|"&amp;$B21&amp;"|placement|Y",photos!$R$2:$R$701,0))),""))</f>
        <v/>
      </c>
      <c r="Y21" s="31" t="str">
        <f aca="false">IF($A21="","",IFERROR(IF(INDEX(photos!$E$2:$E$701,MATCH($A21&amp;"|"&amp;$B21&amp;"|placement|Y",photos!$R$2:$R$701,0))="","",INDEX(photos!$E$2:$E$701,MATCH($A21&amp;"|"&amp;$B21&amp;"|placement|Y",photos!$R$2:$R$701,0))),""))</f>
        <v/>
      </c>
      <c r="Z21" s="30" t="str">
        <f aca="false">IF($A21="","",IF(COUNTIFS(counts!$C$2:$C$701,$A21,counts!$D$2:$D$701,$B21,counts!$E$2:$E$701,"placed")=0,"",SUMIFS(counts!$F$2:$F$701,counts!$C$2:$C$701,$A21,counts!$D$2:$D$701,$B21,counts!$E$2:$E$701,"placed")))</f>
        <v/>
      </c>
      <c r="AA21" s="30" t="str">
        <f aca="false">IF($A21="","",IF($Y21="",0,N($Z21)))</f>
        <v/>
      </c>
      <c r="AB21" s="30" t="str">
        <f aca="false">IF($A21="","",IF(OR($Y21="",$I21=""),"N",IF($Y21&lt;=WORKDAY(N($I21),1,calendar!$A$2:$A$80),"Y","N")))</f>
        <v/>
      </c>
      <c r="AC21" s="33" t="str">
        <f aca="false">IF(OR($A21="",$V21="",$Y21=""),"",ROUND(($Y21+N(IFERROR(IF(INDEX(photos!$F$2:$F$701,MATCH($A21&amp;"|"&amp;$B21&amp;"|placement|Y",photos!$R$2:$R$701,0))="","",INDEX(photos!$F$2:$F$701,MATCH($A21&amp;"|"&amp;$B21&amp;"|placement|Y",photos!$R$2:$R$701,0))),""))-$V21)*24,1))</f>
        <v/>
      </c>
      <c r="AD21" s="30" t="str">
        <f aca="false">IF($A21="","",SUMIFS(inventory!$G$2:$G$801,inventory!$C$2:$C$801,$A21,inventory!$D$2:$D$801,$B21,inventory!$E$2:$E$801,"topped_up"))</f>
        <v/>
      </c>
      <c r="AE21" s="30" t="str">
        <f aca="false">IF($A21="","",IF(COUNTIFS(counts!$C$2:$C$701,$A21,counts!$D$2:$D$701,$B21,counts!$E$2:$E$701,"remaining_day3")=0,"",SUMIFS(counts!$F$2:$F$701,counts!$C$2:$C$701,$A21,counts!$D$2:$D$701,$B21,counts!$E$2:$E$701,"remaining_day3")))</f>
        <v/>
      </c>
      <c r="AF21" s="30" t="str">
        <f aca="false">IF($A21="","",IF(COUNTIFS(counts!$C$2:$C$701,$A21,counts!$D$2:$D$701,$B21,counts!$E$2:$E$701,"remaining_day5")=0,"",SUMIFS(counts!$F$2:$F$701,counts!$C$2:$C$701,$A21,counts!$D$2:$D$701,$B21,counts!$E$2:$E$701,"remaining_day5")))</f>
        <v/>
      </c>
      <c r="AG21" s="30" t="str">
        <f aca="false">IF(OR($A21="",$AF21=""),"",MAX(0,$AA21+$AD21-$AF21))</f>
        <v/>
      </c>
      <c r="AH21" s="30" t="str">
        <f aca="false">IF(OR($A21="",$AI21=""),"",IFERROR(IF(INDEX(photos!$H$2:$H$701,MATCH($A21&amp;"|"&amp;$B21&amp;"|later|Y|"&amp;$AI21,photos!$S$2:$S$701,0))="","",INDEX(photos!$H$2:$H$701,MATCH($A21&amp;"|"&amp;$B21&amp;"|later|Y|"&amp;$AI21,photos!$S$2:$S$701,0))),""))</f>
        <v/>
      </c>
      <c r="AI21" s="31" t="str">
        <f aca="false">IF($A21="","",IFERROR(1/(1/SUMPRODUCT(MAX((photos!$B$2:$B$701=$A21)*(photos!$C$2:$C$701=$B21)*(photos!$D$2:$D$701="later")*(photos!$O$2:$O$701="Y")*photos!$E$2:$E$701))),""))</f>
        <v/>
      </c>
      <c r="AJ21" s="30" t="str">
        <f aca="false">IF(OR($A21="",$AI21="",$I21=""),"",NETWORKDAYS($I21,$AI21,calendar!$A$2:$A$80))</f>
        <v/>
      </c>
      <c r="AK21" s="30" t="str">
        <f aca="false">IF($A21="","",IF(AND($X21&lt;&gt;"",$AH21&lt;&gt;""),"Y","N"))</f>
        <v/>
      </c>
      <c r="AL21" s="30" t="str">
        <f aca="true">IF(OR($A21="",$I21=""),"",IF($BC21="Y",SUMIFS(survey_frozen!$C$2:$C$251,survey_frozen!$P$2:$P$251,$A21&amp;"|"&amp;$B21),IFERROR(COUNTIFS(INDIRECT("'"&amp;$A21&amp;"'!$B$2:$B$501"),$T21,INDIRECT("'"&amp;$A21&amp;"'!$A$2:$A$501"),"&gt;="&amp;$I21,INDIRECT("'"&amp;$A21&amp;"'!$A$2:$A$501"),"&lt;"&amp;($BA21+1)),0)))</f>
        <v/>
      </c>
      <c r="AM21" s="30" t="str">
        <f aca="true">IF(OR($A21="",$I21=""),"",IF($BC21="Y",SUMIFS(survey_frozen!$D$2:$D$251,survey_frozen!$P$2:$P$251,$A21&amp;"|"&amp;$B21),IFERROR(COUNTIFS(INDIRECT("'"&amp;$A21&amp;"'!$B$2:$B$501"),$T21,INDIRECT("'"&amp;$A21&amp;"'!$A$2:$A$501"),"&gt;="&amp;$I21,INDIRECT("'"&amp;$A21&amp;"'!$A$2:$A$501"),"&lt;"&amp;($BA21+1),INDIRECT("'"&amp;$A21&amp;"'!$C$2:$C$501"),"Yes"),0)))</f>
        <v/>
      </c>
      <c r="AN21" s="30" t="str">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30" t="str">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str">
        <f aca="true">IF(OR($A21="",$I21=""),"",IF($BC21="Y",SUMIFS(survey_frozen!$E$2:$E$251,survey_frozen!$P$2:$P$251,$A21&amp;"|"&amp;$B21),IFERROR(COUNTIFS(INDIRECT("'"&amp;$A21&amp;"'!$B$2:$B$501"),$T21,INDIRECT("'"&amp;$A21&amp;"'!$A$2:$A$501"),"&gt;="&amp;$I21,INDIRECT("'"&amp;$A21&amp;"'!$A$2:$A$501"),"&lt;"&amp;($BA21+1),INDIRECT("'"&amp;$A21&amp;"'!$F$2:$F$501"),"Didn't see it"),0)))</f>
        <v/>
      </c>
      <c r="AR21" s="30" t="str">
        <f aca="true">IF(OR($A21="",$I21=""),"",IF($BC21="Y",SUMIFS(survey_frozen!$F$2:$F$251,survey_frozen!$P$2:$P$251,$A21&amp;"|"&amp;$B21),IFERROR(COUNTIFS(INDIRECT("'"&amp;$A21&amp;"'!$B$2:$B$501"),$T21,INDIRECT("'"&amp;$A21&amp;"'!$A$2:$A$501"),"&gt;="&amp;$I21,INDIRECT("'"&amp;$A21&amp;"'!$A$2:$A$501"),"&lt;"&amp;($BA21+1),INDIRECT("'"&amp;$A21&amp;"'!$F$2:$F$501"),"Not for me"),0)))</f>
        <v/>
      </c>
      <c r="AS21" s="30" t="str">
        <f aca="true">IF(OR($A21="",$I21=""),"",IF($BC21="Y",SUMIFS(survey_frozen!$G$2:$G$251,survey_frozen!$P$2:$P$251,$A21&amp;"|"&amp;$B21),IFERROR(COUNTIFS(INDIRECT("'"&amp;$A21&amp;"'!$B$2:$B$501"),$T21,INDIRECT("'"&amp;$A21&amp;"'!$A$2:$A$501"),"&gt;="&amp;$I21,INDIRECT("'"&amp;$A21&amp;"'!$A$2:$A$501"),"&lt;"&amp;($BA21+1),INDIRECT("'"&amp;$A21&amp;"'!$F$2:$F$501"),"Gone by the time I looked"),0)))</f>
        <v/>
      </c>
      <c r="AT21" s="30" t="str">
        <f aca="true">IF(OR($A21="",$I21=""),"",IF($BC21="Y",SUMIFS(survey_frozen!$H$2:$H$251,survey_frozen!$P$2:$P$251,$A21&amp;"|"&amp;$B21),IFERROR(COUNTIFS(INDIRECT("'"&amp;$A21&amp;"'!$B$2:$B$501"),$T21,INDIRECT("'"&amp;$A21&amp;"'!$A$2:$A$501"),"&gt;="&amp;$I21,INDIRECT("'"&amp;$A21&amp;"'!$A$2:$A$501"),"&lt;"&amp;($BA21+1),INDIRECT("'"&amp;$A21&amp;"'!$D$2:$D$501"),"&gt;=1"),0)))</f>
        <v/>
      </c>
      <c r="AU21" s="30" t="str">
        <f aca="true">IF(OR($A21="",$I21=""),"",IF($BC21="Y",SUMIFS(survey_frozen!$I$2:$I$251,survey_frozen!$P$2:$P$251,$A21&amp;"|"&amp;$B21),IFERROR(SUMIFS(INDIRECT("'"&amp;$A21&amp;"'!$D$2:$D$501"),INDIRECT("'"&amp;$A21&amp;"'!$B$2:$B$501"),$T21,INDIRECT("'"&amp;$A21&amp;"'!$A$2:$A$501"),"&gt;="&amp;$I21,INDIRECT("'"&amp;$A21&amp;"'!$A$2:$A$501"),"&lt;"&amp;($BA21+1)),0)))</f>
        <v/>
      </c>
      <c r="AV21" s="30" t="str">
        <f aca="true">IF(OR($A21="",$I21=""),"",IF($BC21="Y",SUMIFS(survey_frozen!$J$2:$J$251,survey_frozen!$P$2:$P$251,$A21&amp;"|"&amp;$B21),IFERROR(COUNTIFS(INDIRECT("'"&amp;$A21&amp;"'!$B$2:$B$501"),$T21,INDIRECT("'"&amp;$A21&amp;"'!$A$2:$A$501"),"&gt;="&amp;$I21,INDIRECT("'"&amp;$A21&amp;"'!$A$2:$A$501"),"&lt;"&amp;($BA21+1),INDIRECT("'"&amp;$A21&amp;"'!$E$2:$E$501"),"Yes"),0)))</f>
        <v/>
      </c>
      <c r="AW21" s="30" t="str">
        <f aca="true">IF(OR($A21="",$I21=""),"",IF($BC21="Y",SUMIFS(survey_frozen!$K$2:$K$251,survey_frozen!$P$2:$P$251,$A21&amp;"|"&amp;$B21),IFERROR(COUNTIFS(INDIRECT("'"&amp;$A21&amp;"'!$B$2:$B$501"),$T21,INDIRECT("'"&amp;$A21&amp;"'!$A$2:$A$501"),"&gt;="&amp;$I21,INDIRECT("'"&amp;$A21&amp;"'!$A$2:$A$501"),"&lt;"&amp;($BA21+1),INDIRECT("'"&amp;$A21&amp;"'!$E$2:$E$501"),"Maybe"),0)))</f>
        <v/>
      </c>
      <c r="AX21" s="30" t="str">
        <f aca="true">IF(OR($A21="",$I21=""),"",IF($BC21="Y",SUMIFS(survey_frozen!$L$2:$L$251,survey_frozen!$P$2:$P$251,$A21&amp;"|"&amp;$B21),IFERROR(COUNTIFS(INDIRECT("'"&amp;$A21&amp;"'!$B$2:$B$501"),$T21,INDIRECT("'"&amp;$A21&amp;"'!$A$2:$A$501"),"&gt;="&amp;$I21,INDIRECT("'"&amp;$A21&amp;"'!$A$2:$A$501"),"&lt;"&amp;($BA21+1),INDIRECT("'"&amp;$A21&amp;"'!$E$2:$E$501"),"No"),0)))</f>
        <v/>
      </c>
      <c r="AY21" s="30" t="str">
        <f aca="true">IF(OR($A21="",$I21=""),"",IF($BC21="Y",SUMIFS(survey_frozen!$M$2:$M$251,survey_frozen!$P$2:$P$251,$A21&amp;"|"&amp;$B21),IFERROR(COUNTIFS(INDIRECT("'"&amp;$A21&amp;"'!$B$2:$B$501"),$T21,INDIRECT("'"&amp;$A21&amp;"'!$A$2:$A$501"),"&gt;="&amp;$I21,INDIRECT("'"&amp;$A21&amp;"'!$A$2:$A$501"),"&lt;"&amp;($BA21+1),INDIRECT("'"&amp;$A21&amp;"'!$G$2:$G$501"),"&lt;&gt;"),0)))</f>
        <v/>
      </c>
      <c r="AZ21" s="30" t="str">
        <f aca="false">IF($A21="","",$A21&amp;"|"&amp;$L21)</f>
        <v/>
      </c>
      <c r="BA21" s="31" t="str">
        <f aca="false">IF($A21="","",IFERROR(IF(INDEX(drops!$R$2:$R$21,MATCH($H21,drops!$A$2:$A$21,0))="","",INDEX(drops!$R$2:$R$21,MATCH($H21,drops!$A$2:$A$21,0))),""))</f>
        <v/>
      </c>
      <c r="BB21" s="30" t="n">
        <f aca="false">IF(OR($A21="",$Q21&lt;&gt;"Y"),1000000,N($AL21))</f>
        <v>1000000</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C22" s="11"/>
      <c r="D22" s="10"/>
      <c r="E22" s="11"/>
      <c r="H22" s="30" t="str">
        <f aca="false">IF($A22="","",IFERROR(IF(INDEX(campaigns!$B$2:$B$51,MATCH($A22,campaigns!$A$2:$A$51,0))="","",INDEX(campaigns!$B$2:$B$51,MATCH($A22,campaigns!$A$2:$A$51,0))),""))</f>
        <v/>
      </c>
      <c r="I22" s="31" t="str">
        <f aca="false">IF($A22="","",IFERROR(IF(INDEX(campaigns!$BG$2:$BG$51,MATCH($A22,campaigns!$A$2:$A$51,0))="","",INDEX(campaigns!$BG$2:$BG$51,MATCH($A22,campaigns!$A$2:$A$51,0))),""))</f>
        <v/>
      </c>
      <c r="J22" s="30" t="str">
        <f aca="false">IF($A22="","",IFERROR(IF(INDEX(campaigns!$BE$2:$BE$51,MATCH($A22,campaigns!$A$2:$A$51,0))="","",INDEX(campaigns!$BE$2:$BE$51,MATCH($A22,campaigns!$A$2:$A$51,0))),""))</f>
        <v/>
      </c>
      <c r="K22" s="30" t="str">
        <f aca="false">IF($B22="","",IFERROR(IF(INDEX(offices!$O$2:$O$61,MATCH($B22,offices!$A$2:$A$61,0))="","",INDEX(offices!$O$2:$O$61,MATCH($B22,offices!$A$2:$A$61,0))),""))</f>
        <v/>
      </c>
      <c r="L22" s="30" t="str">
        <f aca="false">IF($A22="","",IF($Q22="N","",COUNTIFS($A$2:$A22,$A22,$Q$2:$Q22,"&lt;&gt;N")))</f>
        <v/>
      </c>
      <c r="M22" s="30" t="str">
        <f aca="false">IF(OR($A22="",$L22=""),"",IF(AND(config!$B$34="names_if_public",IFERROR(IF(INDEX(offices!$AG$2:$AG$61,MATCH($B22,offices!$A$2:$A$61,0))="","",INDEX(offices!$AG$2:$AG$61,MATCH($B22,offices!$A$2:$A$61,0))),"")="Y"),$K22,CHAR(64+$L22)))</f>
        <v/>
      </c>
      <c r="N22" s="30" t="str">
        <f aca="false">IF(OR($A22="",$I22=""),"",COUNTIFS(stops!$B$2:$B$151,$B22,stops!$P$2:$P$151,"&lt;"&amp;$I22,stops!$L$2:$L$151,"&lt;&gt;not_delivered")+1)</f>
        <v/>
      </c>
      <c r="O22" s="30" t="str">
        <f aca="false">IF($A22="","",IF(N($N22)&lt;=config!$B$29,"explicit","opt-out"))</f>
        <v/>
      </c>
      <c r="P22" s="30" t="str">
        <f aca="false">IF($A22="","",IF($O22="explicit",IF($D22="yes","Y",IF($D22="no","N","pending")),IF($D22="no","N",IF(AND($C22&lt;&gt;"",$I22&lt;&gt;"",$C22&lt;=WORKDAY(N($I22),-5,calendar!$A$2:$A$80)),"Y","pending"))))</f>
        <v/>
      </c>
      <c r="Q22" s="30" t="str">
        <f aca="false">IF($A22="","",IF($P22="N","N",IF($P22&lt;&gt;"Y","pending",IF(AND((COUNTIFS(stops!$A$2:$A$151,$H22,stops!$B$2:$B$151,$B22,stops!$L$2:$L$151,"declined")+COUNTIFS(stops!$A$2:$A$151,$H22,stops!$B$2:$B$151,$B22,stops!$L$2:$L$151,"building_refused")+COUNTIFS(stops!$A$2:$A$151,$H22,stops!$B$2:$B$151,$B22,stops!$L$2:$L$151,"not_delivered"))&gt;0,N($U22)=0),"N","Y"))))</f>
        <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str">
        <f aca="false">IF($A22="","",IF($G22&lt;&gt;"",$G22,IFERROR(IF(INDEX(offices!$AM$2:$AM$61,MATCH($B22,offices!$A$2:$A$61,0))="","",INDEX(offices!$AM$2:$AM$61,MATCH($B22,offices!$A$2:$A$61,0))),"")))</f>
        <v/>
      </c>
      <c r="T22" s="30" t="str">
        <f aca="false">IF($A22="","",$A22&amp;"."&amp;$B22)</f>
        <v/>
      </c>
      <c r="U22" s="30" t="str">
        <f aca="false">IF($A22="","",SUMIFS(inventory!$G$2:$G$801,inventory!$C$2:$C$801,$A22,inventory!$D$2:$D$801,$B22,inventory!$E$2:$E$801,"delivered"))</f>
        <v/>
      </c>
      <c r="V22" s="37" t="str">
        <f aca="false">IF($A22="","",IFERROR(1/(1/SUMPRODUCT(MAX((inventory!$C$2:$C$801=$A22)*(inventory!$D$2:$D$801=$B22)*(inventory!$E$2:$E$801="delivered")*(inventory!$A$2:$A$801+inventory!$B$2:$B$801)))),""))</f>
        <v/>
      </c>
      <c r="W22" s="30" t="str">
        <f aca="false">IF($A22="","",IFERROR(IF(INDEX(inventory!$J$2:$J$801,MATCH($A22&amp;"|"&amp;$B22&amp;"|delivered",inventory!$R$2:$R$801,0))="","",INDEX(inventory!$J$2:$J$801,MATCH($A22&amp;"|"&amp;$B22&amp;"|delivered",inventory!$R$2:$R$801,0))),""))</f>
        <v/>
      </c>
      <c r="X22" s="30" t="str">
        <f aca="false">IF($A22="","",IFERROR(IF(INDEX(photos!$H$2:$H$701,MATCH($A22&amp;"|"&amp;$B22&amp;"|placement|Y",photos!$R$2:$R$701,0))="","",INDEX(photos!$H$2:$H$701,MATCH($A22&amp;"|"&amp;$B22&amp;"|placement|Y",photos!$R$2:$R$701,0))),""))</f>
        <v/>
      </c>
      <c r="Y22" s="31" t="str">
        <f aca="false">IF($A22="","",IFERROR(IF(INDEX(photos!$E$2:$E$701,MATCH($A22&amp;"|"&amp;$B22&amp;"|placement|Y",photos!$R$2:$R$701,0))="","",INDEX(photos!$E$2:$E$701,MATCH($A22&amp;"|"&amp;$B22&amp;"|placement|Y",photos!$R$2:$R$701,0))),""))</f>
        <v/>
      </c>
      <c r="Z22" s="30" t="str">
        <f aca="false">IF($A22="","",IF(COUNTIFS(counts!$C$2:$C$701,$A22,counts!$D$2:$D$701,$B22,counts!$E$2:$E$701,"placed")=0,"",SUMIFS(counts!$F$2:$F$701,counts!$C$2:$C$701,$A22,counts!$D$2:$D$701,$B22,counts!$E$2:$E$701,"placed")))</f>
        <v/>
      </c>
      <c r="AA22" s="30" t="str">
        <f aca="false">IF($A22="","",IF($Y22="",0,N($Z22)))</f>
        <v/>
      </c>
      <c r="AB22" s="30" t="str">
        <f aca="false">IF($A22="","",IF(OR($Y22="",$I22=""),"N",IF($Y22&lt;=WORKDAY(N($I22),1,calendar!$A$2:$A$80),"Y","N")))</f>
        <v/>
      </c>
      <c r="AC22" s="33" t="str">
        <f aca="false">IF(OR($A22="",$V22="",$Y22=""),"",ROUND(($Y22+N(IFERROR(IF(INDEX(photos!$F$2:$F$701,MATCH($A22&amp;"|"&amp;$B22&amp;"|placement|Y",photos!$R$2:$R$701,0))="","",INDEX(photos!$F$2:$F$701,MATCH($A22&amp;"|"&amp;$B22&amp;"|placement|Y",photos!$R$2:$R$701,0))),""))-$V22)*24,1))</f>
        <v/>
      </c>
      <c r="AD22" s="30" t="str">
        <f aca="false">IF($A22="","",SUMIFS(inventory!$G$2:$G$801,inventory!$C$2:$C$801,$A22,inventory!$D$2:$D$801,$B22,inventory!$E$2:$E$801,"topped_up"))</f>
        <v/>
      </c>
      <c r="AE22" s="30" t="str">
        <f aca="false">IF($A22="","",IF(COUNTIFS(counts!$C$2:$C$701,$A22,counts!$D$2:$D$701,$B22,counts!$E$2:$E$701,"remaining_day3")=0,"",SUMIFS(counts!$F$2:$F$701,counts!$C$2:$C$701,$A22,counts!$D$2:$D$701,$B22,counts!$E$2:$E$701,"remaining_day3")))</f>
        <v/>
      </c>
      <c r="AF22" s="30" t="str">
        <f aca="false">IF($A22="","",IF(COUNTIFS(counts!$C$2:$C$701,$A22,counts!$D$2:$D$701,$B22,counts!$E$2:$E$701,"remaining_day5")=0,"",SUMIFS(counts!$F$2:$F$701,counts!$C$2:$C$701,$A22,counts!$D$2:$D$701,$B22,counts!$E$2:$E$701,"remaining_day5")))</f>
        <v/>
      </c>
      <c r="AG22" s="30" t="str">
        <f aca="false">IF(OR($A22="",$AF22=""),"",MAX(0,$AA22+$AD22-$AF22))</f>
        <v/>
      </c>
      <c r="AH22" s="30" t="str">
        <f aca="false">IF(OR($A22="",$AI22=""),"",IFERROR(IF(INDEX(photos!$H$2:$H$701,MATCH($A22&amp;"|"&amp;$B22&amp;"|later|Y|"&amp;$AI22,photos!$S$2:$S$701,0))="","",INDEX(photos!$H$2:$H$701,MATCH($A22&amp;"|"&amp;$B22&amp;"|later|Y|"&amp;$AI22,photos!$S$2:$S$701,0))),""))</f>
        <v/>
      </c>
      <c r="AI22" s="31" t="str">
        <f aca="false">IF($A22="","",IFERROR(1/(1/SUMPRODUCT(MAX((photos!$B$2:$B$701=$A22)*(photos!$C$2:$C$701=$B22)*(photos!$D$2:$D$701="later")*(photos!$O$2:$O$701="Y")*photos!$E$2:$E$701))),""))</f>
        <v/>
      </c>
      <c r="AJ22" s="30" t="str">
        <f aca="false">IF(OR($A22="",$AI22="",$I22=""),"",NETWORKDAYS($I22,$AI22,calendar!$A$2:$A$80))</f>
        <v/>
      </c>
      <c r="AK22" s="30" t="str">
        <f aca="false">IF($A22="","",IF(AND($X22&lt;&gt;"",$AH22&lt;&gt;""),"Y","N"))</f>
        <v/>
      </c>
      <c r="AL22" s="30" t="str">
        <f aca="true">IF(OR($A22="",$I22=""),"",IF($BC22="Y",SUMIFS(survey_frozen!$C$2:$C$251,survey_frozen!$P$2:$P$251,$A22&amp;"|"&amp;$B22),IFERROR(COUNTIFS(INDIRECT("'"&amp;$A22&amp;"'!$B$2:$B$501"),$T22,INDIRECT("'"&amp;$A22&amp;"'!$A$2:$A$501"),"&gt;="&amp;$I22,INDIRECT("'"&amp;$A22&amp;"'!$A$2:$A$501"),"&lt;"&amp;($BA22+1)),0)))</f>
        <v/>
      </c>
      <c r="AM22" s="30" t="str">
        <f aca="true">IF(OR($A22="",$I22=""),"",IF($BC22="Y",SUMIFS(survey_frozen!$D$2:$D$251,survey_frozen!$P$2:$P$251,$A22&amp;"|"&amp;$B22),IFERROR(COUNTIFS(INDIRECT("'"&amp;$A22&amp;"'!$B$2:$B$501"),$T22,INDIRECT("'"&amp;$A22&amp;"'!$A$2:$A$501"),"&gt;="&amp;$I22,INDIRECT("'"&amp;$A22&amp;"'!$A$2:$A$501"),"&lt;"&amp;($BA22+1),INDIRECT("'"&amp;$A22&amp;"'!$C$2:$C$501"),"Yes"),0)))</f>
        <v/>
      </c>
      <c r="AN22" s="30" t="str">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30" t="str">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str">
        <f aca="true">IF(OR($A22="",$I22=""),"",IF($BC22="Y",SUMIFS(survey_frozen!$E$2:$E$251,survey_frozen!$P$2:$P$251,$A22&amp;"|"&amp;$B22),IFERROR(COUNTIFS(INDIRECT("'"&amp;$A22&amp;"'!$B$2:$B$501"),$T22,INDIRECT("'"&amp;$A22&amp;"'!$A$2:$A$501"),"&gt;="&amp;$I22,INDIRECT("'"&amp;$A22&amp;"'!$A$2:$A$501"),"&lt;"&amp;($BA22+1),INDIRECT("'"&amp;$A22&amp;"'!$F$2:$F$501"),"Didn't see it"),0)))</f>
        <v/>
      </c>
      <c r="AR22" s="30" t="str">
        <f aca="true">IF(OR($A22="",$I22=""),"",IF($BC22="Y",SUMIFS(survey_frozen!$F$2:$F$251,survey_frozen!$P$2:$P$251,$A22&amp;"|"&amp;$B22),IFERROR(COUNTIFS(INDIRECT("'"&amp;$A22&amp;"'!$B$2:$B$501"),$T22,INDIRECT("'"&amp;$A22&amp;"'!$A$2:$A$501"),"&gt;="&amp;$I22,INDIRECT("'"&amp;$A22&amp;"'!$A$2:$A$501"),"&lt;"&amp;($BA22+1),INDIRECT("'"&amp;$A22&amp;"'!$F$2:$F$501"),"Not for me"),0)))</f>
        <v/>
      </c>
      <c r="AS22" s="30" t="str">
        <f aca="true">IF(OR($A22="",$I22=""),"",IF($BC22="Y",SUMIFS(survey_frozen!$G$2:$G$251,survey_frozen!$P$2:$P$251,$A22&amp;"|"&amp;$B22),IFERROR(COUNTIFS(INDIRECT("'"&amp;$A22&amp;"'!$B$2:$B$501"),$T22,INDIRECT("'"&amp;$A22&amp;"'!$A$2:$A$501"),"&gt;="&amp;$I22,INDIRECT("'"&amp;$A22&amp;"'!$A$2:$A$501"),"&lt;"&amp;($BA22+1),INDIRECT("'"&amp;$A22&amp;"'!$F$2:$F$501"),"Gone by the time I looked"),0)))</f>
        <v/>
      </c>
      <c r="AT22" s="30" t="str">
        <f aca="true">IF(OR($A22="",$I22=""),"",IF($BC22="Y",SUMIFS(survey_frozen!$H$2:$H$251,survey_frozen!$P$2:$P$251,$A22&amp;"|"&amp;$B22),IFERROR(COUNTIFS(INDIRECT("'"&amp;$A22&amp;"'!$B$2:$B$501"),$T22,INDIRECT("'"&amp;$A22&amp;"'!$A$2:$A$501"),"&gt;="&amp;$I22,INDIRECT("'"&amp;$A22&amp;"'!$A$2:$A$501"),"&lt;"&amp;($BA22+1),INDIRECT("'"&amp;$A22&amp;"'!$D$2:$D$501"),"&gt;=1"),0)))</f>
        <v/>
      </c>
      <c r="AU22" s="30" t="str">
        <f aca="true">IF(OR($A22="",$I22=""),"",IF($BC22="Y",SUMIFS(survey_frozen!$I$2:$I$251,survey_frozen!$P$2:$P$251,$A22&amp;"|"&amp;$B22),IFERROR(SUMIFS(INDIRECT("'"&amp;$A22&amp;"'!$D$2:$D$501"),INDIRECT("'"&amp;$A22&amp;"'!$B$2:$B$501"),$T22,INDIRECT("'"&amp;$A22&amp;"'!$A$2:$A$501"),"&gt;="&amp;$I22,INDIRECT("'"&amp;$A22&amp;"'!$A$2:$A$501"),"&lt;"&amp;($BA22+1)),0)))</f>
        <v/>
      </c>
      <c r="AV22" s="30" t="str">
        <f aca="true">IF(OR($A22="",$I22=""),"",IF($BC22="Y",SUMIFS(survey_frozen!$J$2:$J$251,survey_frozen!$P$2:$P$251,$A22&amp;"|"&amp;$B22),IFERROR(COUNTIFS(INDIRECT("'"&amp;$A22&amp;"'!$B$2:$B$501"),$T22,INDIRECT("'"&amp;$A22&amp;"'!$A$2:$A$501"),"&gt;="&amp;$I22,INDIRECT("'"&amp;$A22&amp;"'!$A$2:$A$501"),"&lt;"&amp;($BA22+1),INDIRECT("'"&amp;$A22&amp;"'!$E$2:$E$501"),"Yes"),0)))</f>
        <v/>
      </c>
      <c r="AW22" s="30" t="str">
        <f aca="true">IF(OR($A22="",$I22=""),"",IF($BC22="Y",SUMIFS(survey_frozen!$K$2:$K$251,survey_frozen!$P$2:$P$251,$A22&amp;"|"&amp;$B22),IFERROR(COUNTIFS(INDIRECT("'"&amp;$A22&amp;"'!$B$2:$B$501"),$T22,INDIRECT("'"&amp;$A22&amp;"'!$A$2:$A$501"),"&gt;="&amp;$I22,INDIRECT("'"&amp;$A22&amp;"'!$A$2:$A$501"),"&lt;"&amp;($BA22+1),INDIRECT("'"&amp;$A22&amp;"'!$E$2:$E$501"),"Maybe"),0)))</f>
        <v/>
      </c>
      <c r="AX22" s="30" t="str">
        <f aca="true">IF(OR($A22="",$I22=""),"",IF($BC22="Y",SUMIFS(survey_frozen!$L$2:$L$251,survey_frozen!$P$2:$P$251,$A22&amp;"|"&amp;$B22),IFERROR(COUNTIFS(INDIRECT("'"&amp;$A22&amp;"'!$B$2:$B$501"),$T22,INDIRECT("'"&amp;$A22&amp;"'!$A$2:$A$501"),"&gt;="&amp;$I22,INDIRECT("'"&amp;$A22&amp;"'!$A$2:$A$501"),"&lt;"&amp;($BA22+1),INDIRECT("'"&amp;$A22&amp;"'!$E$2:$E$501"),"No"),0)))</f>
        <v/>
      </c>
      <c r="AY22" s="30" t="str">
        <f aca="true">IF(OR($A22="",$I22=""),"",IF($BC22="Y",SUMIFS(survey_frozen!$M$2:$M$251,survey_frozen!$P$2:$P$251,$A22&amp;"|"&amp;$B22),IFERROR(COUNTIFS(INDIRECT("'"&amp;$A22&amp;"'!$B$2:$B$501"),$T22,INDIRECT("'"&amp;$A22&amp;"'!$A$2:$A$501"),"&gt;="&amp;$I22,INDIRECT("'"&amp;$A22&amp;"'!$A$2:$A$501"),"&lt;"&amp;($BA22+1),INDIRECT("'"&amp;$A22&amp;"'!$G$2:$G$501"),"&lt;&gt;"),0)))</f>
        <v/>
      </c>
      <c r="AZ22" s="30" t="str">
        <f aca="false">IF($A22="","",$A22&amp;"|"&amp;$L22)</f>
        <v/>
      </c>
      <c r="BA22" s="31" t="str">
        <f aca="false">IF($A22="","",IFERROR(IF(INDEX(drops!$R$2:$R$21,MATCH($H22,drops!$A$2:$A$21,0))="","",INDEX(drops!$R$2:$R$21,MATCH($H22,drops!$A$2:$A$21,0))),""))</f>
        <v/>
      </c>
      <c r="BB22" s="30" t="n">
        <f aca="false">IF(OR($A22="",$Q22&lt;&gt;"Y"),1000000,N($AL22))</f>
        <v>1000000</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C23" s="11"/>
      <c r="D23" s="10"/>
      <c r="E23" s="11"/>
      <c r="H23" s="30" t="str">
        <f aca="false">IF($A23="","",IFERROR(IF(INDEX(campaigns!$B$2:$B$51,MATCH($A23,campaigns!$A$2:$A$51,0))="","",INDEX(campaigns!$B$2:$B$51,MATCH($A23,campaigns!$A$2:$A$51,0))),""))</f>
        <v/>
      </c>
      <c r="I23" s="31" t="str">
        <f aca="false">IF($A23="","",IFERROR(IF(INDEX(campaigns!$BG$2:$BG$51,MATCH($A23,campaigns!$A$2:$A$51,0))="","",INDEX(campaigns!$BG$2:$BG$51,MATCH($A23,campaigns!$A$2:$A$51,0))),""))</f>
        <v/>
      </c>
      <c r="J23" s="30" t="str">
        <f aca="false">IF($A23="","",IFERROR(IF(INDEX(campaigns!$BE$2:$BE$51,MATCH($A23,campaigns!$A$2:$A$51,0))="","",INDEX(campaigns!$BE$2:$BE$51,MATCH($A23,campaigns!$A$2:$A$51,0))),""))</f>
        <v/>
      </c>
      <c r="K23" s="30" t="str">
        <f aca="false">IF($B23="","",IFERROR(IF(INDEX(offices!$O$2:$O$61,MATCH($B23,offices!$A$2:$A$61,0))="","",INDEX(offices!$O$2:$O$61,MATCH($B23,offices!$A$2:$A$61,0))),""))</f>
        <v/>
      </c>
      <c r="L23" s="30" t="str">
        <f aca="false">IF($A23="","",IF($Q23="N","",COUNTIFS($A$2:$A23,$A23,$Q$2:$Q23,"&lt;&gt;N")))</f>
        <v/>
      </c>
      <c r="M23" s="30" t="str">
        <f aca="false">IF(OR($A23="",$L23=""),"",IF(AND(config!$B$34="names_if_public",IFERROR(IF(INDEX(offices!$AG$2:$AG$61,MATCH($B23,offices!$A$2:$A$61,0))="","",INDEX(offices!$AG$2:$AG$61,MATCH($B23,offices!$A$2:$A$61,0))),"")="Y"),$K23,CHAR(64+$L23)))</f>
        <v/>
      </c>
      <c r="N23" s="30" t="str">
        <f aca="false">IF(OR($A23="",$I23=""),"",COUNTIFS(stops!$B$2:$B$151,$B23,stops!$P$2:$P$151,"&lt;"&amp;$I23,stops!$L$2:$L$151,"&lt;&gt;not_delivered")+1)</f>
        <v/>
      </c>
      <c r="O23" s="30" t="str">
        <f aca="false">IF($A23="","",IF(N($N23)&lt;=config!$B$29,"explicit","opt-out"))</f>
        <v/>
      </c>
      <c r="P23" s="30" t="str">
        <f aca="false">IF($A23="","",IF($O23="explicit",IF($D23="yes","Y",IF($D23="no","N","pending")),IF($D23="no","N",IF(AND($C23&lt;&gt;"",$I23&lt;&gt;"",$C23&lt;=WORKDAY(N($I23),-5,calendar!$A$2:$A$80)),"Y","pending"))))</f>
        <v/>
      </c>
      <c r="Q23" s="30" t="str">
        <f aca="false">IF($A23="","",IF($P23="N","N",IF($P23&lt;&gt;"Y","pending",IF(AND((COUNTIFS(stops!$A$2:$A$151,$H23,stops!$B$2:$B$151,$B23,stops!$L$2:$L$151,"declined")+COUNTIFS(stops!$A$2:$A$151,$H23,stops!$B$2:$B$151,$B23,stops!$L$2:$L$151,"building_refused")+COUNTIFS(stops!$A$2:$A$151,$H23,stops!$B$2:$B$151,$B23,stops!$L$2:$L$151,"not_delivered"))&gt;0,N($U23)=0),"N","Y"))))</f>
        <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str">
        <f aca="false">IF($A23="","",IF($G23&lt;&gt;"",$G23,IFERROR(IF(INDEX(offices!$AM$2:$AM$61,MATCH($B23,offices!$A$2:$A$61,0))="","",INDEX(offices!$AM$2:$AM$61,MATCH($B23,offices!$A$2:$A$61,0))),"")))</f>
        <v/>
      </c>
      <c r="T23" s="30" t="str">
        <f aca="false">IF($A23="","",$A23&amp;"."&amp;$B23)</f>
        <v/>
      </c>
      <c r="U23" s="30" t="str">
        <f aca="false">IF($A23="","",SUMIFS(inventory!$G$2:$G$801,inventory!$C$2:$C$801,$A23,inventory!$D$2:$D$801,$B23,inventory!$E$2:$E$801,"delivered"))</f>
        <v/>
      </c>
      <c r="V23" s="37" t="str">
        <f aca="false">IF($A23="","",IFERROR(1/(1/SUMPRODUCT(MAX((inventory!$C$2:$C$801=$A23)*(inventory!$D$2:$D$801=$B23)*(inventory!$E$2:$E$801="delivered")*(inventory!$A$2:$A$801+inventory!$B$2:$B$801)))),""))</f>
        <v/>
      </c>
      <c r="W23" s="30" t="str">
        <f aca="false">IF($A23="","",IFERROR(IF(INDEX(inventory!$J$2:$J$801,MATCH($A23&amp;"|"&amp;$B23&amp;"|delivered",inventory!$R$2:$R$801,0))="","",INDEX(inventory!$J$2:$J$801,MATCH($A23&amp;"|"&amp;$B23&amp;"|delivered",inventory!$R$2:$R$801,0))),""))</f>
        <v/>
      </c>
      <c r="X23" s="30" t="str">
        <f aca="false">IF($A23="","",IFERROR(IF(INDEX(photos!$H$2:$H$701,MATCH($A23&amp;"|"&amp;$B23&amp;"|placement|Y",photos!$R$2:$R$701,0))="","",INDEX(photos!$H$2:$H$701,MATCH($A23&amp;"|"&amp;$B23&amp;"|placement|Y",photos!$R$2:$R$701,0))),""))</f>
        <v/>
      </c>
      <c r="Y23" s="31" t="str">
        <f aca="false">IF($A23="","",IFERROR(IF(INDEX(photos!$E$2:$E$701,MATCH($A23&amp;"|"&amp;$B23&amp;"|placement|Y",photos!$R$2:$R$701,0))="","",INDEX(photos!$E$2:$E$701,MATCH($A23&amp;"|"&amp;$B23&amp;"|placement|Y",photos!$R$2:$R$701,0))),""))</f>
        <v/>
      </c>
      <c r="Z23" s="30" t="str">
        <f aca="false">IF($A23="","",IF(COUNTIFS(counts!$C$2:$C$701,$A23,counts!$D$2:$D$701,$B23,counts!$E$2:$E$701,"placed")=0,"",SUMIFS(counts!$F$2:$F$701,counts!$C$2:$C$701,$A23,counts!$D$2:$D$701,$B23,counts!$E$2:$E$701,"placed")))</f>
        <v/>
      </c>
      <c r="AA23" s="30" t="str">
        <f aca="false">IF($A23="","",IF($Y23="",0,N($Z23)))</f>
        <v/>
      </c>
      <c r="AB23" s="30" t="str">
        <f aca="false">IF($A23="","",IF(OR($Y23="",$I23=""),"N",IF($Y23&lt;=WORKDAY(N($I23),1,calendar!$A$2:$A$80),"Y","N")))</f>
        <v/>
      </c>
      <c r="AC23" s="33" t="str">
        <f aca="false">IF(OR($A23="",$V23="",$Y23=""),"",ROUND(($Y23+N(IFERROR(IF(INDEX(photos!$F$2:$F$701,MATCH($A23&amp;"|"&amp;$B23&amp;"|placement|Y",photos!$R$2:$R$701,0))="","",INDEX(photos!$F$2:$F$701,MATCH($A23&amp;"|"&amp;$B23&amp;"|placement|Y",photos!$R$2:$R$701,0))),""))-$V23)*24,1))</f>
        <v/>
      </c>
      <c r="AD23" s="30" t="str">
        <f aca="false">IF($A23="","",SUMIFS(inventory!$G$2:$G$801,inventory!$C$2:$C$801,$A23,inventory!$D$2:$D$801,$B23,inventory!$E$2:$E$801,"topped_up"))</f>
        <v/>
      </c>
      <c r="AE23" s="30" t="str">
        <f aca="false">IF($A23="","",IF(COUNTIFS(counts!$C$2:$C$701,$A23,counts!$D$2:$D$701,$B23,counts!$E$2:$E$701,"remaining_day3")=0,"",SUMIFS(counts!$F$2:$F$701,counts!$C$2:$C$701,$A23,counts!$D$2:$D$701,$B23,counts!$E$2:$E$701,"remaining_day3")))</f>
        <v/>
      </c>
      <c r="AF23" s="30" t="str">
        <f aca="false">IF($A23="","",IF(COUNTIFS(counts!$C$2:$C$701,$A23,counts!$D$2:$D$701,$B23,counts!$E$2:$E$701,"remaining_day5")=0,"",SUMIFS(counts!$F$2:$F$701,counts!$C$2:$C$701,$A23,counts!$D$2:$D$701,$B23,counts!$E$2:$E$701,"remaining_day5")))</f>
        <v/>
      </c>
      <c r="AG23" s="30" t="str">
        <f aca="false">IF(OR($A23="",$AF23=""),"",MAX(0,$AA23+$AD23-$AF23))</f>
        <v/>
      </c>
      <c r="AH23" s="30" t="str">
        <f aca="false">IF(OR($A23="",$AI23=""),"",IFERROR(IF(INDEX(photos!$H$2:$H$701,MATCH($A23&amp;"|"&amp;$B23&amp;"|later|Y|"&amp;$AI23,photos!$S$2:$S$701,0))="","",INDEX(photos!$H$2:$H$701,MATCH($A23&amp;"|"&amp;$B23&amp;"|later|Y|"&amp;$AI23,photos!$S$2:$S$701,0))),""))</f>
        <v/>
      </c>
      <c r="AI23" s="31" t="str">
        <f aca="false">IF($A23="","",IFERROR(1/(1/SUMPRODUCT(MAX((photos!$B$2:$B$701=$A23)*(photos!$C$2:$C$701=$B23)*(photos!$D$2:$D$701="later")*(photos!$O$2:$O$701="Y")*photos!$E$2:$E$701))),""))</f>
        <v/>
      </c>
      <c r="AJ23" s="30" t="str">
        <f aca="false">IF(OR($A23="",$AI23="",$I23=""),"",NETWORKDAYS($I23,$AI23,calendar!$A$2:$A$80))</f>
        <v/>
      </c>
      <c r="AK23" s="30" t="str">
        <f aca="false">IF($A23="","",IF(AND($X23&lt;&gt;"",$AH23&lt;&gt;""),"Y","N"))</f>
        <v/>
      </c>
      <c r="AL23" s="30" t="str">
        <f aca="true">IF(OR($A23="",$I23=""),"",IF($BC23="Y",SUMIFS(survey_frozen!$C$2:$C$251,survey_frozen!$P$2:$P$251,$A23&amp;"|"&amp;$B23),IFERROR(COUNTIFS(INDIRECT("'"&amp;$A23&amp;"'!$B$2:$B$501"),$T23,INDIRECT("'"&amp;$A23&amp;"'!$A$2:$A$501"),"&gt;="&amp;$I23,INDIRECT("'"&amp;$A23&amp;"'!$A$2:$A$501"),"&lt;"&amp;($BA23+1)),0)))</f>
        <v/>
      </c>
      <c r="AM23" s="30" t="str">
        <f aca="true">IF(OR($A23="",$I23=""),"",IF($BC23="Y",SUMIFS(survey_frozen!$D$2:$D$251,survey_frozen!$P$2:$P$251,$A23&amp;"|"&amp;$B23),IFERROR(COUNTIFS(INDIRECT("'"&amp;$A23&amp;"'!$B$2:$B$501"),$T23,INDIRECT("'"&amp;$A23&amp;"'!$A$2:$A$501"),"&gt;="&amp;$I23,INDIRECT("'"&amp;$A23&amp;"'!$A$2:$A$501"),"&lt;"&amp;($BA23+1),INDIRECT("'"&amp;$A23&amp;"'!$C$2:$C$501"),"Yes"),0)))</f>
        <v/>
      </c>
      <c r="AN23" s="30" t="str">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30" t="str">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str">
        <f aca="true">IF(OR($A23="",$I23=""),"",IF($BC23="Y",SUMIFS(survey_frozen!$E$2:$E$251,survey_frozen!$P$2:$P$251,$A23&amp;"|"&amp;$B23),IFERROR(COUNTIFS(INDIRECT("'"&amp;$A23&amp;"'!$B$2:$B$501"),$T23,INDIRECT("'"&amp;$A23&amp;"'!$A$2:$A$501"),"&gt;="&amp;$I23,INDIRECT("'"&amp;$A23&amp;"'!$A$2:$A$501"),"&lt;"&amp;($BA23+1),INDIRECT("'"&amp;$A23&amp;"'!$F$2:$F$501"),"Didn't see it"),0)))</f>
        <v/>
      </c>
      <c r="AR23" s="30" t="str">
        <f aca="true">IF(OR($A23="",$I23=""),"",IF($BC23="Y",SUMIFS(survey_frozen!$F$2:$F$251,survey_frozen!$P$2:$P$251,$A23&amp;"|"&amp;$B23),IFERROR(COUNTIFS(INDIRECT("'"&amp;$A23&amp;"'!$B$2:$B$501"),$T23,INDIRECT("'"&amp;$A23&amp;"'!$A$2:$A$501"),"&gt;="&amp;$I23,INDIRECT("'"&amp;$A23&amp;"'!$A$2:$A$501"),"&lt;"&amp;($BA23+1),INDIRECT("'"&amp;$A23&amp;"'!$F$2:$F$501"),"Not for me"),0)))</f>
        <v/>
      </c>
      <c r="AS23" s="30" t="str">
        <f aca="true">IF(OR($A23="",$I23=""),"",IF($BC23="Y",SUMIFS(survey_frozen!$G$2:$G$251,survey_frozen!$P$2:$P$251,$A23&amp;"|"&amp;$B23),IFERROR(COUNTIFS(INDIRECT("'"&amp;$A23&amp;"'!$B$2:$B$501"),$T23,INDIRECT("'"&amp;$A23&amp;"'!$A$2:$A$501"),"&gt;="&amp;$I23,INDIRECT("'"&amp;$A23&amp;"'!$A$2:$A$501"),"&lt;"&amp;($BA23+1),INDIRECT("'"&amp;$A23&amp;"'!$F$2:$F$501"),"Gone by the time I looked"),0)))</f>
        <v/>
      </c>
      <c r="AT23" s="30" t="str">
        <f aca="true">IF(OR($A23="",$I23=""),"",IF($BC23="Y",SUMIFS(survey_frozen!$H$2:$H$251,survey_frozen!$P$2:$P$251,$A23&amp;"|"&amp;$B23),IFERROR(COUNTIFS(INDIRECT("'"&amp;$A23&amp;"'!$B$2:$B$501"),$T23,INDIRECT("'"&amp;$A23&amp;"'!$A$2:$A$501"),"&gt;="&amp;$I23,INDIRECT("'"&amp;$A23&amp;"'!$A$2:$A$501"),"&lt;"&amp;($BA23+1),INDIRECT("'"&amp;$A23&amp;"'!$D$2:$D$501"),"&gt;=1"),0)))</f>
        <v/>
      </c>
      <c r="AU23" s="30" t="str">
        <f aca="true">IF(OR($A23="",$I23=""),"",IF($BC23="Y",SUMIFS(survey_frozen!$I$2:$I$251,survey_frozen!$P$2:$P$251,$A23&amp;"|"&amp;$B23),IFERROR(SUMIFS(INDIRECT("'"&amp;$A23&amp;"'!$D$2:$D$501"),INDIRECT("'"&amp;$A23&amp;"'!$B$2:$B$501"),$T23,INDIRECT("'"&amp;$A23&amp;"'!$A$2:$A$501"),"&gt;="&amp;$I23,INDIRECT("'"&amp;$A23&amp;"'!$A$2:$A$501"),"&lt;"&amp;($BA23+1)),0)))</f>
        <v/>
      </c>
      <c r="AV23" s="30" t="str">
        <f aca="true">IF(OR($A23="",$I23=""),"",IF($BC23="Y",SUMIFS(survey_frozen!$J$2:$J$251,survey_frozen!$P$2:$P$251,$A23&amp;"|"&amp;$B23),IFERROR(COUNTIFS(INDIRECT("'"&amp;$A23&amp;"'!$B$2:$B$501"),$T23,INDIRECT("'"&amp;$A23&amp;"'!$A$2:$A$501"),"&gt;="&amp;$I23,INDIRECT("'"&amp;$A23&amp;"'!$A$2:$A$501"),"&lt;"&amp;($BA23+1),INDIRECT("'"&amp;$A23&amp;"'!$E$2:$E$501"),"Yes"),0)))</f>
        <v/>
      </c>
      <c r="AW23" s="30" t="str">
        <f aca="true">IF(OR($A23="",$I23=""),"",IF($BC23="Y",SUMIFS(survey_frozen!$K$2:$K$251,survey_frozen!$P$2:$P$251,$A23&amp;"|"&amp;$B23),IFERROR(COUNTIFS(INDIRECT("'"&amp;$A23&amp;"'!$B$2:$B$501"),$T23,INDIRECT("'"&amp;$A23&amp;"'!$A$2:$A$501"),"&gt;="&amp;$I23,INDIRECT("'"&amp;$A23&amp;"'!$A$2:$A$501"),"&lt;"&amp;($BA23+1),INDIRECT("'"&amp;$A23&amp;"'!$E$2:$E$501"),"Maybe"),0)))</f>
        <v/>
      </c>
      <c r="AX23" s="30" t="str">
        <f aca="true">IF(OR($A23="",$I23=""),"",IF($BC23="Y",SUMIFS(survey_frozen!$L$2:$L$251,survey_frozen!$P$2:$P$251,$A23&amp;"|"&amp;$B23),IFERROR(COUNTIFS(INDIRECT("'"&amp;$A23&amp;"'!$B$2:$B$501"),$T23,INDIRECT("'"&amp;$A23&amp;"'!$A$2:$A$501"),"&gt;="&amp;$I23,INDIRECT("'"&amp;$A23&amp;"'!$A$2:$A$501"),"&lt;"&amp;($BA23+1),INDIRECT("'"&amp;$A23&amp;"'!$E$2:$E$501"),"No"),0)))</f>
        <v/>
      </c>
      <c r="AY23" s="30" t="str">
        <f aca="true">IF(OR($A23="",$I23=""),"",IF($BC23="Y",SUMIFS(survey_frozen!$M$2:$M$251,survey_frozen!$P$2:$P$251,$A23&amp;"|"&amp;$B23),IFERROR(COUNTIFS(INDIRECT("'"&amp;$A23&amp;"'!$B$2:$B$501"),$T23,INDIRECT("'"&amp;$A23&amp;"'!$A$2:$A$501"),"&gt;="&amp;$I23,INDIRECT("'"&amp;$A23&amp;"'!$A$2:$A$501"),"&lt;"&amp;($BA23+1),INDIRECT("'"&amp;$A23&amp;"'!$G$2:$G$501"),"&lt;&gt;"),0)))</f>
        <v/>
      </c>
      <c r="AZ23" s="30" t="str">
        <f aca="false">IF($A23="","",$A23&amp;"|"&amp;$L23)</f>
        <v/>
      </c>
      <c r="BA23" s="31" t="str">
        <f aca="false">IF($A23="","",IFERROR(IF(INDEX(drops!$R$2:$R$21,MATCH($H23,drops!$A$2:$A$21,0))="","",INDEX(drops!$R$2:$R$21,MATCH($H23,drops!$A$2:$A$21,0))),""))</f>
        <v/>
      </c>
      <c r="BB23" s="30" t="n">
        <f aca="false">IF(OR($A23="",$Q23&lt;&gt;"Y"),1000000,N($AL23))</f>
        <v>1000000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C24" s="11"/>
      <c r="D24" s="10"/>
      <c r="E24" s="11"/>
      <c r="H24" s="30" t="str">
        <f aca="false">IF($A24="","",IFERROR(IF(INDEX(campaigns!$B$2:$B$51,MATCH($A24,campaigns!$A$2:$A$51,0))="","",INDEX(campaigns!$B$2:$B$51,MATCH($A24,campaigns!$A$2:$A$51,0))),""))</f>
        <v/>
      </c>
      <c r="I24" s="31" t="str">
        <f aca="false">IF($A24="","",IFERROR(IF(INDEX(campaigns!$BG$2:$BG$51,MATCH($A24,campaigns!$A$2:$A$51,0))="","",INDEX(campaigns!$BG$2:$BG$51,MATCH($A24,campaigns!$A$2:$A$51,0))),""))</f>
        <v/>
      </c>
      <c r="J24" s="30" t="str">
        <f aca="false">IF($A24="","",IFERROR(IF(INDEX(campaigns!$BE$2:$BE$51,MATCH($A24,campaigns!$A$2:$A$51,0))="","",INDEX(campaigns!$BE$2:$BE$51,MATCH($A24,campaigns!$A$2:$A$51,0))),""))</f>
        <v/>
      </c>
      <c r="K24" s="30" t="str">
        <f aca="false">IF($B24="","",IFERROR(IF(INDEX(offices!$O$2:$O$61,MATCH($B24,offices!$A$2:$A$61,0))="","",INDEX(offices!$O$2:$O$61,MATCH($B24,offices!$A$2:$A$61,0))),""))</f>
        <v/>
      </c>
      <c r="L24" s="30" t="str">
        <f aca="false">IF($A24="","",IF($Q24="N","",COUNTIFS($A$2:$A24,$A24,$Q$2:$Q24,"&lt;&gt;N")))</f>
        <v/>
      </c>
      <c r="M24" s="30" t="str">
        <f aca="false">IF(OR($A24="",$L24=""),"",IF(AND(config!$B$34="names_if_public",IFERROR(IF(INDEX(offices!$AG$2:$AG$61,MATCH($B24,offices!$A$2:$A$61,0))="","",INDEX(offices!$AG$2:$AG$61,MATCH($B24,offices!$A$2:$A$61,0))),"")="Y"),$K24,CHAR(64+$L24)))</f>
        <v/>
      </c>
      <c r="N24" s="30" t="str">
        <f aca="false">IF(OR($A24="",$I24=""),"",COUNTIFS(stops!$B$2:$B$151,$B24,stops!$P$2:$P$151,"&lt;"&amp;$I24,stops!$L$2:$L$151,"&lt;&gt;not_delivered")+1)</f>
        <v/>
      </c>
      <c r="O24" s="30" t="str">
        <f aca="false">IF($A24="","",IF(N($N24)&lt;=config!$B$29,"explicit","opt-out"))</f>
        <v/>
      </c>
      <c r="P24" s="30" t="str">
        <f aca="false">IF($A24="","",IF($O24="explicit",IF($D24="yes","Y",IF($D24="no","N","pending")),IF($D24="no","N",IF(AND($C24&lt;&gt;"",$I24&lt;&gt;"",$C24&lt;=WORKDAY(N($I24),-5,calendar!$A$2:$A$80)),"Y","pending"))))</f>
        <v/>
      </c>
      <c r="Q24" s="30" t="str">
        <f aca="false">IF($A24="","",IF($P24="N","N",IF($P24&lt;&gt;"Y","pending",IF(AND((COUNTIFS(stops!$A$2:$A$151,$H24,stops!$B$2:$B$151,$B24,stops!$L$2:$L$151,"declined")+COUNTIFS(stops!$A$2:$A$151,$H24,stops!$B$2:$B$151,$B24,stops!$L$2:$L$151,"building_refused")+COUNTIFS(stops!$A$2:$A$151,$H24,stops!$B$2:$B$151,$B24,stops!$L$2:$L$151,"not_delivered"))&gt;0,N($U24)=0),"N","Y"))))</f>
        <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str">
        <f aca="false">IF($A24="","",IF($G24&lt;&gt;"",$G24,IFERROR(IF(INDEX(offices!$AM$2:$AM$61,MATCH($B24,offices!$A$2:$A$61,0))="","",INDEX(offices!$AM$2:$AM$61,MATCH($B24,offices!$A$2:$A$61,0))),"")))</f>
        <v/>
      </c>
      <c r="T24" s="30" t="str">
        <f aca="false">IF($A24="","",$A24&amp;"."&amp;$B24)</f>
        <v/>
      </c>
      <c r="U24" s="30" t="str">
        <f aca="false">IF($A24="","",SUMIFS(inventory!$G$2:$G$801,inventory!$C$2:$C$801,$A24,inventory!$D$2:$D$801,$B24,inventory!$E$2:$E$801,"delivered"))</f>
        <v/>
      </c>
      <c r="V24" s="37" t="str">
        <f aca="false">IF($A24="","",IFERROR(1/(1/SUMPRODUCT(MAX((inventory!$C$2:$C$801=$A24)*(inventory!$D$2:$D$801=$B24)*(inventory!$E$2:$E$801="delivered")*(inventory!$A$2:$A$801+inventory!$B$2:$B$801)))),""))</f>
        <v/>
      </c>
      <c r="W24" s="30" t="str">
        <f aca="false">IF($A24="","",IFERROR(IF(INDEX(inventory!$J$2:$J$801,MATCH($A24&amp;"|"&amp;$B24&amp;"|delivered",inventory!$R$2:$R$801,0))="","",INDEX(inventory!$J$2:$J$801,MATCH($A24&amp;"|"&amp;$B24&amp;"|delivered",inventory!$R$2:$R$801,0))),""))</f>
        <v/>
      </c>
      <c r="X24" s="30" t="str">
        <f aca="false">IF($A24="","",IFERROR(IF(INDEX(photos!$H$2:$H$701,MATCH($A24&amp;"|"&amp;$B24&amp;"|placement|Y",photos!$R$2:$R$701,0))="","",INDEX(photos!$H$2:$H$701,MATCH($A24&amp;"|"&amp;$B24&amp;"|placement|Y",photos!$R$2:$R$701,0))),""))</f>
        <v/>
      </c>
      <c r="Y24" s="31" t="str">
        <f aca="false">IF($A24="","",IFERROR(IF(INDEX(photos!$E$2:$E$701,MATCH($A24&amp;"|"&amp;$B24&amp;"|placement|Y",photos!$R$2:$R$701,0))="","",INDEX(photos!$E$2:$E$701,MATCH($A24&amp;"|"&amp;$B24&amp;"|placement|Y",photos!$R$2:$R$701,0))),""))</f>
        <v/>
      </c>
      <c r="Z24" s="30" t="str">
        <f aca="false">IF($A24="","",IF(COUNTIFS(counts!$C$2:$C$701,$A24,counts!$D$2:$D$701,$B24,counts!$E$2:$E$701,"placed")=0,"",SUMIFS(counts!$F$2:$F$701,counts!$C$2:$C$701,$A24,counts!$D$2:$D$701,$B24,counts!$E$2:$E$701,"placed")))</f>
        <v/>
      </c>
      <c r="AA24" s="30" t="str">
        <f aca="false">IF($A24="","",IF($Y24="",0,N($Z24)))</f>
        <v/>
      </c>
      <c r="AB24" s="30" t="str">
        <f aca="false">IF($A24="","",IF(OR($Y24="",$I24=""),"N",IF($Y24&lt;=WORKDAY(N($I24),1,calendar!$A$2:$A$80),"Y","N")))</f>
        <v/>
      </c>
      <c r="AC24" s="33" t="str">
        <f aca="false">IF(OR($A24="",$V24="",$Y24=""),"",ROUND(($Y24+N(IFERROR(IF(INDEX(photos!$F$2:$F$701,MATCH($A24&amp;"|"&amp;$B24&amp;"|placement|Y",photos!$R$2:$R$701,0))="","",INDEX(photos!$F$2:$F$701,MATCH($A24&amp;"|"&amp;$B24&amp;"|placement|Y",photos!$R$2:$R$701,0))),""))-$V24)*24,1))</f>
        <v/>
      </c>
      <c r="AD24" s="30" t="str">
        <f aca="false">IF($A24="","",SUMIFS(inventory!$G$2:$G$801,inventory!$C$2:$C$801,$A24,inventory!$D$2:$D$801,$B24,inventory!$E$2:$E$801,"topped_up"))</f>
        <v/>
      </c>
      <c r="AE24" s="30" t="str">
        <f aca="false">IF($A24="","",IF(COUNTIFS(counts!$C$2:$C$701,$A24,counts!$D$2:$D$701,$B24,counts!$E$2:$E$701,"remaining_day3")=0,"",SUMIFS(counts!$F$2:$F$701,counts!$C$2:$C$701,$A24,counts!$D$2:$D$701,$B24,counts!$E$2:$E$701,"remaining_day3")))</f>
        <v/>
      </c>
      <c r="AF24" s="30" t="str">
        <f aca="false">IF($A24="","",IF(COUNTIFS(counts!$C$2:$C$701,$A24,counts!$D$2:$D$701,$B24,counts!$E$2:$E$701,"remaining_day5")=0,"",SUMIFS(counts!$F$2:$F$701,counts!$C$2:$C$701,$A24,counts!$D$2:$D$701,$B24,counts!$E$2:$E$701,"remaining_day5")))</f>
        <v/>
      </c>
      <c r="AG24" s="30" t="str">
        <f aca="false">IF(OR($A24="",$AF24=""),"",MAX(0,$AA24+$AD24-$AF24))</f>
        <v/>
      </c>
      <c r="AH24" s="30" t="str">
        <f aca="false">IF(OR($A24="",$AI24=""),"",IFERROR(IF(INDEX(photos!$H$2:$H$701,MATCH($A24&amp;"|"&amp;$B24&amp;"|later|Y|"&amp;$AI24,photos!$S$2:$S$701,0))="","",INDEX(photos!$H$2:$H$701,MATCH($A24&amp;"|"&amp;$B24&amp;"|later|Y|"&amp;$AI24,photos!$S$2:$S$701,0))),""))</f>
        <v/>
      </c>
      <c r="AI24" s="31" t="str">
        <f aca="false">IF($A24="","",IFERROR(1/(1/SUMPRODUCT(MAX((photos!$B$2:$B$701=$A24)*(photos!$C$2:$C$701=$B24)*(photos!$D$2:$D$701="later")*(photos!$O$2:$O$701="Y")*photos!$E$2:$E$701))),""))</f>
        <v/>
      </c>
      <c r="AJ24" s="30" t="str">
        <f aca="false">IF(OR($A24="",$AI24="",$I24=""),"",NETWORKDAYS($I24,$AI24,calendar!$A$2:$A$80))</f>
        <v/>
      </c>
      <c r="AK24" s="30" t="str">
        <f aca="false">IF($A24="","",IF(AND($X24&lt;&gt;"",$AH24&lt;&gt;""),"Y","N"))</f>
        <v/>
      </c>
      <c r="AL24" s="30" t="str">
        <f aca="true">IF(OR($A24="",$I24=""),"",IF($BC24="Y",SUMIFS(survey_frozen!$C$2:$C$251,survey_frozen!$P$2:$P$251,$A24&amp;"|"&amp;$B24),IFERROR(COUNTIFS(INDIRECT("'"&amp;$A24&amp;"'!$B$2:$B$501"),$T24,INDIRECT("'"&amp;$A24&amp;"'!$A$2:$A$501"),"&gt;="&amp;$I24,INDIRECT("'"&amp;$A24&amp;"'!$A$2:$A$501"),"&lt;"&amp;($BA24+1)),0)))</f>
        <v/>
      </c>
      <c r="AM24" s="30" t="str">
        <f aca="true">IF(OR($A24="",$I24=""),"",IF($BC24="Y",SUMIFS(survey_frozen!$D$2:$D$251,survey_frozen!$P$2:$P$251,$A24&amp;"|"&amp;$B24),IFERROR(COUNTIFS(INDIRECT("'"&amp;$A24&amp;"'!$B$2:$B$501"),$T24,INDIRECT("'"&amp;$A24&amp;"'!$A$2:$A$501"),"&gt;="&amp;$I24,INDIRECT("'"&amp;$A24&amp;"'!$A$2:$A$501"),"&lt;"&amp;($BA24+1),INDIRECT("'"&amp;$A24&amp;"'!$C$2:$C$501"),"Yes"),0)))</f>
        <v/>
      </c>
      <c r="AN24" s="30" t="str">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30" t="str">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str">
        <f aca="true">IF(OR($A24="",$I24=""),"",IF($BC24="Y",SUMIFS(survey_frozen!$E$2:$E$251,survey_frozen!$P$2:$P$251,$A24&amp;"|"&amp;$B24),IFERROR(COUNTIFS(INDIRECT("'"&amp;$A24&amp;"'!$B$2:$B$501"),$T24,INDIRECT("'"&amp;$A24&amp;"'!$A$2:$A$501"),"&gt;="&amp;$I24,INDIRECT("'"&amp;$A24&amp;"'!$A$2:$A$501"),"&lt;"&amp;($BA24+1),INDIRECT("'"&amp;$A24&amp;"'!$F$2:$F$501"),"Didn't see it"),0)))</f>
        <v/>
      </c>
      <c r="AR24" s="30" t="str">
        <f aca="true">IF(OR($A24="",$I24=""),"",IF($BC24="Y",SUMIFS(survey_frozen!$F$2:$F$251,survey_frozen!$P$2:$P$251,$A24&amp;"|"&amp;$B24),IFERROR(COUNTIFS(INDIRECT("'"&amp;$A24&amp;"'!$B$2:$B$501"),$T24,INDIRECT("'"&amp;$A24&amp;"'!$A$2:$A$501"),"&gt;="&amp;$I24,INDIRECT("'"&amp;$A24&amp;"'!$A$2:$A$501"),"&lt;"&amp;($BA24+1),INDIRECT("'"&amp;$A24&amp;"'!$F$2:$F$501"),"Not for me"),0)))</f>
        <v/>
      </c>
      <c r="AS24" s="30" t="str">
        <f aca="true">IF(OR($A24="",$I24=""),"",IF($BC24="Y",SUMIFS(survey_frozen!$G$2:$G$251,survey_frozen!$P$2:$P$251,$A24&amp;"|"&amp;$B24),IFERROR(COUNTIFS(INDIRECT("'"&amp;$A24&amp;"'!$B$2:$B$501"),$T24,INDIRECT("'"&amp;$A24&amp;"'!$A$2:$A$501"),"&gt;="&amp;$I24,INDIRECT("'"&amp;$A24&amp;"'!$A$2:$A$501"),"&lt;"&amp;($BA24+1),INDIRECT("'"&amp;$A24&amp;"'!$F$2:$F$501"),"Gone by the time I looked"),0)))</f>
        <v/>
      </c>
      <c r="AT24" s="30" t="str">
        <f aca="true">IF(OR($A24="",$I24=""),"",IF($BC24="Y",SUMIFS(survey_frozen!$H$2:$H$251,survey_frozen!$P$2:$P$251,$A24&amp;"|"&amp;$B24),IFERROR(COUNTIFS(INDIRECT("'"&amp;$A24&amp;"'!$B$2:$B$501"),$T24,INDIRECT("'"&amp;$A24&amp;"'!$A$2:$A$501"),"&gt;="&amp;$I24,INDIRECT("'"&amp;$A24&amp;"'!$A$2:$A$501"),"&lt;"&amp;($BA24+1),INDIRECT("'"&amp;$A24&amp;"'!$D$2:$D$501"),"&gt;=1"),0)))</f>
        <v/>
      </c>
      <c r="AU24" s="30" t="str">
        <f aca="true">IF(OR($A24="",$I24=""),"",IF($BC24="Y",SUMIFS(survey_frozen!$I$2:$I$251,survey_frozen!$P$2:$P$251,$A24&amp;"|"&amp;$B24),IFERROR(SUMIFS(INDIRECT("'"&amp;$A24&amp;"'!$D$2:$D$501"),INDIRECT("'"&amp;$A24&amp;"'!$B$2:$B$501"),$T24,INDIRECT("'"&amp;$A24&amp;"'!$A$2:$A$501"),"&gt;="&amp;$I24,INDIRECT("'"&amp;$A24&amp;"'!$A$2:$A$501"),"&lt;"&amp;($BA24+1)),0)))</f>
        <v/>
      </c>
      <c r="AV24" s="30" t="str">
        <f aca="true">IF(OR($A24="",$I24=""),"",IF($BC24="Y",SUMIFS(survey_frozen!$J$2:$J$251,survey_frozen!$P$2:$P$251,$A24&amp;"|"&amp;$B24),IFERROR(COUNTIFS(INDIRECT("'"&amp;$A24&amp;"'!$B$2:$B$501"),$T24,INDIRECT("'"&amp;$A24&amp;"'!$A$2:$A$501"),"&gt;="&amp;$I24,INDIRECT("'"&amp;$A24&amp;"'!$A$2:$A$501"),"&lt;"&amp;($BA24+1),INDIRECT("'"&amp;$A24&amp;"'!$E$2:$E$501"),"Yes"),0)))</f>
        <v/>
      </c>
      <c r="AW24" s="30" t="str">
        <f aca="true">IF(OR($A24="",$I24=""),"",IF($BC24="Y",SUMIFS(survey_frozen!$K$2:$K$251,survey_frozen!$P$2:$P$251,$A24&amp;"|"&amp;$B24),IFERROR(COUNTIFS(INDIRECT("'"&amp;$A24&amp;"'!$B$2:$B$501"),$T24,INDIRECT("'"&amp;$A24&amp;"'!$A$2:$A$501"),"&gt;="&amp;$I24,INDIRECT("'"&amp;$A24&amp;"'!$A$2:$A$501"),"&lt;"&amp;($BA24+1),INDIRECT("'"&amp;$A24&amp;"'!$E$2:$E$501"),"Maybe"),0)))</f>
        <v/>
      </c>
      <c r="AX24" s="30" t="str">
        <f aca="true">IF(OR($A24="",$I24=""),"",IF($BC24="Y",SUMIFS(survey_frozen!$L$2:$L$251,survey_frozen!$P$2:$P$251,$A24&amp;"|"&amp;$B24),IFERROR(COUNTIFS(INDIRECT("'"&amp;$A24&amp;"'!$B$2:$B$501"),$T24,INDIRECT("'"&amp;$A24&amp;"'!$A$2:$A$501"),"&gt;="&amp;$I24,INDIRECT("'"&amp;$A24&amp;"'!$A$2:$A$501"),"&lt;"&amp;($BA24+1),INDIRECT("'"&amp;$A24&amp;"'!$E$2:$E$501"),"No"),0)))</f>
        <v/>
      </c>
      <c r="AY24" s="30" t="str">
        <f aca="true">IF(OR($A24="",$I24=""),"",IF($BC24="Y",SUMIFS(survey_frozen!$M$2:$M$251,survey_frozen!$P$2:$P$251,$A24&amp;"|"&amp;$B24),IFERROR(COUNTIFS(INDIRECT("'"&amp;$A24&amp;"'!$B$2:$B$501"),$T24,INDIRECT("'"&amp;$A24&amp;"'!$A$2:$A$501"),"&gt;="&amp;$I24,INDIRECT("'"&amp;$A24&amp;"'!$A$2:$A$501"),"&lt;"&amp;($BA24+1),INDIRECT("'"&amp;$A24&amp;"'!$G$2:$G$501"),"&lt;&gt;"),0)))</f>
        <v/>
      </c>
      <c r="AZ24" s="30" t="str">
        <f aca="false">IF($A24="","",$A24&amp;"|"&amp;$L24)</f>
        <v/>
      </c>
      <c r="BA24" s="31" t="str">
        <f aca="false">IF($A24="","",IFERROR(IF(INDEX(drops!$R$2:$R$21,MATCH($H24,drops!$A$2:$A$21,0))="","",INDEX(drops!$R$2:$R$21,MATCH($H24,drops!$A$2:$A$21,0))),""))</f>
        <v/>
      </c>
      <c r="BB24" s="30" t="n">
        <f aca="false">IF(OR($A24="",$Q24&lt;&gt;"Y"),1000000,N($AL24))</f>
        <v>1000000</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C25" s="11"/>
      <c r="D25" s="10"/>
      <c r="E25" s="11"/>
      <c r="H25" s="30" t="str">
        <f aca="false">IF($A25="","",IFERROR(IF(INDEX(campaigns!$B$2:$B$51,MATCH($A25,campaigns!$A$2:$A$51,0))="","",INDEX(campaigns!$B$2:$B$51,MATCH($A25,campaigns!$A$2:$A$51,0))),""))</f>
        <v/>
      </c>
      <c r="I25" s="31" t="str">
        <f aca="false">IF($A25="","",IFERROR(IF(INDEX(campaigns!$BG$2:$BG$51,MATCH($A25,campaigns!$A$2:$A$51,0))="","",INDEX(campaigns!$BG$2:$BG$51,MATCH($A25,campaigns!$A$2:$A$51,0))),""))</f>
        <v/>
      </c>
      <c r="J25" s="30" t="str">
        <f aca="false">IF($A25="","",IFERROR(IF(INDEX(campaigns!$BE$2:$BE$51,MATCH($A25,campaigns!$A$2:$A$51,0))="","",INDEX(campaigns!$BE$2:$BE$51,MATCH($A25,campaigns!$A$2:$A$51,0))),""))</f>
        <v/>
      </c>
      <c r="K25" s="30" t="str">
        <f aca="false">IF($B25="","",IFERROR(IF(INDEX(offices!$O$2:$O$61,MATCH($B25,offices!$A$2:$A$61,0))="","",INDEX(offices!$O$2:$O$61,MATCH($B25,offices!$A$2:$A$61,0))),""))</f>
        <v/>
      </c>
      <c r="L25" s="30" t="str">
        <f aca="false">IF($A25="","",IF($Q25="N","",COUNTIFS($A$2:$A25,$A25,$Q$2:$Q25,"&lt;&gt;N")))</f>
        <v/>
      </c>
      <c r="M25" s="30" t="str">
        <f aca="false">IF(OR($A25="",$L25=""),"",IF(AND(config!$B$34="names_if_public",IFERROR(IF(INDEX(offices!$AG$2:$AG$61,MATCH($B25,offices!$A$2:$A$61,0))="","",INDEX(offices!$AG$2:$AG$61,MATCH($B25,offices!$A$2:$A$61,0))),"")="Y"),$K25,CHAR(64+$L25)))</f>
        <v/>
      </c>
      <c r="N25" s="30" t="str">
        <f aca="false">IF(OR($A25="",$I25=""),"",COUNTIFS(stops!$B$2:$B$151,$B25,stops!$P$2:$P$151,"&lt;"&amp;$I25,stops!$L$2:$L$151,"&lt;&gt;not_delivered")+1)</f>
        <v/>
      </c>
      <c r="O25" s="30" t="str">
        <f aca="false">IF($A25="","",IF(N($N25)&lt;=config!$B$29,"explicit","opt-out"))</f>
        <v/>
      </c>
      <c r="P25" s="30" t="str">
        <f aca="false">IF($A25="","",IF($O25="explicit",IF($D25="yes","Y",IF($D25="no","N","pending")),IF($D25="no","N",IF(AND($C25&lt;&gt;"",$I25&lt;&gt;"",$C25&lt;=WORKDAY(N($I25),-5,calendar!$A$2:$A$80)),"Y","pending"))))</f>
        <v/>
      </c>
      <c r="Q25" s="30" t="str">
        <f aca="false">IF($A25="","",IF($P25="N","N",IF($P25&lt;&gt;"Y","pending",IF(AND((COUNTIFS(stops!$A$2:$A$151,$H25,stops!$B$2:$B$151,$B25,stops!$L$2:$L$151,"declined")+COUNTIFS(stops!$A$2:$A$151,$H25,stops!$B$2:$B$151,$B25,stops!$L$2:$L$151,"building_refused")+COUNTIFS(stops!$A$2:$A$151,$H25,stops!$B$2:$B$151,$B25,stops!$L$2:$L$151,"not_delivered"))&gt;0,N($U25)=0),"N","Y"))))</f>
        <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str">
        <f aca="false">IF($A25="","",IF($G25&lt;&gt;"",$G25,IFERROR(IF(INDEX(offices!$AM$2:$AM$61,MATCH($B25,offices!$A$2:$A$61,0))="","",INDEX(offices!$AM$2:$AM$61,MATCH($B25,offices!$A$2:$A$61,0))),"")))</f>
        <v/>
      </c>
      <c r="T25" s="30" t="str">
        <f aca="false">IF($A25="","",$A25&amp;"."&amp;$B25)</f>
        <v/>
      </c>
      <c r="U25" s="30" t="str">
        <f aca="false">IF($A25="","",SUMIFS(inventory!$G$2:$G$801,inventory!$C$2:$C$801,$A25,inventory!$D$2:$D$801,$B25,inventory!$E$2:$E$801,"delivered"))</f>
        <v/>
      </c>
      <c r="V25" s="37" t="str">
        <f aca="false">IF($A25="","",IFERROR(1/(1/SUMPRODUCT(MAX((inventory!$C$2:$C$801=$A25)*(inventory!$D$2:$D$801=$B25)*(inventory!$E$2:$E$801="delivered")*(inventory!$A$2:$A$801+inventory!$B$2:$B$801)))),""))</f>
        <v/>
      </c>
      <c r="W25" s="30" t="str">
        <f aca="false">IF($A25="","",IFERROR(IF(INDEX(inventory!$J$2:$J$801,MATCH($A25&amp;"|"&amp;$B25&amp;"|delivered",inventory!$R$2:$R$801,0))="","",INDEX(inventory!$J$2:$J$801,MATCH($A25&amp;"|"&amp;$B25&amp;"|delivered",inventory!$R$2:$R$801,0))),""))</f>
        <v/>
      </c>
      <c r="X25" s="30" t="str">
        <f aca="false">IF($A25="","",IFERROR(IF(INDEX(photos!$H$2:$H$701,MATCH($A25&amp;"|"&amp;$B25&amp;"|placement|Y",photos!$R$2:$R$701,0))="","",INDEX(photos!$H$2:$H$701,MATCH($A25&amp;"|"&amp;$B25&amp;"|placement|Y",photos!$R$2:$R$701,0))),""))</f>
        <v/>
      </c>
      <c r="Y25" s="31" t="str">
        <f aca="false">IF($A25="","",IFERROR(IF(INDEX(photos!$E$2:$E$701,MATCH($A25&amp;"|"&amp;$B25&amp;"|placement|Y",photos!$R$2:$R$701,0))="","",INDEX(photos!$E$2:$E$701,MATCH($A25&amp;"|"&amp;$B25&amp;"|placement|Y",photos!$R$2:$R$701,0))),""))</f>
        <v/>
      </c>
      <c r="Z25" s="30" t="str">
        <f aca="false">IF($A25="","",IF(COUNTIFS(counts!$C$2:$C$701,$A25,counts!$D$2:$D$701,$B25,counts!$E$2:$E$701,"placed")=0,"",SUMIFS(counts!$F$2:$F$701,counts!$C$2:$C$701,$A25,counts!$D$2:$D$701,$B25,counts!$E$2:$E$701,"placed")))</f>
        <v/>
      </c>
      <c r="AA25" s="30" t="str">
        <f aca="false">IF($A25="","",IF($Y25="",0,N($Z25)))</f>
        <v/>
      </c>
      <c r="AB25" s="30" t="str">
        <f aca="false">IF($A25="","",IF(OR($Y25="",$I25=""),"N",IF($Y25&lt;=WORKDAY(N($I25),1,calendar!$A$2:$A$80),"Y","N")))</f>
        <v/>
      </c>
      <c r="AC25" s="33" t="str">
        <f aca="false">IF(OR($A25="",$V25="",$Y25=""),"",ROUND(($Y25+N(IFERROR(IF(INDEX(photos!$F$2:$F$701,MATCH($A25&amp;"|"&amp;$B25&amp;"|placement|Y",photos!$R$2:$R$701,0))="","",INDEX(photos!$F$2:$F$701,MATCH($A25&amp;"|"&amp;$B25&amp;"|placement|Y",photos!$R$2:$R$701,0))),""))-$V25)*24,1))</f>
        <v/>
      </c>
      <c r="AD25" s="30" t="str">
        <f aca="false">IF($A25="","",SUMIFS(inventory!$G$2:$G$801,inventory!$C$2:$C$801,$A25,inventory!$D$2:$D$801,$B25,inventory!$E$2:$E$801,"topped_up"))</f>
        <v/>
      </c>
      <c r="AE25" s="30" t="str">
        <f aca="false">IF($A25="","",IF(COUNTIFS(counts!$C$2:$C$701,$A25,counts!$D$2:$D$701,$B25,counts!$E$2:$E$701,"remaining_day3")=0,"",SUMIFS(counts!$F$2:$F$701,counts!$C$2:$C$701,$A25,counts!$D$2:$D$701,$B25,counts!$E$2:$E$701,"remaining_day3")))</f>
        <v/>
      </c>
      <c r="AF25" s="30" t="str">
        <f aca="false">IF($A25="","",IF(COUNTIFS(counts!$C$2:$C$701,$A25,counts!$D$2:$D$701,$B25,counts!$E$2:$E$701,"remaining_day5")=0,"",SUMIFS(counts!$F$2:$F$701,counts!$C$2:$C$701,$A25,counts!$D$2:$D$701,$B25,counts!$E$2:$E$701,"remaining_day5")))</f>
        <v/>
      </c>
      <c r="AG25" s="30" t="str">
        <f aca="false">IF(OR($A25="",$AF25=""),"",MAX(0,$AA25+$AD25-$AF25))</f>
        <v/>
      </c>
      <c r="AH25" s="30" t="str">
        <f aca="false">IF(OR($A25="",$AI25=""),"",IFERROR(IF(INDEX(photos!$H$2:$H$701,MATCH($A25&amp;"|"&amp;$B25&amp;"|later|Y|"&amp;$AI25,photos!$S$2:$S$701,0))="","",INDEX(photos!$H$2:$H$701,MATCH($A25&amp;"|"&amp;$B25&amp;"|later|Y|"&amp;$AI25,photos!$S$2:$S$701,0))),""))</f>
        <v/>
      </c>
      <c r="AI25" s="31" t="str">
        <f aca="false">IF($A25="","",IFERROR(1/(1/SUMPRODUCT(MAX((photos!$B$2:$B$701=$A25)*(photos!$C$2:$C$701=$B25)*(photos!$D$2:$D$701="later")*(photos!$O$2:$O$701="Y")*photos!$E$2:$E$701))),""))</f>
        <v/>
      </c>
      <c r="AJ25" s="30" t="str">
        <f aca="false">IF(OR($A25="",$AI25="",$I25=""),"",NETWORKDAYS($I25,$AI25,calendar!$A$2:$A$80))</f>
        <v/>
      </c>
      <c r="AK25" s="30" t="str">
        <f aca="false">IF($A25="","",IF(AND($X25&lt;&gt;"",$AH25&lt;&gt;""),"Y","N"))</f>
        <v/>
      </c>
      <c r="AL25" s="30" t="str">
        <f aca="true">IF(OR($A25="",$I25=""),"",IF($BC25="Y",SUMIFS(survey_frozen!$C$2:$C$251,survey_frozen!$P$2:$P$251,$A25&amp;"|"&amp;$B25),IFERROR(COUNTIFS(INDIRECT("'"&amp;$A25&amp;"'!$B$2:$B$501"),$T25,INDIRECT("'"&amp;$A25&amp;"'!$A$2:$A$501"),"&gt;="&amp;$I25,INDIRECT("'"&amp;$A25&amp;"'!$A$2:$A$501"),"&lt;"&amp;($BA25+1)),0)))</f>
        <v/>
      </c>
      <c r="AM25" s="30" t="str">
        <f aca="true">IF(OR($A25="",$I25=""),"",IF($BC25="Y",SUMIFS(survey_frozen!$D$2:$D$251,survey_frozen!$P$2:$P$251,$A25&amp;"|"&amp;$B25),IFERROR(COUNTIFS(INDIRECT("'"&amp;$A25&amp;"'!$B$2:$B$501"),$T25,INDIRECT("'"&amp;$A25&amp;"'!$A$2:$A$501"),"&gt;="&amp;$I25,INDIRECT("'"&amp;$A25&amp;"'!$A$2:$A$501"),"&lt;"&amp;($BA25+1),INDIRECT("'"&amp;$A25&amp;"'!$C$2:$C$501"),"Yes"),0)))</f>
        <v/>
      </c>
      <c r="AN25" s="30" t="str">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30" t="str">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str">
        <f aca="true">IF(OR($A25="",$I25=""),"",IF($BC25="Y",SUMIFS(survey_frozen!$E$2:$E$251,survey_frozen!$P$2:$P$251,$A25&amp;"|"&amp;$B25),IFERROR(COUNTIFS(INDIRECT("'"&amp;$A25&amp;"'!$B$2:$B$501"),$T25,INDIRECT("'"&amp;$A25&amp;"'!$A$2:$A$501"),"&gt;="&amp;$I25,INDIRECT("'"&amp;$A25&amp;"'!$A$2:$A$501"),"&lt;"&amp;($BA25+1),INDIRECT("'"&amp;$A25&amp;"'!$F$2:$F$501"),"Didn't see it"),0)))</f>
        <v/>
      </c>
      <c r="AR25" s="30" t="str">
        <f aca="true">IF(OR($A25="",$I25=""),"",IF($BC25="Y",SUMIFS(survey_frozen!$F$2:$F$251,survey_frozen!$P$2:$P$251,$A25&amp;"|"&amp;$B25),IFERROR(COUNTIFS(INDIRECT("'"&amp;$A25&amp;"'!$B$2:$B$501"),$T25,INDIRECT("'"&amp;$A25&amp;"'!$A$2:$A$501"),"&gt;="&amp;$I25,INDIRECT("'"&amp;$A25&amp;"'!$A$2:$A$501"),"&lt;"&amp;($BA25+1),INDIRECT("'"&amp;$A25&amp;"'!$F$2:$F$501"),"Not for me"),0)))</f>
        <v/>
      </c>
      <c r="AS25" s="30" t="str">
        <f aca="true">IF(OR($A25="",$I25=""),"",IF($BC25="Y",SUMIFS(survey_frozen!$G$2:$G$251,survey_frozen!$P$2:$P$251,$A25&amp;"|"&amp;$B25),IFERROR(COUNTIFS(INDIRECT("'"&amp;$A25&amp;"'!$B$2:$B$501"),$T25,INDIRECT("'"&amp;$A25&amp;"'!$A$2:$A$501"),"&gt;="&amp;$I25,INDIRECT("'"&amp;$A25&amp;"'!$A$2:$A$501"),"&lt;"&amp;($BA25+1),INDIRECT("'"&amp;$A25&amp;"'!$F$2:$F$501"),"Gone by the time I looked"),0)))</f>
        <v/>
      </c>
      <c r="AT25" s="30" t="str">
        <f aca="true">IF(OR($A25="",$I25=""),"",IF($BC25="Y",SUMIFS(survey_frozen!$H$2:$H$251,survey_frozen!$P$2:$P$251,$A25&amp;"|"&amp;$B25),IFERROR(COUNTIFS(INDIRECT("'"&amp;$A25&amp;"'!$B$2:$B$501"),$T25,INDIRECT("'"&amp;$A25&amp;"'!$A$2:$A$501"),"&gt;="&amp;$I25,INDIRECT("'"&amp;$A25&amp;"'!$A$2:$A$501"),"&lt;"&amp;($BA25+1),INDIRECT("'"&amp;$A25&amp;"'!$D$2:$D$501"),"&gt;=1"),0)))</f>
        <v/>
      </c>
      <c r="AU25" s="30" t="str">
        <f aca="true">IF(OR($A25="",$I25=""),"",IF($BC25="Y",SUMIFS(survey_frozen!$I$2:$I$251,survey_frozen!$P$2:$P$251,$A25&amp;"|"&amp;$B25),IFERROR(SUMIFS(INDIRECT("'"&amp;$A25&amp;"'!$D$2:$D$501"),INDIRECT("'"&amp;$A25&amp;"'!$B$2:$B$501"),$T25,INDIRECT("'"&amp;$A25&amp;"'!$A$2:$A$501"),"&gt;="&amp;$I25,INDIRECT("'"&amp;$A25&amp;"'!$A$2:$A$501"),"&lt;"&amp;($BA25+1)),0)))</f>
        <v/>
      </c>
      <c r="AV25" s="30" t="str">
        <f aca="true">IF(OR($A25="",$I25=""),"",IF($BC25="Y",SUMIFS(survey_frozen!$J$2:$J$251,survey_frozen!$P$2:$P$251,$A25&amp;"|"&amp;$B25),IFERROR(COUNTIFS(INDIRECT("'"&amp;$A25&amp;"'!$B$2:$B$501"),$T25,INDIRECT("'"&amp;$A25&amp;"'!$A$2:$A$501"),"&gt;="&amp;$I25,INDIRECT("'"&amp;$A25&amp;"'!$A$2:$A$501"),"&lt;"&amp;($BA25+1),INDIRECT("'"&amp;$A25&amp;"'!$E$2:$E$501"),"Yes"),0)))</f>
        <v/>
      </c>
      <c r="AW25" s="30" t="str">
        <f aca="true">IF(OR($A25="",$I25=""),"",IF($BC25="Y",SUMIFS(survey_frozen!$K$2:$K$251,survey_frozen!$P$2:$P$251,$A25&amp;"|"&amp;$B25),IFERROR(COUNTIFS(INDIRECT("'"&amp;$A25&amp;"'!$B$2:$B$501"),$T25,INDIRECT("'"&amp;$A25&amp;"'!$A$2:$A$501"),"&gt;="&amp;$I25,INDIRECT("'"&amp;$A25&amp;"'!$A$2:$A$501"),"&lt;"&amp;($BA25+1),INDIRECT("'"&amp;$A25&amp;"'!$E$2:$E$501"),"Maybe"),0)))</f>
        <v/>
      </c>
      <c r="AX25" s="30" t="str">
        <f aca="true">IF(OR($A25="",$I25=""),"",IF($BC25="Y",SUMIFS(survey_frozen!$L$2:$L$251,survey_frozen!$P$2:$P$251,$A25&amp;"|"&amp;$B25),IFERROR(COUNTIFS(INDIRECT("'"&amp;$A25&amp;"'!$B$2:$B$501"),$T25,INDIRECT("'"&amp;$A25&amp;"'!$A$2:$A$501"),"&gt;="&amp;$I25,INDIRECT("'"&amp;$A25&amp;"'!$A$2:$A$501"),"&lt;"&amp;($BA25+1),INDIRECT("'"&amp;$A25&amp;"'!$E$2:$E$501"),"No"),0)))</f>
        <v/>
      </c>
      <c r="AY25" s="30" t="str">
        <f aca="true">IF(OR($A25="",$I25=""),"",IF($BC25="Y",SUMIFS(survey_frozen!$M$2:$M$251,survey_frozen!$P$2:$P$251,$A25&amp;"|"&amp;$B25),IFERROR(COUNTIFS(INDIRECT("'"&amp;$A25&amp;"'!$B$2:$B$501"),$T25,INDIRECT("'"&amp;$A25&amp;"'!$A$2:$A$501"),"&gt;="&amp;$I25,INDIRECT("'"&amp;$A25&amp;"'!$A$2:$A$501"),"&lt;"&amp;($BA25+1),INDIRECT("'"&amp;$A25&amp;"'!$G$2:$G$501"),"&lt;&gt;"),0)))</f>
        <v/>
      </c>
      <c r="AZ25" s="30" t="str">
        <f aca="false">IF($A25="","",$A25&amp;"|"&amp;$L25)</f>
        <v/>
      </c>
      <c r="BA25" s="31" t="str">
        <f aca="false">IF($A25="","",IFERROR(IF(INDEX(drops!$R$2:$R$21,MATCH($H25,drops!$A$2:$A$21,0))="","",INDEX(drops!$R$2:$R$21,MATCH($H25,drops!$A$2:$A$21,0))),""))</f>
        <v/>
      </c>
      <c r="BB25" s="30" t="n">
        <f aca="false">IF(OR($A25="",$Q25&lt;&gt;"Y"),1000000,N($AL25))</f>
        <v>1000000</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C26" s="11"/>
      <c r="D26" s="10"/>
      <c r="E26" s="11"/>
      <c r="H26" s="30" t="str">
        <f aca="false">IF($A26="","",IFERROR(IF(INDEX(campaigns!$B$2:$B$51,MATCH($A26,campaigns!$A$2:$A$51,0))="","",INDEX(campaigns!$B$2:$B$51,MATCH($A26,campaigns!$A$2:$A$51,0))),""))</f>
        <v/>
      </c>
      <c r="I26" s="31" t="str">
        <f aca="false">IF($A26="","",IFERROR(IF(INDEX(campaigns!$BG$2:$BG$51,MATCH($A26,campaigns!$A$2:$A$51,0))="","",INDEX(campaigns!$BG$2:$BG$51,MATCH($A26,campaigns!$A$2:$A$51,0))),""))</f>
        <v/>
      </c>
      <c r="J26" s="30" t="str">
        <f aca="false">IF($A26="","",IFERROR(IF(INDEX(campaigns!$BE$2:$BE$51,MATCH($A26,campaigns!$A$2:$A$51,0))="","",INDEX(campaigns!$BE$2:$BE$51,MATCH($A26,campaigns!$A$2:$A$51,0))),""))</f>
        <v/>
      </c>
      <c r="K26" s="30" t="str">
        <f aca="false">IF($B26="","",IFERROR(IF(INDEX(offices!$O$2:$O$61,MATCH($B26,offices!$A$2:$A$61,0))="","",INDEX(offices!$O$2:$O$61,MATCH($B26,offices!$A$2:$A$61,0))),""))</f>
        <v/>
      </c>
      <c r="L26" s="30" t="str">
        <f aca="false">IF($A26="","",IF($Q26="N","",COUNTIFS($A$2:$A26,$A26,$Q$2:$Q26,"&lt;&gt;N")))</f>
        <v/>
      </c>
      <c r="M26" s="30" t="str">
        <f aca="false">IF(OR($A26="",$L26=""),"",IF(AND(config!$B$34="names_if_public",IFERROR(IF(INDEX(offices!$AG$2:$AG$61,MATCH($B26,offices!$A$2:$A$61,0))="","",INDEX(offices!$AG$2:$AG$61,MATCH($B26,offices!$A$2:$A$61,0))),"")="Y"),$K26,CHAR(64+$L26)))</f>
        <v/>
      </c>
      <c r="N26" s="30" t="str">
        <f aca="false">IF(OR($A26="",$I26=""),"",COUNTIFS(stops!$B$2:$B$151,$B26,stops!$P$2:$P$151,"&lt;"&amp;$I26,stops!$L$2:$L$151,"&lt;&gt;not_delivered")+1)</f>
        <v/>
      </c>
      <c r="O26" s="30" t="str">
        <f aca="false">IF($A26="","",IF(N($N26)&lt;=config!$B$29,"explicit","opt-out"))</f>
        <v/>
      </c>
      <c r="P26" s="30" t="str">
        <f aca="false">IF($A26="","",IF($O26="explicit",IF($D26="yes","Y",IF($D26="no","N","pending")),IF($D26="no","N",IF(AND($C26&lt;&gt;"",$I26&lt;&gt;"",$C26&lt;=WORKDAY(N($I26),-5,calendar!$A$2:$A$80)),"Y","pending"))))</f>
        <v/>
      </c>
      <c r="Q26" s="30" t="str">
        <f aca="false">IF($A26="","",IF($P26="N","N",IF($P26&lt;&gt;"Y","pending",IF(AND((COUNTIFS(stops!$A$2:$A$151,$H26,stops!$B$2:$B$151,$B26,stops!$L$2:$L$151,"declined")+COUNTIFS(stops!$A$2:$A$151,$H26,stops!$B$2:$B$151,$B26,stops!$L$2:$L$151,"building_refused")+COUNTIFS(stops!$A$2:$A$151,$H26,stops!$B$2:$B$151,$B26,stops!$L$2:$L$151,"not_delivered"))&gt;0,N($U26)=0),"N","Y"))))</f>
        <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str">
        <f aca="false">IF($A26="","",IF($G26&lt;&gt;"",$G26,IFERROR(IF(INDEX(offices!$AM$2:$AM$61,MATCH($B26,offices!$A$2:$A$61,0))="","",INDEX(offices!$AM$2:$AM$61,MATCH($B26,offices!$A$2:$A$61,0))),"")))</f>
        <v/>
      </c>
      <c r="T26" s="30" t="str">
        <f aca="false">IF($A26="","",$A26&amp;"."&amp;$B26)</f>
        <v/>
      </c>
      <c r="U26" s="30" t="str">
        <f aca="false">IF($A26="","",SUMIFS(inventory!$G$2:$G$801,inventory!$C$2:$C$801,$A26,inventory!$D$2:$D$801,$B26,inventory!$E$2:$E$801,"delivered"))</f>
        <v/>
      </c>
      <c r="V26" s="37" t="str">
        <f aca="false">IF($A26="","",IFERROR(1/(1/SUMPRODUCT(MAX((inventory!$C$2:$C$801=$A26)*(inventory!$D$2:$D$801=$B26)*(inventory!$E$2:$E$801="delivered")*(inventory!$A$2:$A$801+inventory!$B$2:$B$801)))),""))</f>
        <v/>
      </c>
      <c r="W26" s="30" t="str">
        <f aca="false">IF($A26="","",IFERROR(IF(INDEX(inventory!$J$2:$J$801,MATCH($A26&amp;"|"&amp;$B26&amp;"|delivered",inventory!$R$2:$R$801,0))="","",INDEX(inventory!$J$2:$J$801,MATCH($A26&amp;"|"&amp;$B26&amp;"|delivered",inventory!$R$2:$R$801,0))),""))</f>
        <v/>
      </c>
      <c r="X26" s="30" t="str">
        <f aca="false">IF($A26="","",IFERROR(IF(INDEX(photos!$H$2:$H$701,MATCH($A26&amp;"|"&amp;$B26&amp;"|placement|Y",photos!$R$2:$R$701,0))="","",INDEX(photos!$H$2:$H$701,MATCH($A26&amp;"|"&amp;$B26&amp;"|placement|Y",photos!$R$2:$R$701,0))),""))</f>
        <v/>
      </c>
      <c r="Y26" s="31" t="str">
        <f aca="false">IF($A26="","",IFERROR(IF(INDEX(photos!$E$2:$E$701,MATCH($A26&amp;"|"&amp;$B26&amp;"|placement|Y",photos!$R$2:$R$701,0))="","",INDEX(photos!$E$2:$E$701,MATCH($A26&amp;"|"&amp;$B26&amp;"|placement|Y",photos!$R$2:$R$701,0))),""))</f>
        <v/>
      </c>
      <c r="Z26" s="30" t="str">
        <f aca="false">IF($A26="","",IF(COUNTIFS(counts!$C$2:$C$701,$A26,counts!$D$2:$D$701,$B26,counts!$E$2:$E$701,"placed")=0,"",SUMIFS(counts!$F$2:$F$701,counts!$C$2:$C$701,$A26,counts!$D$2:$D$701,$B26,counts!$E$2:$E$701,"placed")))</f>
        <v/>
      </c>
      <c r="AA26" s="30" t="str">
        <f aca="false">IF($A26="","",IF($Y26="",0,N($Z26)))</f>
        <v/>
      </c>
      <c r="AB26" s="30" t="str">
        <f aca="false">IF($A26="","",IF(OR($Y26="",$I26=""),"N",IF($Y26&lt;=WORKDAY(N($I26),1,calendar!$A$2:$A$80),"Y","N")))</f>
        <v/>
      </c>
      <c r="AC26" s="33" t="str">
        <f aca="false">IF(OR($A26="",$V26="",$Y26=""),"",ROUND(($Y26+N(IFERROR(IF(INDEX(photos!$F$2:$F$701,MATCH($A26&amp;"|"&amp;$B26&amp;"|placement|Y",photos!$R$2:$R$701,0))="","",INDEX(photos!$F$2:$F$701,MATCH($A26&amp;"|"&amp;$B26&amp;"|placement|Y",photos!$R$2:$R$701,0))),""))-$V26)*24,1))</f>
        <v/>
      </c>
      <c r="AD26" s="30" t="str">
        <f aca="false">IF($A26="","",SUMIFS(inventory!$G$2:$G$801,inventory!$C$2:$C$801,$A26,inventory!$D$2:$D$801,$B26,inventory!$E$2:$E$801,"topped_up"))</f>
        <v/>
      </c>
      <c r="AE26" s="30" t="str">
        <f aca="false">IF($A26="","",IF(COUNTIFS(counts!$C$2:$C$701,$A26,counts!$D$2:$D$701,$B26,counts!$E$2:$E$701,"remaining_day3")=0,"",SUMIFS(counts!$F$2:$F$701,counts!$C$2:$C$701,$A26,counts!$D$2:$D$701,$B26,counts!$E$2:$E$701,"remaining_day3")))</f>
        <v/>
      </c>
      <c r="AF26" s="30" t="str">
        <f aca="false">IF($A26="","",IF(COUNTIFS(counts!$C$2:$C$701,$A26,counts!$D$2:$D$701,$B26,counts!$E$2:$E$701,"remaining_day5")=0,"",SUMIFS(counts!$F$2:$F$701,counts!$C$2:$C$701,$A26,counts!$D$2:$D$701,$B26,counts!$E$2:$E$701,"remaining_day5")))</f>
        <v/>
      </c>
      <c r="AG26" s="30" t="str">
        <f aca="false">IF(OR($A26="",$AF26=""),"",MAX(0,$AA26+$AD26-$AF26))</f>
        <v/>
      </c>
      <c r="AH26" s="30" t="str">
        <f aca="false">IF(OR($A26="",$AI26=""),"",IFERROR(IF(INDEX(photos!$H$2:$H$701,MATCH($A26&amp;"|"&amp;$B26&amp;"|later|Y|"&amp;$AI26,photos!$S$2:$S$701,0))="","",INDEX(photos!$H$2:$H$701,MATCH($A26&amp;"|"&amp;$B26&amp;"|later|Y|"&amp;$AI26,photos!$S$2:$S$701,0))),""))</f>
        <v/>
      </c>
      <c r="AI26" s="31" t="str">
        <f aca="false">IF($A26="","",IFERROR(1/(1/SUMPRODUCT(MAX((photos!$B$2:$B$701=$A26)*(photos!$C$2:$C$701=$B26)*(photos!$D$2:$D$701="later")*(photos!$O$2:$O$701="Y")*photos!$E$2:$E$701))),""))</f>
        <v/>
      </c>
      <c r="AJ26" s="30" t="str">
        <f aca="false">IF(OR($A26="",$AI26="",$I26=""),"",NETWORKDAYS($I26,$AI26,calendar!$A$2:$A$80))</f>
        <v/>
      </c>
      <c r="AK26" s="30" t="str">
        <f aca="false">IF($A26="","",IF(AND($X26&lt;&gt;"",$AH26&lt;&gt;""),"Y","N"))</f>
        <v/>
      </c>
      <c r="AL26" s="30" t="str">
        <f aca="true">IF(OR($A26="",$I26=""),"",IF($BC26="Y",SUMIFS(survey_frozen!$C$2:$C$251,survey_frozen!$P$2:$P$251,$A26&amp;"|"&amp;$B26),IFERROR(COUNTIFS(INDIRECT("'"&amp;$A26&amp;"'!$B$2:$B$501"),$T26,INDIRECT("'"&amp;$A26&amp;"'!$A$2:$A$501"),"&gt;="&amp;$I26,INDIRECT("'"&amp;$A26&amp;"'!$A$2:$A$501"),"&lt;"&amp;($BA26+1)),0)))</f>
        <v/>
      </c>
      <c r="AM26" s="30" t="str">
        <f aca="true">IF(OR($A26="",$I26=""),"",IF($BC26="Y",SUMIFS(survey_frozen!$D$2:$D$251,survey_frozen!$P$2:$P$251,$A26&amp;"|"&amp;$B26),IFERROR(COUNTIFS(INDIRECT("'"&amp;$A26&amp;"'!$B$2:$B$501"),$T26,INDIRECT("'"&amp;$A26&amp;"'!$A$2:$A$501"),"&gt;="&amp;$I26,INDIRECT("'"&amp;$A26&amp;"'!$A$2:$A$501"),"&lt;"&amp;($BA26+1),INDIRECT("'"&amp;$A26&amp;"'!$C$2:$C$501"),"Yes"),0)))</f>
        <v/>
      </c>
      <c r="AN26" s="30" t="str">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30" t="str">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str">
        <f aca="true">IF(OR($A26="",$I26=""),"",IF($BC26="Y",SUMIFS(survey_frozen!$E$2:$E$251,survey_frozen!$P$2:$P$251,$A26&amp;"|"&amp;$B26),IFERROR(COUNTIFS(INDIRECT("'"&amp;$A26&amp;"'!$B$2:$B$501"),$T26,INDIRECT("'"&amp;$A26&amp;"'!$A$2:$A$501"),"&gt;="&amp;$I26,INDIRECT("'"&amp;$A26&amp;"'!$A$2:$A$501"),"&lt;"&amp;($BA26+1),INDIRECT("'"&amp;$A26&amp;"'!$F$2:$F$501"),"Didn't see it"),0)))</f>
        <v/>
      </c>
      <c r="AR26" s="30" t="str">
        <f aca="true">IF(OR($A26="",$I26=""),"",IF($BC26="Y",SUMIFS(survey_frozen!$F$2:$F$251,survey_frozen!$P$2:$P$251,$A26&amp;"|"&amp;$B26),IFERROR(COUNTIFS(INDIRECT("'"&amp;$A26&amp;"'!$B$2:$B$501"),$T26,INDIRECT("'"&amp;$A26&amp;"'!$A$2:$A$501"),"&gt;="&amp;$I26,INDIRECT("'"&amp;$A26&amp;"'!$A$2:$A$501"),"&lt;"&amp;($BA26+1),INDIRECT("'"&amp;$A26&amp;"'!$F$2:$F$501"),"Not for me"),0)))</f>
        <v/>
      </c>
      <c r="AS26" s="30" t="str">
        <f aca="true">IF(OR($A26="",$I26=""),"",IF($BC26="Y",SUMIFS(survey_frozen!$G$2:$G$251,survey_frozen!$P$2:$P$251,$A26&amp;"|"&amp;$B26),IFERROR(COUNTIFS(INDIRECT("'"&amp;$A26&amp;"'!$B$2:$B$501"),$T26,INDIRECT("'"&amp;$A26&amp;"'!$A$2:$A$501"),"&gt;="&amp;$I26,INDIRECT("'"&amp;$A26&amp;"'!$A$2:$A$501"),"&lt;"&amp;($BA26+1),INDIRECT("'"&amp;$A26&amp;"'!$F$2:$F$501"),"Gone by the time I looked"),0)))</f>
        <v/>
      </c>
      <c r="AT26" s="30" t="str">
        <f aca="true">IF(OR($A26="",$I26=""),"",IF($BC26="Y",SUMIFS(survey_frozen!$H$2:$H$251,survey_frozen!$P$2:$P$251,$A26&amp;"|"&amp;$B26),IFERROR(COUNTIFS(INDIRECT("'"&amp;$A26&amp;"'!$B$2:$B$501"),$T26,INDIRECT("'"&amp;$A26&amp;"'!$A$2:$A$501"),"&gt;="&amp;$I26,INDIRECT("'"&amp;$A26&amp;"'!$A$2:$A$501"),"&lt;"&amp;($BA26+1),INDIRECT("'"&amp;$A26&amp;"'!$D$2:$D$501"),"&gt;=1"),0)))</f>
        <v/>
      </c>
      <c r="AU26" s="30" t="str">
        <f aca="true">IF(OR($A26="",$I26=""),"",IF($BC26="Y",SUMIFS(survey_frozen!$I$2:$I$251,survey_frozen!$P$2:$P$251,$A26&amp;"|"&amp;$B26),IFERROR(SUMIFS(INDIRECT("'"&amp;$A26&amp;"'!$D$2:$D$501"),INDIRECT("'"&amp;$A26&amp;"'!$B$2:$B$501"),$T26,INDIRECT("'"&amp;$A26&amp;"'!$A$2:$A$501"),"&gt;="&amp;$I26,INDIRECT("'"&amp;$A26&amp;"'!$A$2:$A$501"),"&lt;"&amp;($BA26+1)),0)))</f>
        <v/>
      </c>
      <c r="AV26" s="30" t="str">
        <f aca="true">IF(OR($A26="",$I26=""),"",IF($BC26="Y",SUMIFS(survey_frozen!$J$2:$J$251,survey_frozen!$P$2:$P$251,$A26&amp;"|"&amp;$B26),IFERROR(COUNTIFS(INDIRECT("'"&amp;$A26&amp;"'!$B$2:$B$501"),$T26,INDIRECT("'"&amp;$A26&amp;"'!$A$2:$A$501"),"&gt;="&amp;$I26,INDIRECT("'"&amp;$A26&amp;"'!$A$2:$A$501"),"&lt;"&amp;($BA26+1),INDIRECT("'"&amp;$A26&amp;"'!$E$2:$E$501"),"Yes"),0)))</f>
        <v/>
      </c>
      <c r="AW26" s="30" t="str">
        <f aca="true">IF(OR($A26="",$I26=""),"",IF($BC26="Y",SUMIFS(survey_frozen!$K$2:$K$251,survey_frozen!$P$2:$P$251,$A26&amp;"|"&amp;$B26),IFERROR(COUNTIFS(INDIRECT("'"&amp;$A26&amp;"'!$B$2:$B$501"),$T26,INDIRECT("'"&amp;$A26&amp;"'!$A$2:$A$501"),"&gt;="&amp;$I26,INDIRECT("'"&amp;$A26&amp;"'!$A$2:$A$501"),"&lt;"&amp;($BA26+1),INDIRECT("'"&amp;$A26&amp;"'!$E$2:$E$501"),"Maybe"),0)))</f>
        <v/>
      </c>
      <c r="AX26" s="30" t="str">
        <f aca="true">IF(OR($A26="",$I26=""),"",IF($BC26="Y",SUMIFS(survey_frozen!$L$2:$L$251,survey_frozen!$P$2:$P$251,$A26&amp;"|"&amp;$B26),IFERROR(COUNTIFS(INDIRECT("'"&amp;$A26&amp;"'!$B$2:$B$501"),$T26,INDIRECT("'"&amp;$A26&amp;"'!$A$2:$A$501"),"&gt;="&amp;$I26,INDIRECT("'"&amp;$A26&amp;"'!$A$2:$A$501"),"&lt;"&amp;($BA26+1),INDIRECT("'"&amp;$A26&amp;"'!$E$2:$E$501"),"No"),0)))</f>
        <v/>
      </c>
      <c r="AY26" s="30" t="str">
        <f aca="true">IF(OR($A26="",$I26=""),"",IF($BC26="Y",SUMIFS(survey_frozen!$M$2:$M$251,survey_frozen!$P$2:$P$251,$A26&amp;"|"&amp;$B26),IFERROR(COUNTIFS(INDIRECT("'"&amp;$A26&amp;"'!$B$2:$B$501"),$T26,INDIRECT("'"&amp;$A26&amp;"'!$A$2:$A$501"),"&gt;="&amp;$I26,INDIRECT("'"&amp;$A26&amp;"'!$A$2:$A$501"),"&lt;"&amp;($BA26+1),INDIRECT("'"&amp;$A26&amp;"'!$G$2:$G$501"),"&lt;&gt;"),0)))</f>
        <v/>
      </c>
      <c r="AZ26" s="30" t="str">
        <f aca="false">IF($A26="","",$A26&amp;"|"&amp;$L26)</f>
        <v/>
      </c>
      <c r="BA26" s="31" t="str">
        <f aca="false">IF($A26="","",IFERROR(IF(INDEX(drops!$R$2:$R$21,MATCH($H26,drops!$A$2:$A$21,0))="","",INDEX(drops!$R$2:$R$21,MATCH($H26,drops!$A$2:$A$21,0))),""))</f>
        <v/>
      </c>
      <c r="BB26" s="30" t="n">
        <f aca="false">IF(OR($A26="",$Q26&lt;&gt;"Y"),1000000,N($AL26))</f>
        <v>1000000</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C27" s="11"/>
      <c r="D27" s="10"/>
      <c r="E27" s="11"/>
      <c r="H27" s="30" t="str">
        <f aca="false">IF($A27="","",IFERROR(IF(INDEX(campaigns!$B$2:$B$51,MATCH($A27,campaigns!$A$2:$A$51,0))="","",INDEX(campaigns!$B$2:$B$51,MATCH($A27,campaigns!$A$2:$A$51,0))),""))</f>
        <v/>
      </c>
      <c r="I27" s="31" t="str">
        <f aca="false">IF($A27="","",IFERROR(IF(INDEX(campaigns!$BG$2:$BG$51,MATCH($A27,campaigns!$A$2:$A$51,0))="","",INDEX(campaigns!$BG$2:$BG$51,MATCH($A27,campaigns!$A$2:$A$51,0))),""))</f>
        <v/>
      </c>
      <c r="J27" s="30" t="str">
        <f aca="false">IF($A27="","",IFERROR(IF(INDEX(campaigns!$BE$2:$BE$51,MATCH($A27,campaigns!$A$2:$A$51,0))="","",INDEX(campaigns!$BE$2:$BE$51,MATCH($A27,campaigns!$A$2:$A$51,0))),""))</f>
        <v/>
      </c>
      <c r="K27" s="30" t="str">
        <f aca="false">IF($B27="","",IFERROR(IF(INDEX(offices!$O$2:$O$61,MATCH($B27,offices!$A$2:$A$61,0))="","",INDEX(offices!$O$2:$O$61,MATCH($B27,offices!$A$2:$A$61,0))),""))</f>
        <v/>
      </c>
      <c r="L27" s="30" t="str">
        <f aca="false">IF($A27="","",IF($Q27="N","",COUNTIFS($A$2:$A27,$A27,$Q$2:$Q27,"&lt;&gt;N")))</f>
        <v/>
      </c>
      <c r="M27" s="30" t="str">
        <f aca="false">IF(OR($A27="",$L27=""),"",IF(AND(config!$B$34="names_if_public",IFERROR(IF(INDEX(offices!$AG$2:$AG$61,MATCH($B27,offices!$A$2:$A$61,0))="","",INDEX(offices!$AG$2:$AG$61,MATCH($B27,offices!$A$2:$A$61,0))),"")="Y"),$K27,CHAR(64+$L27)))</f>
        <v/>
      </c>
      <c r="N27" s="30" t="str">
        <f aca="false">IF(OR($A27="",$I27=""),"",COUNTIFS(stops!$B$2:$B$151,$B27,stops!$P$2:$P$151,"&lt;"&amp;$I27,stops!$L$2:$L$151,"&lt;&gt;not_delivered")+1)</f>
        <v/>
      </c>
      <c r="O27" s="30" t="str">
        <f aca="false">IF($A27="","",IF(N($N27)&lt;=config!$B$29,"explicit","opt-out"))</f>
        <v/>
      </c>
      <c r="P27" s="30" t="str">
        <f aca="false">IF($A27="","",IF($O27="explicit",IF($D27="yes","Y",IF($D27="no","N","pending")),IF($D27="no","N",IF(AND($C27&lt;&gt;"",$I27&lt;&gt;"",$C27&lt;=WORKDAY(N($I27),-5,calendar!$A$2:$A$80)),"Y","pending"))))</f>
        <v/>
      </c>
      <c r="Q27" s="30" t="str">
        <f aca="false">IF($A27="","",IF($P27="N","N",IF($P27&lt;&gt;"Y","pending",IF(AND((COUNTIFS(stops!$A$2:$A$151,$H27,stops!$B$2:$B$151,$B27,stops!$L$2:$L$151,"declined")+COUNTIFS(stops!$A$2:$A$151,$H27,stops!$B$2:$B$151,$B27,stops!$L$2:$L$151,"building_refused")+COUNTIFS(stops!$A$2:$A$151,$H27,stops!$B$2:$B$151,$B27,stops!$L$2:$L$151,"not_delivered"))&gt;0,N($U27)=0),"N","Y"))))</f>
        <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str">
        <f aca="false">IF($A27="","",IF($G27&lt;&gt;"",$G27,IFERROR(IF(INDEX(offices!$AM$2:$AM$61,MATCH($B27,offices!$A$2:$A$61,0))="","",INDEX(offices!$AM$2:$AM$61,MATCH($B27,offices!$A$2:$A$61,0))),"")))</f>
        <v/>
      </c>
      <c r="T27" s="30" t="str">
        <f aca="false">IF($A27="","",$A27&amp;"."&amp;$B27)</f>
        <v/>
      </c>
      <c r="U27" s="30" t="str">
        <f aca="false">IF($A27="","",SUMIFS(inventory!$G$2:$G$801,inventory!$C$2:$C$801,$A27,inventory!$D$2:$D$801,$B27,inventory!$E$2:$E$801,"delivered"))</f>
        <v/>
      </c>
      <c r="V27" s="37" t="str">
        <f aca="false">IF($A27="","",IFERROR(1/(1/SUMPRODUCT(MAX((inventory!$C$2:$C$801=$A27)*(inventory!$D$2:$D$801=$B27)*(inventory!$E$2:$E$801="delivered")*(inventory!$A$2:$A$801+inventory!$B$2:$B$801)))),""))</f>
        <v/>
      </c>
      <c r="W27" s="30" t="str">
        <f aca="false">IF($A27="","",IFERROR(IF(INDEX(inventory!$J$2:$J$801,MATCH($A27&amp;"|"&amp;$B27&amp;"|delivered",inventory!$R$2:$R$801,0))="","",INDEX(inventory!$J$2:$J$801,MATCH($A27&amp;"|"&amp;$B27&amp;"|delivered",inventory!$R$2:$R$801,0))),""))</f>
        <v/>
      </c>
      <c r="X27" s="30" t="str">
        <f aca="false">IF($A27="","",IFERROR(IF(INDEX(photos!$H$2:$H$701,MATCH($A27&amp;"|"&amp;$B27&amp;"|placement|Y",photos!$R$2:$R$701,0))="","",INDEX(photos!$H$2:$H$701,MATCH($A27&amp;"|"&amp;$B27&amp;"|placement|Y",photos!$R$2:$R$701,0))),""))</f>
        <v/>
      </c>
      <c r="Y27" s="31" t="str">
        <f aca="false">IF($A27="","",IFERROR(IF(INDEX(photos!$E$2:$E$701,MATCH($A27&amp;"|"&amp;$B27&amp;"|placement|Y",photos!$R$2:$R$701,0))="","",INDEX(photos!$E$2:$E$701,MATCH($A27&amp;"|"&amp;$B27&amp;"|placement|Y",photos!$R$2:$R$701,0))),""))</f>
        <v/>
      </c>
      <c r="Z27" s="30" t="str">
        <f aca="false">IF($A27="","",IF(COUNTIFS(counts!$C$2:$C$701,$A27,counts!$D$2:$D$701,$B27,counts!$E$2:$E$701,"placed")=0,"",SUMIFS(counts!$F$2:$F$701,counts!$C$2:$C$701,$A27,counts!$D$2:$D$701,$B27,counts!$E$2:$E$701,"placed")))</f>
        <v/>
      </c>
      <c r="AA27" s="30" t="str">
        <f aca="false">IF($A27="","",IF($Y27="",0,N($Z27)))</f>
        <v/>
      </c>
      <c r="AB27" s="30" t="str">
        <f aca="false">IF($A27="","",IF(OR($Y27="",$I27=""),"N",IF($Y27&lt;=WORKDAY(N($I27),1,calendar!$A$2:$A$80),"Y","N")))</f>
        <v/>
      </c>
      <c r="AC27" s="33" t="str">
        <f aca="false">IF(OR($A27="",$V27="",$Y27=""),"",ROUND(($Y27+N(IFERROR(IF(INDEX(photos!$F$2:$F$701,MATCH($A27&amp;"|"&amp;$B27&amp;"|placement|Y",photos!$R$2:$R$701,0))="","",INDEX(photos!$F$2:$F$701,MATCH($A27&amp;"|"&amp;$B27&amp;"|placement|Y",photos!$R$2:$R$701,0))),""))-$V27)*24,1))</f>
        <v/>
      </c>
      <c r="AD27" s="30" t="str">
        <f aca="false">IF($A27="","",SUMIFS(inventory!$G$2:$G$801,inventory!$C$2:$C$801,$A27,inventory!$D$2:$D$801,$B27,inventory!$E$2:$E$801,"topped_up"))</f>
        <v/>
      </c>
      <c r="AE27" s="30" t="str">
        <f aca="false">IF($A27="","",IF(COUNTIFS(counts!$C$2:$C$701,$A27,counts!$D$2:$D$701,$B27,counts!$E$2:$E$701,"remaining_day3")=0,"",SUMIFS(counts!$F$2:$F$701,counts!$C$2:$C$701,$A27,counts!$D$2:$D$701,$B27,counts!$E$2:$E$701,"remaining_day3")))</f>
        <v/>
      </c>
      <c r="AF27" s="30" t="str">
        <f aca="false">IF($A27="","",IF(COUNTIFS(counts!$C$2:$C$701,$A27,counts!$D$2:$D$701,$B27,counts!$E$2:$E$701,"remaining_day5")=0,"",SUMIFS(counts!$F$2:$F$701,counts!$C$2:$C$701,$A27,counts!$D$2:$D$701,$B27,counts!$E$2:$E$701,"remaining_day5")))</f>
        <v/>
      </c>
      <c r="AG27" s="30" t="str">
        <f aca="false">IF(OR($A27="",$AF27=""),"",MAX(0,$AA27+$AD27-$AF27))</f>
        <v/>
      </c>
      <c r="AH27" s="30" t="str">
        <f aca="false">IF(OR($A27="",$AI27=""),"",IFERROR(IF(INDEX(photos!$H$2:$H$701,MATCH($A27&amp;"|"&amp;$B27&amp;"|later|Y|"&amp;$AI27,photos!$S$2:$S$701,0))="","",INDEX(photos!$H$2:$H$701,MATCH($A27&amp;"|"&amp;$B27&amp;"|later|Y|"&amp;$AI27,photos!$S$2:$S$701,0))),""))</f>
        <v/>
      </c>
      <c r="AI27" s="31" t="str">
        <f aca="false">IF($A27="","",IFERROR(1/(1/SUMPRODUCT(MAX((photos!$B$2:$B$701=$A27)*(photos!$C$2:$C$701=$B27)*(photos!$D$2:$D$701="later")*(photos!$O$2:$O$701="Y")*photos!$E$2:$E$701))),""))</f>
        <v/>
      </c>
      <c r="AJ27" s="30" t="str">
        <f aca="false">IF(OR($A27="",$AI27="",$I27=""),"",NETWORKDAYS($I27,$AI27,calendar!$A$2:$A$80))</f>
        <v/>
      </c>
      <c r="AK27" s="30" t="str">
        <f aca="false">IF($A27="","",IF(AND($X27&lt;&gt;"",$AH27&lt;&gt;""),"Y","N"))</f>
        <v/>
      </c>
      <c r="AL27" s="30" t="str">
        <f aca="true">IF(OR($A27="",$I27=""),"",IF($BC27="Y",SUMIFS(survey_frozen!$C$2:$C$251,survey_frozen!$P$2:$P$251,$A27&amp;"|"&amp;$B27),IFERROR(COUNTIFS(INDIRECT("'"&amp;$A27&amp;"'!$B$2:$B$501"),$T27,INDIRECT("'"&amp;$A27&amp;"'!$A$2:$A$501"),"&gt;="&amp;$I27,INDIRECT("'"&amp;$A27&amp;"'!$A$2:$A$501"),"&lt;"&amp;($BA27+1)),0)))</f>
        <v/>
      </c>
      <c r="AM27" s="30" t="str">
        <f aca="true">IF(OR($A27="",$I27=""),"",IF($BC27="Y",SUMIFS(survey_frozen!$D$2:$D$251,survey_frozen!$P$2:$P$251,$A27&amp;"|"&amp;$B27),IFERROR(COUNTIFS(INDIRECT("'"&amp;$A27&amp;"'!$B$2:$B$501"),$T27,INDIRECT("'"&amp;$A27&amp;"'!$A$2:$A$501"),"&gt;="&amp;$I27,INDIRECT("'"&amp;$A27&amp;"'!$A$2:$A$501"),"&lt;"&amp;($BA27+1),INDIRECT("'"&amp;$A27&amp;"'!$C$2:$C$501"),"Yes"),0)))</f>
        <v/>
      </c>
      <c r="AN27" s="30" t="str">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30" t="str">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str">
        <f aca="true">IF(OR($A27="",$I27=""),"",IF($BC27="Y",SUMIFS(survey_frozen!$E$2:$E$251,survey_frozen!$P$2:$P$251,$A27&amp;"|"&amp;$B27),IFERROR(COUNTIFS(INDIRECT("'"&amp;$A27&amp;"'!$B$2:$B$501"),$T27,INDIRECT("'"&amp;$A27&amp;"'!$A$2:$A$501"),"&gt;="&amp;$I27,INDIRECT("'"&amp;$A27&amp;"'!$A$2:$A$501"),"&lt;"&amp;($BA27+1),INDIRECT("'"&amp;$A27&amp;"'!$F$2:$F$501"),"Didn't see it"),0)))</f>
        <v/>
      </c>
      <c r="AR27" s="30" t="str">
        <f aca="true">IF(OR($A27="",$I27=""),"",IF($BC27="Y",SUMIFS(survey_frozen!$F$2:$F$251,survey_frozen!$P$2:$P$251,$A27&amp;"|"&amp;$B27),IFERROR(COUNTIFS(INDIRECT("'"&amp;$A27&amp;"'!$B$2:$B$501"),$T27,INDIRECT("'"&amp;$A27&amp;"'!$A$2:$A$501"),"&gt;="&amp;$I27,INDIRECT("'"&amp;$A27&amp;"'!$A$2:$A$501"),"&lt;"&amp;($BA27+1),INDIRECT("'"&amp;$A27&amp;"'!$F$2:$F$501"),"Not for me"),0)))</f>
        <v/>
      </c>
      <c r="AS27" s="30" t="str">
        <f aca="true">IF(OR($A27="",$I27=""),"",IF($BC27="Y",SUMIFS(survey_frozen!$G$2:$G$251,survey_frozen!$P$2:$P$251,$A27&amp;"|"&amp;$B27),IFERROR(COUNTIFS(INDIRECT("'"&amp;$A27&amp;"'!$B$2:$B$501"),$T27,INDIRECT("'"&amp;$A27&amp;"'!$A$2:$A$501"),"&gt;="&amp;$I27,INDIRECT("'"&amp;$A27&amp;"'!$A$2:$A$501"),"&lt;"&amp;($BA27+1),INDIRECT("'"&amp;$A27&amp;"'!$F$2:$F$501"),"Gone by the time I looked"),0)))</f>
        <v/>
      </c>
      <c r="AT27" s="30" t="str">
        <f aca="true">IF(OR($A27="",$I27=""),"",IF($BC27="Y",SUMIFS(survey_frozen!$H$2:$H$251,survey_frozen!$P$2:$P$251,$A27&amp;"|"&amp;$B27),IFERROR(COUNTIFS(INDIRECT("'"&amp;$A27&amp;"'!$B$2:$B$501"),$T27,INDIRECT("'"&amp;$A27&amp;"'!$A$2:$A$501"),"&gt;="&amp;$I27,INDIRECT("'"&amp;$A27&amp;"'!$A$2:$A$501"),"&lt;"&amp;($BA27+1),INDIRECT("'"&amp;$A27&amp;"'!$D$2:$D$501"),"&gt;=1"),0)))</f>
        <v/>
      </c>
      <c r="AU27" s="30" t="str">
        <f aca="true">IF(OR($A27="",$I27=""),"",IF($BC27="Y",SUMIFS(survey_frozen!$I$2:$I$251,survey_frozen!$P$2:$P$251,$A27&amp;"|"&amp;$B27),IFERROR(SUMIFS(INDIRECT("'"&amp;$A27&amp;"'!$D$2:$D$501"),INDIRECT("'"&amp;$A27&amp;"'!$B$2:$B$501"),$T27,INDIRECT("'"&amp;$A27&amp;"'!$A$2:$A$501"),"&gt;="&amp;$I27,INDIRECT("'"&amp;$A27&amp;"'!$A$2:$A$501"),"&lt;"&amp;($BA27+1)),0)))</f>
        <v/>
      </c>
      <c r="AV27" s="30" t="str">
        <f aca="true">IF(OR($A27="",$I27=""),"",IF($BC27="Y",SUMIFS(survey_frozen!$J$2:$J$251,survey_frozen!$P$2:$P$251,$A27&amp;"|"&amp;$B27),IFERROR(COUNTIFS(INDIRECT("'"&amp;$A27&amp;"'!$B$2:$B$501"),$T27,INDIRECT("'"&amp;$A27&amp;"'!$A$2:$A$501"),"&gt;="&amp;$I27,INDIRECT("'"&amp;$A27&amp;"'!$A$2:$A$501"),"&lt;"&amp;($BA27+1),INDIRECT("'"&amp;$A27&amp;"'!$E$2:$E$501"),"Yes"),0)))</f>
        <v/>
      </c>
      <c r="AW27" s="30" t="str">
        <f aca="true">IF(OR($A27="",$I27=""),"",IF($BC27="Y",SUMIFS(survey_frozen!$K$2:$K$251,survey_frozen!$P$2:$P$251,$A27&amp;"|"&amp;$B27),IFERROR(COUNTIFS(INDIRECT("'"&amp;$A27&amp;"'!$B$2:$B$501"),$T27,INDIRECT("'"&amp;$A27&amp;"'!$A$2:$A$501"),"&gt;="&amp;$I27,INDIRECT("'"&amp;$A27&amp;"'!$A$2:$A$501"),"&lt;"&amp;($BA27+1),INDIRECT("'"&amp;$A27&amp;"'!$E$2:$E$501"),"Maybe"),0)))</f>
        <v/>
      </c>
      <c r="AX27" s="30" t="str">
        <f aca="true">IF(OR($A27="",$I27=""),"",IF($BC27="Y",SUMIFS(survey_frozen!$L$2:$L$251,survey_frozen!$P$2:$P$251,$A27&amp;"|"&amp;$B27),IFERROR(COUNTIFS(INDIRECT("'"&amp;$A27&amp;"'!$B$2:$B$501"),$T27,INDIRECT("'"&amp;$A27&amp;"'!$A$2:$A$501"),"&gt;="&amp;$I27,INDIRECT("'"&amp;$A27&amp;"'!$A$2:$A$501"),"&lt;"&amp;($BA27+1),INDIRECT("'"&amp;$A27&amp;"'!$E$2:$E$501"),"No"),0)))</f>
        <v/>
      </c>
      <c r="AY27" s="30" t="str">
        <f aca="true">IF(OR($A27="",$I27=""),"",IF($BC27="Y",SUMIFS(survey_frozen!$M$2:$M$251,survey_frozen!$P$2:$P$251,$A27&amp;"|"&amp;$B27),IFERROR(COUNTIFS(INDIRECT("'"&amp;$A27&amp;"'!$B$2:$B$501"),$T27,INDIRECT("'"&amp;$A27&amp;"'!$A$2:$A$501"),"&gt;="&amp;$I27,INDIRECT("'"&amp;$A27&amp;"'!$A$2:$A$501"),"&lt;"&amp;($BA27+1),INDIRECT("'"&amp;$A27&amp;"'!$G$2:$G$501"),"&lt;&gt;"),0)))</f>
        <v/>
      </c>
      <c r="AZ27" s="30" t="str">
        <f aca="false">IF($A27="","",$A27&amp;"|"&amp;$L27)</f>
        <v/>
      </c>
      <c r="BA27" s="31" t="str">
        <f aca="false">IF($A27="","",IFERROR(IF(INDEX(drops!$R$2:$R$21,MATCH($H27,drops!$A$2:$A$21,0))="","",INDEX(drops!$R$2:$R$21,MATCH($H27,drops!$A$2:$A$21,0))),""))</f>
        <v/>
      </c>
      <c r="BB27" s="30" t="n">
        <f aca="false">IF(OR($A27="",$Q27&lt;&gt;"Y"),1000000,N($AL27))</f>
        <v>1000000</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C28" s="11"/>
      <c r="D28" s="10"/>
      <c r="E28" s="11"/>
      <c r="H28" s="30" t="str">
        <f aca="false">IF($A28="","",IFERROR(IF(INDEX(campaigns!$B$2:$B$51,MATCH($A28,campaigns!$A$2:$A$51,0))="","",INDEX(campaigns!$B$2:$B$51,MATCH($A28,campaigns!$A$2:$A$51,0))),""))</f>
        <v/>
      </c>
      <c r="I28" s="31" t="str">
        <f aca="false">IF($A28="","",IFERROR(IF(INDEX(campaigns!$BG$2:$BG$51,MATCH($A28,campaigns!$A$2:$A$51,0))="","",INDEX(campaigns!$BG$2:$BG$51,MATCH($A28,campaigns!$A$2:$A$51,0))),""))</f>
        <v/>
      </c>
      <c r="J28" s="30" t="str">
        <f aca="false">IF($A28="","",IFERROR(IF(INDEX(campaigns!$BE$2:$BE$51,MATCH($A28,campaigns!$A$2:$A$51,0))="","",INDEX(campaigns!$BE$2:$BE$51,MATCH($A28,campaigns!$A$2:$A$51,0))),""))</f>
        <v/>
      </c>
      <c r="K28" s="30" t="str">
        <f aca="false">IF($B28="","",IFERROR(IF(INDEX(offices!$O$2:$O$61,MATCH($B28,offices!$A$2:$A$61,0))="","",INDEX(offices!$O$2:$O$61,MATCH($B28,offices!$A$2:$A$61,0))),""))</f>
        <v/>
      </c>
      <c r="L28" s="30" t="str">
        <f aca="false">IF($A28="","",IF($Q28="N","",COUNTIFS($A$2:$A28,$A28,$Q$2:$Q28,"&lt;&gt;N")))</f>
        <v/>
      </c>
      <c r="M28" s="30" t="str">
        <f aca="false">IF(OR($A28="",$L28=""),"",IF(AND(config!$B$34="names_if_public",IFERROR(IF(INDEX(offices!$AG$2:$AG$61,MATCH($B28,offices!$A$2:$A$61,0))="","",INDEX(offices!$AG$2:$AG$61,MATCH($B28,offices!$A$2:$A$61,0))),"")="Y"),$K28,CHAR(64+$L28)))</f>
        <v/>
      </c>
      <c r="N28" s="30" t="str">
        <f aca="false">IF(OR($A28="",$I28=""),"",COUNTIFS(stops!$B$2:$B$151,$B28,stops!$P$2:$P$151,"&lt;"&amp;$I28,stops!$L$2:$L$151,"&lt;&gt;not_delivered")+1)</f>
        <v/>
      </c>
      <c r="O28" s="30" t="str">
        <f aca="false">IF($A28="","",IF(N($N28)&lt;=config!$B$29,"explicit","opt-out"))</f>
        <v/>
      </c>
      <c r="P28" s="30" t="str">
        <f aca="false">IF($A28="","",IF($O28="explicit",IF($D28="yes","Y",IF($D28="no","N","pending")),IF($D28="no","N",IF(AND($C28&lt;&gt;"",$I28&lt;&gt;"",$C28&lt;=WORKDAY(N($I28),-5,calendar!$A$2:$A$80)),"Y","pending"))))</f>
        <v/>
      </c>
      <c r="Q28" s="30" t="str">
        <f aca="false">IF($A28="","",IF($P28="N","N",IF($P28&lt;&gt;"Y","pending",IF(AND((COUNTIFS(stops!$A$2:$A$151,$H28,stops!$B$2:$B$151,$B28,stops!$L$2:$L$151,"declined")+COUNTIFS(stops!$A$2:$A$151,$H28,stops!$B$2:$B$151,$B28,stops!$L$2:$L$151,"building_refused")+COUNTIFS(stops!$A$2:$A$151,$H28,stops!$B$2:$B$151,$B28,stops!$L$2:$L$151,"not_delivered"))&gt;0,N($U28)=0),"N","Y"))))</f>
        <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30" t="str">
        <f aca="false">IF($A28="","",IF($G28&lt;&gt;"",$G28,IFERROR(IF(INDEX(offices!$AM$2:$AM$61,MATCH($B28,offices!$A$2:$A$61,0))="","",INDEX(offices!$AM$2:$AM$61,MATCH($B28,offices!$A$2:$A$61,0))),"")))</f>
        <v/>
      </c>
      <c r="T28" s="30" t="str">
        <f aca="false">IF($A28="","",$A28&amp;"."&amp;$B28)</f>
        <v/>
      </c>
      <c r="U28" s="30" t="str">
        <f aca="false">IF($A28="","",SUMIFS(inventory!$G$2:$G$801,inventory!$C$2:$C$801,$A28,inventory!$D$2:$D$801,$B28,inventory!$E$2:$E$801,"delivered"))</f>
        <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str">
        <f aca="false">IF($A28="","",IF($Y28="",0,N($Z28)))</f>
        <v/>
      </c>
      <c r="AB28" s="30" t="str">
        <f aca="false">IF($A28="","",IF(OR($Y28="",$I28=""),"N",IF($Y28&lt;=WORKDAY(N($I28),1,calendar!$A$2:$A$80),"Y","N")))</f>
        <v/>
      </c>
      <c r="AC28" s="33" t="str">
        <f aca="false">IF(OR($A28="",$V28="",$Y28=""),"",ROUND(($Y28+N(IFERROR(IF(INDEX(photos!$F$2:$F$701,MATCH($A28&amp;"|"&amp;$B28&amp;"|placement|Y",photos!$R$2:$R$701,0))="","",INDEX(photos!$F$2:$F$701,MATCH($A28&amp;"|"&amp;$B28&amp;"|placement|Y",photos!$R$2:$R$701,0))),""))-$V28)*24,1))</f>
        <v/>
      </c>
      <c r="AD28" s="30" t="str">
        <f aca="false">IF($A28="","",SUMIFS(inventory!$G$2:$G$801,inventory!$C$2:$C$801,$A28,inventory!$D$2:$D$801,$B28,inventory!$E$2:$E$801,"topped_up"))</f>
        <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
      </c>
      <c r="AL28" s="30" t="str">
        <f aca="true">IF(OR($A28="",$I28=""),"",IF($BC28="Y",SUMIFS(survey_frozen!$C$2:$C$251,survey_frozen!$P$2:$P$251,$A28&amp;"|"&amp;$B28),IFERROR(COUNTIFS(INDIRECT("'"&amp;$A28&amp;"'!$B$2:$B$501"),$T28,INDIRECT("'"&amp;$A28&amp;"'!$A$2:$A$501"),"&gt;="&amp;$I28,INDIRECT("'"&amp;$A28&amp;"'!$A$2:$A$501"),"&lt;"&amp;($BA28+1)),0)))</f>
        <v/>
      </c>
      <c r="AM28" s="30" t="str">
        <f aca="true">IF(OR($A28="",$I28=""),"",IF($BC28="Y",SUMIFS(survey_frozen!$D$2:$D$251,survey_frozen!$P$2:$P$251,$A28&amp;"|"&amp;$B28),IFERROR(COUNTIFS(INDIRECT("'"&amp;$A28&amp;"'!$B$2:$B$501"),$T28,INDIRECT("'"&amp;$A28&amp;"'!$A$2:$A$501"),"&gt;="&amp;$I28,INDIRECT("'"&amp;$A28&amp;"'!$A$2:$A$501"),"&lt;"&amp;($BA28+1),INDIRECT("'"&amp;$A28&amp;"'!$C$2:$C$501"),"Yes"),0)))</f>
        <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30" t="str">
        <f aca="true">IF(OR($A28="",$I28=""),"",IF($BC28="Y",SUMIFS(survey_frozen!$E$2:$E$251,survey_frozen!$P$2:$P$251,$A28&amp;"|"&amp;$B28),IFERROR(COUNTIFS(INDIRECT("'"&amp;$A28&amp;"'!$B$2:$B$501"),$T28,INDIRECT("'"&amp;$A28&amp;"'!$A$2:$A$501"),"&gt;="&amp;$I28,INDIRECT("'"&amp;$A28&amp;"'!$A$2:$A$501"),"&lt;"&amp;($BA28+1),INDIRECT("'"&amp;$A28&amp;"'!$F$2:$F$501"),"Didn't see it"),0)))</f>
        <v/>
      </c>
      <c r="AR28" s="30" t="str">
        <f aca="true">IF(OR($A28="",$I28=""),"",IF($BC28="Y",SUMIFS(survey_frozen!$F$2:$F$251,survey_frozen!$P$2:$P$251,$A28&amp;"|"&amp;$B28),IFERROR(COUNTIFS(INDIRECT("'"&amp;$A28&amp;"'!$B$2:$B$501"),$T28,INDIRECT("'"&amp;$A28&amp;"'!$A$2:$A$501"),"&gt;="&amp;$I28,INDIRECT("'"&amp;$A28&amp;"'!$A$2:$A$501"),"&lt;"&amp;($BA28+1),INDIRECT("'"&amp;$A28&amp;"'!$F$2:$F$501"),"Not for me"),0)))</f>
        <v/>
      </c>
      <c r="AS28" s="30" t="str">
        <f aca="true">IF(OR($A28="",$I28=""),"",IF($BC28="Y",SUMIFS(survey_frozen!$G$2:$G$251,survey_frozen!$P$2:$P$251,$A28&amp;"|"&amp;$B28),IFERROR(COUNTIFS(INDIRECT("'"&amp;$A28&amp;"'!$B$2:$B$501"),$T28,INDIRECT("'"&amp;$A28&amp;"'!$A$2:$A$501"),"&gt;="&amp;$I28,INDIRECT("'"&amp;$A28&amp;"'!$A$2:$A$501"),"&lt;"&amp;($BA28+1),INDIRECT("'"&amp;$A28&amp;"'!$F$2:$F$501"),"Gone by the time I looked"),0)))</f>
        <v/>
      </c>
      <c r="AT28" s="30" t="str">
        <f aca="true">IF(OR($A28="",$I28=""),"",IF($BC28="Y",SUMIFS(survey_frozen!$H$2:$H$251,survey_frozen!$P$2:$P$251,$A28&amp;"|"&amp;$B28),IFERROR(COUNTIFS(INDIRECT("'"&amp;$A28&amp;"'!$B$2:$B$501"),$T28,INDIRECT("'"&amp;$A28&amp;"'!$A$2:$A$501"),"&gt;="&amp;$I28,INDIRECT("'"&amp;$A28&amp;"'!$A$2:$A$501"),"&lt;"&amp;($BA28+1),INDIRECT("'"&amp;$A28&amp;"'!$D$2:$D$501"),"&gt;=1"),0)))</f>
        <v/>
      </c>
      <c r="AU28" s="30" t="str">
        <f aca="true">IF(OR($A28="",$I28=""),"",IF($BC28="Y",SUMIFS(survey_frozen!$I$2:$I$251,survey_frozen!$P$2:$P$251,$A28&amp;"|"&amp;$B28),IFERROR(SUMIFS(INDIRECT("'"&amp;$A28&amp;"'!$D$2:$D$501"),INDIRECT("'"&amp;$A28&amp;"'!$B$2:$B$501"),$T28,INDIRECT("'"&amp;$A28&amp;"'!$A$2:$A$501"),"&gt;="&amp;$I28,INDIRECT("'"&amp;$A28&amp;"'!$A$2:$A$501"),"&lt;"&amp;($BA28+1)),0)))</f>
        <v/>
      </c>
      <c r="AV28" s="30" t="str">
        <f aca="true">IF(OR($A28="",$I28=""),"",IF($BC28="Y",SUMIFS(survey_frozen!$J$2:$J$251,survey_frozen!$P$2:$P$251,$A28&amp;"|"&amp;$B28),IFERROR(COUNTIFS(INDIRECT("'"&amp;$A28&amp;"'!$B$2:$B$501"),$T28,INDIRECT("'"&amp;$A28&amp;"'!$A$2:$A$501"),"&gt;="&amp;$I28,INDIRECT("'"&amp;$A28&amp;"'!$A$2:$A$501"),"&lt;"&amp;($BA28+1),INDIRECT("'"&amp;$A28&amp;"'!$E$2:$E$501"),"Yes"),0)))</f>
        <v/>
      </c>
      <c r="AW28" s="30" t="str">
        <f aca="true">IF(OR($A28="",$I28=""),"",IF($BC28="Y",SUMIFS(survey_frozen!$K$2:$K$251,survey_frozen!$P$2:$P$251,$A28&amp;"|"&amp;$B28),IFERROR(COUNTIFS(INDIRECT("'"&amp;$A28&amp;"'!$B$2:$B$501"),$T28,INDIRECT("'"&amp;$A28&amp;"'!$A$2:$A$501"),"&gt;="&amp;$I28,INDIRECT("'"&amp;$A28&amp;"'!$A$2:$A$501"),"&lt;"&amp;($BA28+1),INDIRECT("'"&amp;$A28&amp;"'!$E$2:$E$501"),"Maybe"),0)))</f>
        <v/>
      </c>
      <c r="AX28" s="30" t="str">
        <f aca="true">IF(OR($A28="",$I28=""),"",IF($BC28="Y",SUMIFS(survey_frozen!$L$2:$L$251,survey_frozen!$P$2:$P$251,$A28&amp;"|"&amp;$B28),IFERROR(COUNTIFS(INDIRECT("'"&amp;$A28&amp;"'!$B$2:$B$501"),$T28,INDIRECT("'"&amp;$A28&amp;"'!$A$2:$A$501"),"&gt;="&amp;$I28,INDIRECT("'"&amp;$A28&amp;"'!$A$2:$A$501"),"&lt;"&amp;($BA28+1),INDIRECT("'"&amp;$A28&amp;"'!$E$2:$E$501"),"No"),0)))</f>
        <v/>
      </c>
      <c r="AY28" s="30" t="str">
        <f aca="true">IF(OR($A28="",$I28=""),"",IF($BC28="Y",SUMIFS(survey_frozen!$M$2:$M$251,survey_frozen!$P$2:$P$251,$A28&amp;"|"&amp;$B28),IFERROR(COUNTIFS(INDIRECT("'"&amp;$A28&amp;"'!$B$2:$B$501"),$T28,INDIRECT("'"&amp;$A28&amp;"'!$A$2:$A$501"),"&gt;="&amp;$I28,INDIRECT("'"&amp;$A28&amp;"'!$A$2:$A$501"),"&lt;"&amp;($BA28+1),INDIRECT("'"&amp;$A28&amp;"'!$G$2:$G$501"),"&lt;&gt;"),0)))</f>
        <v/>
      </c>
      <c r="AZ28" s="30" t="str">
        <f aca="false">IF($A28="","",$A28&amp;"|"&amp;$L28)</f>
        <v/>
      </c>
      <c r="BA28" s="31" t="str">
        <f aca="false">IF($A28="","",IFERROR(IF(INDEX(drops!$R$2:$R$21,MATCH($H28,drops!$A$2:$A$21,0))="","",INDEX(drops!$R$2:$R$21,MATCH($H28,drops!$A$2:$A$21,0))),""))</f>
        <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C29" s="11"/>
      <c r="D29" s="10"/>
      <c r="E29" s="11"/>
      <c r="H29" s="30" t="str">
        <f aca="false">IF($A29="","",IFERROR(IF(INDEX(campaigns!$B$2:$B$51,MATCH($A29,campaigns!$A$2:$A$51,0))="","",INDEX(campaigns!$B$2:$B$51,MATCH($A29,campaigns!$A$2:$A$51,0))),""))</f>
        <v/>
      </c>
      <c r="I29" s="31" t="str">
        <f aca="false">IF($A29="","",IFERROR(IF(INDEX(campaigns!$BG$2:$BG$51,MATCH($A29,campaigns!$A$2:$A$51,0))="","",INDEX(campaigns!$BG$2:$BG$51,MATCH($A29,campaigns!$A$2:$A$51,0))),""))</f>
        <v/>
      </c>
      <c r="J29" s="30" t="str">
        <f aca="false">IF($A29="","",IFERROR(IF(INDEX(campaigns!$BE$2:$BE$51,MATCH($A29,campaigns!$A$2:$A$51,0))="","",INDEX(campaigns!$BE$2:$BE$51,MATCH($A29,campaigns!$A$2:$A$51,0))),""))</f>
        <v/>
      </c>
      <c r="K29" s="30" t="str">
        <f aca="false">IF($B29="","",IFERROR(IF(INDEX(offices!$O$2:$O$61,MATCH($B29,offices!$A$2:$A$61,0))="","",INDEX(offices!$O$2:$O$61,MATCH($B29,offices!$A$2:$A$61,0))),""))</f>
        <v/>
      </c>
      <c r="L29" s="30" t="str">
        <f aca="false">IF($A29="","",IF($Q29="N","",COUNTIFS($A$2:$A29,$A29,$Q$2:$Q29,"&lt;&gt;N")))</f>
        <v/>
      </c>
      <c r="M29" s="30" t="str">
        <f aca="false">IF(OR($A29="",$L29=""),"",IF(AND(config!$B$34="names_if_public",IFERROR(IF(INDEX(offices!$AG$2:$AG$61,MATCH($B29,offices!$A$2:$A$61,0))="","",INDEX(offices!$AG$2:$AG$61,MATCH($B29,offices!$A$2:$A$61,0))),"")="Y"),$K29,CHAR(64+$L29)))</f>
        <v/>
      </c>
      <c r="N29" s="30" t="str">
        <f aca="false">IF(OR($A29="",$I29=""),"",COUNTIFS(stops!$B$2:$B$151,$B29,stops!$P$2:$P$151,"&lt;"&amp;$I29,stops!$L$2:$L$151,"&lt;&gt;not_delivered")+1)</f>
        <v/>
      </c>
      <c r="O29" s="30" t="str">
        <f aca="false">IF($A29="","",IF(N($N29)&lt;=config!$B$29,"explicit","opt-out"))</f>
        <v/>
      </c>
      <c r="P29" s="30" t="str">
        <f aca="false">IF($A29="","",IF($O29="explicit",IF($D29="yes","Y",IF($D29="no","N","pending")),IF($D29="no","N",IF(AND($C29&lt;&gt;"",$I29&lt;&gt;"",$C29&lt;=WORKDAY(N($I29),-5,calendar!$A$2:$A$80)),"Y","pending"))))</f>
        <v/>
      </c>
      <c r="Q29" s="30" t="str">
        <f aca="false">IF($A29="","",IF($P29="N","N",IF($P29&lt;&gt;"Y","pending",IF(AND((COUNTIFS(stops!$A$2:$A$151,$H29,stops!$B$2:$B$151,$B29,stops!$L$2:$L$151,"declined")+COUNTIFS(stops!$A$2:$A$151,$H29,stops!$B$2:$B$151,$B29,stops!$L$2:$L$151,"building_refused")+COUNTIFS(stops!$A$2:$A$151,$H29,stops!$B$2:$B$151,$B29,stops!$L$2:$L$151,"not_delivered"))&gt;0,N($U29)=0),"N","Y"))))</f>
        <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str">
        <f aca="false">IF($A29="","",IF($G29&lt;&gt;"",$G29,IFERROR(IF(INDEX(offices!$AM$2:$AM$61,MATCH($B29,offices!$A$2:$A$61,0))="","",INDEX(offices!$AM$2:$AM$61,MATCH($B29,offices!$A$2:$A$61,0))),"")))</f>
        <v/>
      </c>
      <c r="T29" s="30" t="str">
        <f aca="false">IF($A29="","",$A29&amp;"."&amp;$B29)</f>
        <v/>
      </c>
      <c r="U29" s="30" t="str">
        <f aca="false">IF($A29="","",SUMIFS(inventory!$G$2:$G$801,inventory!$C$2:$C$801,$A29,inventory!$D$2:$D$801,$B29,inventory!$E$2:$E$801,"delivered"))</f>
        <v/>
      </c>
      <c r="V29" s="37" t="str">
        <f aca="false">IF($A29="","",IFERROR(1/(1/SUMPRODUCT(MAX((inventory!$C$2:$C$801=$A29)*(inventory!$D$2:$D$801=$B29)*(inventory!$E$2:$E$801="delivered")*(inventory!$A$2:$A$801+inventory!$B$2:$B$801)))),""))</f>
        <v/>
      </c>
      <c r="W29" s="30" t="str">
        <f aca="false">IF($A29="","",IFERROR(IF(INDEX(inventory!$J$2:$J$801,MATCH($A29&amp;"|"&amp;$B29&amp;"|delivered",inventory!$R$2:$R$801,0))="","",INDEX(inventory!$J$2:$J$801,MATCH($A29&amp;"|"&amp;$B29&amp;"|delivered",inventory!$R$2:$R$801,0))),""))</f>
        <v/>
      </c>
      <c r="X29" s="30" t="str">
        <f aca="false">IF($A29="","",IFERROR(IF(INDEX(photos!$H$2:$H$701,MATCH($A29&amp;"|"&amp;$B29&amp;"|placement|Y",photos!$R$2:$R$701,0))="","",INDEX(photos!$H$2:$H$701,MATCH($A29&amp;"|"&amp;$B29&amp;"|placement|Y",photos!$R$2:$R$701,0))),""))</f>
        <v/>
      </c>
      <c r="Y29" s="31" t="str">
        <f aca="false">IF($A29="","",IFERROR(IF(INDEX(photos!$E$2:$E$701,MATCH($A29&amp;"|"&amp;$B29&amp;"|placement|Y",photos!$R$2:$R$701,0))="","",INDEX(photos!$E$2:$E$701,MATCH($A29&amp;"|"&amp;$B29&amp;"|placement|Y",photos!$R$2:$R$701,0))),""))</f>
        <v/>
      </c>
      <c r="Z29" s="30" t="str">
        <f aca="false">IF($A29="","",IF(COUNTIFS(counts!$C$2:$C$701,$A29,counts!$D$2:$D$701,$B29,counts!$E$2:$E$701,"placed")=0,"",SUMIFS(counts!$F$2:$F$701,counts!$C$2:$C$701,$A29,counts!$D$2:$D$701,$B29,counts!$E$2:$E$701,"placed")))</f>
        <v/>
      </c>
      <c r="AA29" s="30" t="str">
        <f aca="false">IF($A29="","",IF($Y29="",0,N($Z29)))</f>
        <v/>
      </c>
      <c r="AB29" s="30" t="str">
        <f aca="false">IF($A29="","",IF(OR($Y29="",$I29=""),"N",IF($Y29&lt;=WORKDAY(N($I29),1,calendar!$A$2:$A$80),"Y","N")))</f>
        <v/>
      </c>
      <c r="AC29" s="33" t="str">
        <f aca="false">IF(OR($A29="",$V29="",$Y29=""),"",ROUND(($Y29+N(IFERROR(IF(INDEX(photos!$F$2:$F$701,MATCH($A29&amp;"|"&amp;$B29&amp;"|placement|Y",photos!$R$2:$R$701,0))="","",INDEX(photos!$F$2:$F$701,MATCH($A29&amp;"|"&amp;$B29&amp;"|placement|Y",photos!$R$2:$R$701,0))),""))-$V29)*24,1))</f>
        <v/>
      </c>
      <c r="AD29" s="30" t="str">
        <f aca="false">IF($A29="","",SUMIFS(inventory!$G$2:$G$801,inventory!$C$2:$C$801,$A29,inventory!$D$2:$D$801,$B29,inventory!$E$2:$E$801,"topped_up"))</f>
        <v/>
      </c>
      <c r="AE29" s="30" t="str">
        <f aca="false">IF($A29="","",IF(COUNTIFS(counts!$C$2:$C$701,$A29,counts!$D$2:$D$701,$B29,counts!$E$2:$E$701,"remaining_day3")=0,"",SUMIFS(counts!$F$2:$F$701,counts!$C$2:$C$701,$A29,counts!$D$2:$D$701,$B29,counts!$E$2:$E$701,"remaining_day3")))</f>
        <v/>
      </c>
      <c r="AF29" s="30" t="str">
        <f aca="false">IF($A29="","",IF(COUNTIFS(counts!$C$2:$C$701,$A29,counts!$D$2:$D$701,$B29,counts!$E$2:$E$701,"remaining_day5")=0,"",SUMIFS(counts!$F$2:$F$701,counts!$C$2:$C$701,$A29,counts!$D$2:$D$701,$B29,counts!$E$2:$E$701,"remaining_day5")))</f>
        <v/>
      </c>
      <c r="AG29" s="30" t="str">
        <f aca="false">IF(OR($A29="",$AF29=""),"",MAX(0,$AA29+$AD29-$AF29))</f>
        <v/>
      </c>
      <c r="AH29" s="30" t="str">
        <f aca="false">IF(OR($A29="",$AI29=""),"",IFERROR(IF(INDEX(photos!$H$2:$H$701,MATCH($A29&amp;"|"&amp;$B29&amp;"|later|Y|"&amp;$AI29,photos!$S$2:$S$701,0))="","",INDEX(photos!$H$2:$H$701,MATCH($A29&amp;"|"&amp;$B29&amp;"|later|Y|"&amp;$AI29,photos!$S$2:$S$701,0))),""))</f>
        <v/>
      </c>
      <c r="AI29" s="31" t="str">
        <f aca="false">IF($A29="","",IFERROR(1/(1/SUMPRODUCT(MAX((photos!$B$2:$B$701=$A29)*(photos!$C$2:$C$701=$B29)*(photos!$D$2:$D$701="later")*(photos!$O$2:$O$701="Y")*photos!$E$2:$E$701))),""))</f>
        <v/>
      </c>
      <c r="AJ29" s="30" t="str">
        <f aca="false">IF(OR($A29="",$AI29="",$I29=""),"",NETWORKDAYS($I29,$AI29,calendar!$A$2:$A$80))</f>
        <v/>
      </c>
      <c r="AK29" s="30" t="str">
        <f aca="false">IF($A29="","",IF(AND($X29&lt;&gt;"",$AH29&lt;&gt;""),"Y","N"))</f>
        <v/>
      </c>
      <c r="AL29" s="30" t="str">
        <f aca="true">IF(OR($A29="",$I29=""),"",IF($BC29="Y",SUMIFS(survey_frozen!$C$2:$C$251,survey_frozen!$P$2:$P$251,$A29&amp;"|"&amp;$B29),IFERROR(COUNTIFS(INDIRECT("'"&amp;$A29&amp;"'!$B$2:$B$501"),$T29,INDIRECT("'"&amp;$A29&amp;"'!$A$2:$A$501"),"&gt;="&amp;$I29,INDIRECT("'"&amp;$A29&amp;"'!$A$2:$A$501"),"&lt;"&amp;($BA29+1)),0)))</f>
        <v/>
      </c>
      <c r="AM29" s="30" t="str">
        <f aca="true">IF(OR($A29="",$I29=""),"",IF($BC29="Y",SUMIFS(survey_frozen!$D$2:$D$251,survey_frozen!$P$2:$P$251,$A29&amp;"|"&amp;$B29),IFERROR(COUNTIFS(INDIRECT("'"&amp;$A29&amp;"'!$B$2:$B$501"),$T29,INDIRECT("'"&amp;$A29&amp;"'!$A$2:$A$501"),"&gt;="&amp;$I29,INDIRECT("'"&amp;$A29&amp;"'!$A$2:$A$501"),"&lt;"&amp;($BA29+1),INDIRECT("'"&amp;$A29&amp;"'!$C$2:$C$501"),"Yes"),0)))</f>
        <v/>
      </c>
      <c r="AN29" s="30" t="str">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30" t="str">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str">
        <f aca="true">IF(OR($A29="",$I29=""),"",IF($BC29="Y",SUMIFS(survey_frozen!$E$2:$E$251,survey_frozen!$P$2:$P$251,$A29&amp;"|"&amp;$B29),IFERROR(COUNTIFS(INDIRECT("'"&amp;$A29&amp;"'!$B$2:$B$501"),$T29,INDIRECT("'"&amp;$A29&amp;"'!$A$2:$A$501"),"&gt;="&amp;$I29,INDIRECT("'"&amp;$A29&amp;"'!$A$2:$A$501"),"&lt;"&amp;($BA29+1),INDIRECT("'"&amp;$A29&amp;"'!$F$2:$F$501"),"Didn't see it"),0)))</f>
        <v/>
      </c>
      <c r="AR29" s="30" t="str">
        <f aca="true">IF(OR($A29="",$I29=""),"",IF($BC29="Y",SUMIFS(survey_frozen!$F$2:$F$251,survey_frozen!$P$2:$P$251,$A29&amp;"|"&amp;$B29),IFERROR(COUNTIFS(INDIRECT("'"&amp;$A29&amp;"'!$B$2:$B$501"),$T29,INDIRECT("'"&amp;$A29&amp;"'!$A$2:$A$501"),"&gt;="&amp;$I29,INDIRECT("'"&amp;$A29&amp;"'!$A$2:$A$501"),"&lt;"&amp;($BA29+1),INDIRECT("'"&amp;$A29&amp;"'!$F$2:$F$501"),"Not for me"),0)))</f>
        <v/>
      </c>
      <c r="AS29" s="30" t="str">
        <f aca="true">IF(OR($A29="",$I29=""),"",IF($BC29="Y",SUMIFS(survey_frozen!$G$2:$G$251,survey_frozen!$P$2:$P$251,$A29&amp;"|"&amp;$B29),IFERROR(COUNTIFS(INDIRECT("'"&amp;$A29&amp;"'!$B$2:$B$501"),$T29,INDIRECT("'"&amp;$A29&amp;"'!$A$2:$A$501"),"&gt;="&amp;$I29,INDIRECT("'"&amp;$A29&amp;"'!$A$2:$A$501"),"&lt;"&amp;($BA29+1),INDIRECT("'"&amp;$A29&amp;"'!$F$2:$F$501"),"Gone by the time I looked"),0)))</f>
        <v/>
      </c>
      <c r="AT29" s="30" t="str">
        <f aca="true">IF(OR($A29="",$I29=""),"",IF($BC29="Y",SUMIFS(survey_frozen!$H$2:$H$251,survey_frozen!$P$2:$P$251,$A29&amp;"|"&amp;$B29),IFERROR(COUNTIFS(INDIRECT("'"&amp;$A29&amp;"'!$B$2:$B$501"),$T29,INDIRECT("'"&amp;$A29&amp;"'!$A$2:$A$501"),"&gt;="&amp;$I29,INDIRECT("'"&amp;$A29&amp;"'!$A$2:$A$501"),"&lt;"&amp;($BA29+1),INDIRECT("'"&amp;$A29&amp;"'!$D$2:$D$501"),"&gt;=1"),0)))</f>
        <v/>
      </c>
      <c r="AU29" s="30" t="str">
        <f aca="true">IF(OR($A29="",$I29=""),"",IF($BC29="Y",SUMIFS(survey_frozen!$I$2:$I$251,survey_frozen!$P$2:$P$251,$A29&amp;"|"&amp;$B29),IFERROR(SUMIFS(INDIRECT("'"&amp;$A29&amp;"'!$D$2:$D$501"),INDIRECT("'"&amp;$A29&amp;"'!$B$2:$B$501"),$T29,INDIRECT("'"&amp;$A29&amp;"'!$A$2:$A$501"),"&gt;="&amp;$I29,INDIRECT("'"&amp;$A29&amp;"'!$A$2:$A$501"),"&lt;"&amp;($BA29+1)),0)))</f>
        <v/>
      </c>
      <c r="AV29" s="30" t="str">
        <f aca="true">IF(OR($A29="",$I29=""),"",IF($BC29="Y",SUMIFS(survey_frozen!$J$2:$J$251,survey_frozen!$P$2:$P$251,$A29&amp;"|"&amp;$B29),IFERROR(COUNTIFS(INDIRECT("'"&amp;$A29&amp;"'!$B$2:$B$501"),$T29,INDIRECT("'"&amp;$A29&amp;"'!$A$2:$A$501"),"&gt;="&amp;$I29,INDIRECT("'"&amp;$A29&amp;"'!$A$2:$A$501"),"&lt;"&amp;($BA29+1),INDIRECT("'"&amp;$A29&amp;"'!$E$2:$E$501"),"Yes"),0)))</f>
        <v/>
      </c>
      <c r="AW29" s="30" t="str">
        <f aca="true">IF(OR($A29="",$I29=""),"",IF($BC29="Y",SUMIFS(survey_frozen!$K$2:$K$251,survey_frozen!$P$2:$P$251,$A29&amp;"|"&amp;$B29),IFERROR(COUNTIFS(INDIRECT("'"&amp;$A29&amp;"'!$B$2:$B$501"),$T29,INDIRECT("'"&amp;$A29&amp;"'!$A$2:$A$501"),"&gt;="&amp;$I29,INDIRECT("'"&amp;$A29&amp;"'!$A$2:$A$501"),"&lt;"&amp;($BA29+1),INDIRECT("'"&amp;$A29&amp;"'!$E$2:$E$501"),"Maybe"),0)))</f>
        <v/>
      </c>
      <c r="AX29" s="30" t="str">
        <f aca="true">IF(OR($A29="",$I29=""),"",IF($BC29="Y",SUMIFS(survey_frozen!$L$2:$L$251,survey_frozen!$P$2:$P$251,$A29&amp;"|"&amp;$B29),IFERROR(COUNTIFS(INDIRECT("'"&amp;$A29&amp;"'!$B$2:$B$501"),$T29,INDIRECT("'"&amp;$A29&amp;"'!$A$2:$A$501"),"&gt;="&amp;$I29,INDIRECT("'"&amp;$A29&amp;"'!$A$2:$A$501"),"&lt;"&amp;($BA29+1),INDIRECT("'"&amp;$A29&amp;"'!$E$2:$E$501"),"No"),0)))</f>
        <v/>
      </c>
      <c r="AY29" s="30" t="str">
        <f aca="true">IF(OR($A29="",$I29=""),"",IF($BC29="Y",SUMIFS(survey_frozen!$M$2:$M$251,survey_frozen!$P$2:$P$251,$A29&amp;"|"&amp;$B29),IFERROR(COUNTIFS(INDIRECT("'"&amp;$A29&amp;"'!$B$2:$B$501"),$T29,INDIRECT("'"&amp;$A29&amp;"'!$A$2:$A$501"),"&gt;="&amp;$I29,INDIRECT("'"&amp;$A29&amp;"'!$A$2:$A$501"),"&lt;"&amp;($BA29+1),INDIRECT("'"&amp;$A29&amp;"'!$G$2:$G$501"),"&lt;&gt;"),0)))</f>
        <v/>
      </c>
      <c r="AZ29" s="30" t="str">
        <f aca="false">IF($A29="","",$A29&amp;"|"&amp;$L29)</f>
        <v/>
      </c>
      <c r="BA29" s="31" t="str">
        <f aca="false">IF($A29="","",IFERROR(IF(INDEX(drops!$R$2:$R$21,MATCH($H29,drops!$A$2:$A$21,0))="","",INDEX(drops!$R$2:$R$21,MATCH($H29,drops!$A$2:$A$21,0))),""))</f>
        <v/>
      </c>
      <c r="BB29" s="30" t="n">
        <f aca="false">IF(OR($A29="",$Q29&lt;&gt;"Y"),1000000,N($AL29))</f>
        <v>1000000</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C30" s="11"/>
      <c r="D30" s="10"/>
      <c r="E30" s="11"/>
      <c r="H30" s="30" t="str">
        <f aca="false">IF($A30="","",IFERROR(IF(INDEX(campaigns!$B$2:$B$51,MATCH($A30,campaigns!$A$2:$A$51,0))="","",INDEX(campaigns!$B$2:$B$51,MATCH($A30,campaigns!$A$2:$A$51,0))),""))</f>
        <v/>
      </c>
      <c r="I30" s="31" t="str">
        <f aca="false">IF($A30="","",IFERROR(IF(INDEX(campaigns!$BG$2:$BG$51,MATCH($A30,campaigns!$A$2:$A$51,0))="","",INDEX(campaigns!$BG$2:$BG$51,MATCH($A30,campaigns!$A$2:$A$51,0))),""))</f>
        <v/>
      </c>
      <c r="J30" s="30" t="str">
        <f aca="false">IF($A30="","",IFERROR(IF(INDEX(campaigns!$BE$2:$BE$51,MATCH($A30,campaigns!$A$2:$A$51,0))="","",INDEX(campaigns!$BE$2:$BE$51,MATCH($A30,campaigns!$A$2:$A$51,0))),""))</f>
        <v/>
      </c>
      <c r="K30" s="30" t="str">
        <f aca="false">IF($B30="","",IFERROR(IF(INDEX(offices!$O$2:$O$61,MATCH($B30,offices!$A$2:$A$61,0))="","",INDEX(offices!$O$2:$O$61,MATCH($B30,offices!$A$2:$A$61,0))),""))</f>
        <v/>
      </c>
      <c r="L30" s="30" t="str">
        <f aca="false">IF($A30="","",IF($Q30="N","",COUNTIFS($A$2:$A30,$A30,$Q$2:$Q30,"&lt;&gt;N")))</f>
        <v/>
      </c>
      <c r="M30" s="30" t="str">
        <f aca="false">IF(OR($A30="",$L30=""),"",IF(AND(config!$B$34="names_if_public",IFERROR(IF(INDEX(offices!$AG$2:$AG$61,MATCH($B30,offices!$A$2:$A$61,0))="","",INDEX(offices!$AG$2:$AG$61,MATCH($B30,offices!$A$2:$A$61,0))),"")="Y"),$K30,CHAR(64+$L30)))</f>
        <v/>
      </c>
      <c r="N30" s="30" t="str">
        <f aca="false">IF(OR($A30="",$I30=""),"",COUNTIFS(stops!$B$2:$B$151,$B30,stops!$P$2:$P$151,"&lt;"&amp;$I30,stops!$L$2:$L$151,"&lt;&gt;not_delivered")+1)</f>
        <v/>
      </c>
      <c r="O30" s="30" t="str">
        <f aca="false">IF($A30="","",IF(N($N30)&lt;=config!$B$29,"explicit","opt-out"))</f>
        <v/>
      </c>
      <c r="P30" s="30" t="str">
        <f aca="false">IF($A30="","",IF($O30="explicit",IF($D30="yes","Y",IF($D30="no","N","pending")),IF($D30="no","N",IF(AND($C30&lt;&gt;"",$I30&lt;&gt;"",$C30&lt;=WORKDAY(N($I30),-5,calendar!$A$2:$A$80)),"Y","pending"))))</f>
        <v/>
      </c>
      <c r="Q30" s="30" t="str">
        <f aca="false">IF($A30="","",IF($P30="N","N",IF($P30&lt;&gt;"Y","pending",IF(AND((COUNTIFS(stops!$A$2:$A$151,$H30,stops!$B$2:$B$151,$B30,stops!$L$2:$L$151,"declined")+COUNTIFS(stops!$A$2:$A$151,$H30,stops!$B$2:$B$151,$B30,stops!$L$2:$L$151,"building_refused")+COUNTIFS(stops!$A$2:$A$151,$H30,stops!$B$2:$B$151,$B30,stops!$L$2:$L$151,"not_delivered"))&gt;0,N($U30)=0),"N","Y"))))</f>
        <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str">
        <f aca="false">IF($A30="","",IF($G30&lt;&gt;"",$G30,IFERROR(IF(INDEX(offices!$AM$2:$AM$61,MATCH($B30,offices!$A$2:$A$61,0))="","",INDEX(offices!$AM$2:$AM$61,MATCH($B30,offices!$A$2:$A$61,0))),"")))</f>
        <v/>
      </c>
      <c r="T30" s="30" t="str">
        <f aca="false">IF($A30="","",$A30&amp;"."&amp;$B30)</f>
        <v/>
      </c>
      <c r="U30" s="30" t="str">
        <f aca="false">IF($A30="","",SUMIFS(inventory!$G$2:$G$801,inventory!$C$2:$C$801,$A30,inventory!$D$2:$D$801,$B30,inventory!$E$2:$E$801,"delivered"))</f>
        <v/>
      </c>
      <c r="V30" s="37" t="str">
        <f aca="false">IF($A30="","",IFERROR(1/(1/SUMPRODUCT(MAX((inventory!$C$2:$C$801=$A30)*(inventory!$D$2:$D$801=$B30)*(inventory!$E$2:$E$801="delivered")*(inventory!$A$2:$A$801+inventory!$B$2:$B$801)))),""))</f>
        <v/>
      </c>
      <c r="W30" s="30" t="str">
        <f aca="false">IF($A30="","",IFERROR(IF(INDEX(inventory!$J$2:$J$801,MATCH($A30&amp;"|"&amp;$B30&amp;"|delivered",inventory!$R$2:$R$801,0))="","",INDEX(inventory!$J$2:$J$801,MATCH($A30&amp;"|"&amp;$B30&amp;"|delivered",inventory!$R$2:$R$801,0))),""))</f>
        <v/>
      </c>
      <c r="X30" s="30" t="str">
        <f aca="false">IF($A30="","",IFERROR(IF(INDEX(photos!$H$2:$H$701,MATCH($A30&amp;"|"&amp;$B30&amp;"|placement|Y",photos!$R$2:$R$701,0))="","",INDEX(photos!$H$2:$H$701,MATCH($A30&amp;"|"&amp;$B30&amp;"|placement|Y",photos!$R$2:$R$701,0))),""))</f>
        <v/>
      </c>
      <c r="Y30" s="31" t="str">
        <f aca="false">IF($A30="","",IFERROR(IF(INDEX(photos!$E$2:$E$701,MATCH($A30&amp;"|"&amp;$B30&amp;"|placement|Y",photos!$R$2:$R$701,0))="","",INDEX(photos!$E$2:$E$701,MATCH($A30&amp;"|"&amp;$B30&amp;"|placement|Y",photos!$R$2:$R$701,0))),""))</f>
        <v/>
      </c>
      <c r="Z30" s="30" t="str">
        <f aca="false">IF($A30="","",IF(COUNTIFS(counts!$C$2:$C$701,$A30,counts!$D$2:$D$701,$B30,counts!$E$2:$E$701,"placed")=0,"",SUMIFS(counts!$F$2:$F$701,counts!$C$2:$C$701,$A30,counts!$D$2:$D$701,$B30,counts!$E$2:$E$701,"placed")))</f>
        <v/>
      </c>
      <c r="AA30" s="30" t="str">
        <f aca="false">IF($A30="","",IF($Y30="",0,N($Z30)))</f>
        <v/>
      </c>
      <c r="AB30" s="30" t="str">
        <f aca="false">IF($A30="","",IF(OR($Y30="",$I30=""),"N",IF($Y30&lt;=WORKDAY(N($I30),1,calendar!$A$2:$A$80),"Y","N")))</f>
        <v/>
      </c>
      <c r="AC30" s="33" t="str">
        <f aca="false">IF(OR($A30="",$V30="",$Y30=""),"",ROUND(($Y30+N(IFERROR(IF(INDEX(photos!$F$2:$F$701,MATCH($A30&amp;"|"&amp;$B30&amp;"|placement|Y",photos!$R$2:$R$701,0))="","",INDEX(photos!$F$2:$F$701,MATCH($A30&amp;"|"&amp;$B30&amp;"|placement|Y",photos!$R$2:$R$701,0))),""))-$V30)*24,1))</f>
        <v/>
      </c>
      <c r="AD30" s="30" t="str">
        <f aca="false">IF($A30="","",SUMIFS(inventory!$G$2:$G$801,inventory!$C$2:$C$801,$A30,inventory!$D$2:$D$801,$B30,inventory!$E$2:$E$801,"topped_up"))</f>
        <v/>
      </c>
      <c r="AE30" s="30" t="str">
        <f aca="false">IF($A30="","",IF(COUNTIFS(counts!$C$2:$C$701,$A30,counts!$D$2:$D$701,$B30,counts!$E$2:$E$701,"remaining_day3")=0,"",SUMIFS(counts!$F$2:$F$701,counts!$C$2:$C$701,$A30,counts!$D$2:$D$701,$B30,counts!$E$2:$E$701,"remaining_day3")))</f>
        <v/>
      </c>
      <c r="AF30" s="30" t="str">
        <f aca="false">IF($A30="","",IF(COUNTIFS(counts!$C$2:$C$701,$A30,counts!$D$2:$D$701,$B30,counts!$E$2:$E$701,"remaining_day5")=0,"",SUMIFS(counts!$F$2:$F$701,counts!$C$2:$C$701,$A30,counts!$D$2:$D$701,$B30,counts!$E$2:$E$701,"remaining_day5")))</f>
        <v/>
      </c>
      <c r="AG30" s="30" t="str">
        <f aca="false">IF(OR($A30="",$AF30=""),"",MAX(0,$AA30+$AD30-$AF30))</f>
        <v/>
      </c>
      <c r="AH30" s="30" t="str">
        <f aca="false">IF(OR($A30="",$AI30=""),"",IFERROR(IF(INDEX(photos!$H$2:$H$701,MATCH($A30&amp;"|"&amp;$B30&amp;"|later|Y|"&amp;$AI30,photos!$S$2:$S$701,0))="","",INDEX(photos!$H$2:$H$701,MATCH($A30&amp;"|"&amp;$B30&amp;"|later|Y|"&amp;$AI30,photos!$S$2:$S$701,0))),""))</f>
        <v/>
      </c>
      <c r="AI30" s="31" t="str">
        <f aca="false">IF($A30="","",IFERROR(1/(1/SUMPRODUCT(MAX((photos!$B$2:$B$701=$A30)*(photos!$C$2:$C$701=$B30)*(photos!$D$2:$D$701="later")*(photos!$O$2:$O$701="Y")*photos!$E$2:$E$701))),""))</f>
        <v/>
      </c>
      <c r="AJ30" s="30" t="str">
        <f aca="false">IF(OR($A30="",$AI30="",$I30=""),"",NETWORKDAYS($I30,$AI30,calendar!$A$2:$A$80))</f>
        <v/>
      </c>
      <c r="AK30" s="30" t="str">
        <f aca="false">IF($A30="","",IF(AND($X30&lt;&gt;"",$AH30&lt;&gt;""),"Y","N"))</f>
        <v/>
      </c>
      <c r="AL30" s="30" t="str">
        <f aca="true">IF(OR($A30="",$I30=""),"",IF($BC30="Y",SUMIFS(survey_frozen!$C$2:$C$251,survey_frozen!$P$2:$P$251,$A30&amp;"|"&amp;$B30),IFERROR(COUNTIFS(INDIRECT("'"&amp;$A30&amp;"'!$B$2:$B$501"),$T30,INDIRECT("'"&amp;$A30&amp;"'!$A$2:$A$501"),"&gt;="&amp;$I30,INDIRECT("'"&amp;$A30&amp;"'!$A$2:$A$501"),"&lt;"&amp;($BA30+1)),0)))</f>
        <v/>
      </c>
      <c r="AM30" s="30" t="str">
        <f aca="true">IF(OR($A30="",$I30=""),"",IF($BC30="Y",SUMIFS(survey_frozen!$D$2:$D$251,survey_frozen!$P$2:$P$251,$A30&amp;"|"&amp;$B30),IFERROR(COUNTIFS(INDIRECT("'"&amp;$A30&amp;"'!$B$2:$B$501"),$T30,INDIRECT("'"&amp;$A30&amp;"'!$A$2:$A$501"),"&gt;="&amp;$I30,INDIRECT("'"&amp;$A30&amp;"'!$A$2:$A$501"),"&lt;"&amp;($BA30+1),INDIRECT("'"&amp;$A30&amp;"'!$C$2:$C$501"),"Yes"),0)))</f>
        <v/>
      </c>
      <c r="AN30" s="30" t="str">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30" t="str">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str">
        <f aca="true">IF(OR($A30="",$I30=""),"",IF($BC30="Y",SUMIFS(survey_frozen!$E$2:$E$251,survey_frozen!$P$2:$P$251,$A30&amp;"|"&amp;$B30),IFERROR(COUNTIFS(INDIRECT("'"&amp;$A30&amp;"'!$B$2:$B$501"),$T30,INDIRECT("'"&amp;$A30&amp;"'!$A$2:$A$501"),"&gt;="&amp;$I30,INDIRECT("'"&amp;$A30&amp;"'!$A$2:$A$501"),"&lt;"&amp;($BA30+1),INDIRECT("'"&amp;$A30&amp;"'!$F$2:$F$501"),"Didn't see it"),0)))</f>
        <v/>
      </c>
      <c r="AR30" s="30" t="str">
        <f aca="true">IF(OR($A30="",$I30=""),"",IF($BC30="Y",SUMIFS(survey_frozen!$F$2:$F$251,survey_frozen!$P$2:$P$251,$A30&amp;"|"&amp;$B30),IFERROR(COUNTIFS(INDIRECT("'"&amp;$A30&amp;"'!$B$2:$B$501"),$T30,INDIRECT("'"&amp;$A30&amp;"'!$A$2:$A$501"),"&gt;="&amp;$I30,INDIRECT("'"&amp;$A30&amp;"'!$A$2:$A$501"),"&lt;"&amp;($BA30+1),INDIRECT("'"&amp;$A30&amp;"'!$F$2:$F$501"),"Not for me"),0)))</f>
        <v/>
      </c>
      <c r="AS30" s="30" t="str">
        <f aca="true">IF(OR($A30="",$I30=""),"",IF($BC30="Y",SUMIFS(survey_frozen!$G$2:$G$251,survey_frozen!$P$2:$P$251,$A30&amp;"|"&amp;$B30),IFERROR(COUNTIFS(INDIRECT("'"&amp;$A30&amp;"'!$B$2:$B$501"),$T30,INDIRECT("'"&amp;$A30&amp;"'!$A$2:$A$501"),"&gt;="&amp;$I30,INDIRECT("'"&amp;$A30&amp;"'!$A$2:$A$501"),"&lt;"&amp;($BA30+1),INDIRECT("'"&amp;$A30&amp;"'!$F$2:$F$501"),"Gone by the time I looked"),0)))</f>
        <v/>
      </c>
      <c r="AT30" s="30" t="str">
        <f aca="true">IF(OR($A30="",$I30=""),"",IF($BC30="Y",SUMIFS(survey_frozen!$H$2:$H$251,survey_frozen!$P$2:$P$251,$A30&amp;"|"&amp;$B30),IFERROR(COUNTIFS(INDIRECT("'"&amp;$A30&amp;"'!$B$2:$B$501"),$T30,INDIRECT("'"&amp;$A30&amp;"'!$A$2:$A$501"),"&gt;="&amp;$I30,INDIRECT("'"&amp;$A30&amp;"'!$A$2:$A$501"),"&lt;"&amp;($BA30+1),INDIRECT("'"&amp;$A30&amp;"'!$D$2:$D$501"),"&gt;=1"),0)))</f>
        <v/>
      </c>
      <c r="AU30" s="30" t="str">
        <f aca="true">IF(OR($A30="",$I30=""),"",IF($BC30="Y",SUMIFS(survey_frozen!$I$2:$I$251,survey_frozen!$P$2:$P$251,$A30&amp;"|"&amp;$B30),IFERROR(SUMIFS(INDIRECT("'"&amp;$A30&amp;"'!$D$2:$D$501"),INDIRECT("'"&amp;$A30&amp;"'!$B$2:$B$501"),$T30,INDIRECT("'"&amp;$A30&amp;"'!$A$2:$A$501"),"&gt;="&amp;$I30,INDIRECT("'"&amp;$A30&amp;"'!$A$2:$A$501"),"&lt;"&amp;($BA30+1)),0)))</f>
        <v/>
      </c>
      <c r="AV30" s="30" t="str">
        <f aca="true">IF(OR($A30="",$I30=""),"",IF($BC30="Y",SUMIFS(survey_frozen!$J$2:$J$251,survey_frozen!$P$2:$P$251,$A30&amp;"|"&amp;$B30),IFERROR(COUNTIFS(INDIRECT("'"&amp;$A30&amp;"'!$B$2:$B$501"),$T30,INDIRECT("'"&amp;$A30&amp;"'!$A$2:$A$501"),"&gt;="&amp;$I30,INDIRECT("'"&amp;$A30&amp;"'!$A$2:$A$501"),"&lt;"&amp;($BA30+1),INDIRECT("'"&amp;$A30&amp;"'!$E$2:$E$501"),"Yes"),0)))</f>
        <v/>
      </c>
      <c r="AW30" s="30" t="str">
        <f aca="true">IF(OR($A30="",$I30=""),"",IF($BC30="Y",SUMIFS(survey_frozen!$K$2:$K$251,survey_frozen!$P$2:$P$251,$A30&amp;"|"&amp;$B30),IFERROR(COUNTIFS(INDIRECT("'"&amp;$A30&amp;"'!$B$2:$B$501"),$T30,INDIRECT("'"&amp;$A30&amp;"'!$A$2:$A$501"),"&gt;="&amp;$I30,INDIRECT("'"&amp;$A30&amp;"'!$A$2:$A$501"),"&lt;"&amp;($BA30+1),INDIRECT("'"&amp;$A30&amp;"'!$E$2:$E$501"),"Maybe"),0)))</f>
        <v/>
      </c>
      <c r="AX30" s="30" t="str">
        <f aca="true">IF(OR($A30="",$I30=""),"",IF($BC30="Y",SUMIFS(survey_frozen!$L$2:$L$251,survey_frozen!$P$2:$P$251,$A30&amp;"|"&amp;$B30),IFERROR(COUNTIFS(INDIRECT("'"&amp;$A30&amp;"'!$B$2:$B$501"),$T30,INDIRECT("'"&amp;$A30&amp;"'!$A$2:$A$501"),"&gt;="&amp;$I30,INDIRECT("'"&amp;$A30&amp;"'!$A$2:$A$501"),"&lt;"&amp;($BA30+1),INDIRECT("'"&amp;$A30&amp;"'!$E$2:$E$501"),"No"),0)))</f>
        <v/>
      </c>
      <c r="AY30" s="30" t="str">
        <f aca="true">IF(OR($A30="",$I30=""),"",IF($BC30="Y",SUMIFS(survey_frozen!$M$2:$M$251,survey_frozen!$P$2:$P$251,$A30&amp;"|"&amp;$B30),IFERROR(COUNTIFS(INDIRECT("'"&amp;$A30&amp;"'!$B$2:$B$501"),$T30,INDIRECT("'"&amp;$A30&amp;"'!$A$2:$A$501"),"&gt;="&amp;$I30,INDIRECT("'"&amp;$A30&amp;"'!$A$2:$A$501"),"&lt;"&amp;($BA30+1),INDIRECT("'"&amp;$A30&amp;"'!$G$2:$G$501"),"&lt;&gt;"),0)))</f>
        <v/>
      </c>
      <c r="AZ30" s="30" t="str">
        <f aca="false">IF($A30="","",$A30&amp;"|"&amp;$L30)</f>
        <v/>
      </c>
      <c r="BA30" s="31" t="str">
        <f aca="false">IF($A30="","",IFERROR(IF(INDEX(drops!$R$2:$R$21,MATCH($H30,drops!$A$2:$A$21,0))="","",INDEX(drops!$R$2:$R$21,MATCH($H30,drops!$A$2:$A$21,0))),""))</f>
        <v/>
      </c>
      <c r="BB30" s="30" t="n">
        <f aca="false">IF(OR($A30="",$Q30&lt;&gt;"Y"),1000000,N($AL30))</f>
        <v>1000000</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C31" s="11"/>
      <c r="D31" s="10"/>
      <c r="E31" s="11"/>
      <c r="H31" s="30" t="str">
        <f aca="false">IF($A31="","",IFERROR(IF(INDEX(campaigns!$B$2:$B$51,MATCH($A31,campaigns!$A$2:$A$51,0))="","",INDEX(campaigns!$B$2:$B$51,MATCH($A31,campaigns!$A$2:$A$51,0))),""))</f>
        <v/>
      </c>
      <c r="I31" s="31" t="str">
        <f aca="false">IF($A31="","",IFERROR(IF(INDEX(campaigns!$BG$2:$BG$51,MATCH($A31,campaigns!$A$2:$A$51,0))="","",INDEX(campaigns!$BG$2:$BG$51,MATCH($A31,campaigns!$A$2:$A$51,0))),""))</f>
        <v/>
      </c>
      <c r="J31" s="30" t="str">
        <f aca="false">IF($A31="","",IFERROR(IF(INDEX(campaigns!$BE$2:$BE$51,MATCH($A31,campaigns!$A$2:$A$51,0))="","",INDEX(campaigns!$BE$2:$BE$51,MATCH($A31,campaigns!$A$2:$A$51,0))),""))</f>
        <v/>
      </c>
      <c r="K31" s="30" t="str">
        <f aca="false">IF($B31="","",IFERROR(IF(INDEX(offices!$O$2:$O$61,MATCH($B31,offices!$A$2:$A$61,0))="","",INDEX(offices!$O$2:$O$61,MATCH($B31,offices!$A$2:$A$61,0))),""))</f>
        <v/>
      </c>
      <c r="L31" s="30" t="str">
        <f aca="false">IF($A31="","",IF($Q31="N","",COUNTIFS($A$2:$A31,$A31,$Q$2:$Q31,"&lt;&gt;N")))</f>
        <v/>
      </c>
      <c r="M31" s="30" t="str">
        <f aca="false">IF(OR($A31="",$L31=""),"",IF(AND(config!$B$34="names_if_public",IFERROR(IF(INDEX(offices!$AG$2:$AG$61,MATCH($B31,offices!$A$2:$A$61,0))="","",INDEX(offices!$AG$2:$AG$61,MATCH($B31,offices!$A$2:$A$61,0))),"")="Y"),$K31,CHAR(64+$L31)))</f>
        <v/>
      </c>
      <c r="N31" s="30" t="str">
        <f aca="false">IF(OR($A31="",$I31=""),"",COUNTIFS(stops!$B$2:$B$151,$B31,stops!$P$2:$P$151,"&lt;"&amp;$I31,stops!$L$2:$L$151,"&lt;&gt;not_delivered")+1)</f>
        <v/>
      </c>
      <c r="O31" s="30" t="str">
        <f aca="false">IF($A31="","",IF(N($N31)&lt;=config!$B$29,"explicit","opt-out"))</f>
        <v/>
      </c>
      <c r="P31" s="30" t="str">
        <f aca="false">IF($A31="","",IF($O31="explicit",IF($D31="yes","Y",IF($D31="no","N","pending")),IF($D31="no","N",IF(AND($C31&lt;&gt;"",$I31&lt;&gt;"",$C31&lt;=WORKDAY(N($I31),-5,calendar!$A$2:$A$80)),"Y","pending"))))</f>
        <v/>
      </c>
      <c r="Q31" s="30" t="str">
        <f aca="false">IF($A31="","",IF($P31="N","N",IF($P31&lt;&gt;"Y","pending",IF(AND((COUNTIFS(stops!$A$2:$A$151,$H31,stops!$B$2:$B$151,$B31,stops!$L$2:$L$151,"declined")+COUNTIFS(stops!$A$2:$A$151,$H31,stops!$B$2:$B$151,$B31,stops!$L$2:$L$151,"building_refused")+COUNTIFS(stops!$A$2:$A$151,$H31,stops!$B$2:$B$151,$B31,stops!$L$2:$L$151,"not_delivered"))&gt;0,N($U31)=0),"N","Y"))))</f>
        <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str">
        <f aca="false">IF($A31="","",IF($G31&lt;&gt;"",$G31,IFERROR(IF(INDEX(offices!$AM$2:$AM$61,MATCH($B31,offices!$A$2:$A$61,0))="","",INDEX(offices!$AM$2:$AM$61,MATCH($B31,offices!$A$2:$A$61,0))),"")))</f>
        <v/>
      </c>
      <c r="T31" s="30" t="str">
        <f aca="false">IF($A31="","",$A31&amp;"."&amp;$B31)</f>
        <v/>
      </c>
      <c r="U31" s="30" t="str">
        <f aca="false">IF($A31="","",SUMIFS(inventory!$G$2:$G$801,inventory!$C$2:$C$801,$A31,inventory!$D$2:$D$801,$B31,inventory!$E$2:$E$801,"delivered"))</f>
        <v/>
      </c>
      <c r="V31" s="37" t="str">
        <f aca="false">IF($A31="","",IFERROR(1/(1/SUMPRODUCT(MAX((inventory!$C$2:$C$801=$A31)*(inventory!$D$2:$D$801=$B31)*(inventory!$E$2:$E$801="delivered")*(inventory!$A$2:$A$801+inventory!$B$2:$B$801)))),""))</f>
        <v/>
      </c>
      <c r="W31" s="30" t="str">
        <f aca="false">IF($A31="","",IFERROR(IF(INDEX(inventory!$J$2:$J$801,MATCH($A31&amp;"|"&amp;$B31&amp;"|delivered",inventory!$R$2:$R$801,0))="","",INDEX(inventory!$J$2:$J$801,MATCH($A31&amp;"|"&amp;$B31&amp;"|delivered",inventory!$R$2:$R$801,0))),""))</f>
        <v/>
      </c>
      <c r="X31" s="30" t="str">
        <f aca="false">IF($A31="","",IFERROR(IF(INDEX(photos!$H$2:$H$701,MATCH($A31&amp;"|"&amp;$B31&amp;"|placement|Y",photos!$R$2:$R$701,0))="","",INDEX(photos!$H$2:$H$701,MATCH($A31&amp;"|"&amp;$B31&amp;"|placement|Y",photos!$R$2:$R$701,0))),""))</f>
        <v/>
      </c>
      <c r="Y31" s="31" t="str">
        <f aca="false">IF($A31="","",IFERROR(IF(INDEX(photos!$E$2:$E$701,MATCH($A31&amp;"|"&amp;$B31&amp;"|placement|Y",photos!$R$2:$R$701,0))="","",INDEX(photos!$E$2:$E$701,MATCH($A31&amp;"|"&amp;$B31&amp;"|placement|Y",photos!$R$2:$R$701,0))),""))</f>
        <v/>
      </c>
      <c r="Z31" s="30" t="str">
        <f aca="false">IF($A31="","",IF(COUNTIFS(counts!$C$2:$C$701,$A31,counts!$D$2:$D$701,$B31,counts!$E$2:$E$701,"placed")=0,"",SUMIFS(counts!$F$2:$F$701,counts!$C$2:$C$701,$A31,counts!$D$2:$D$701,$B31,counts!$E$2:$E$701,"placed")))</f>
        <v/>
      </c>
      <c r="AA31" s="30" t="str">
        <f aca="false">IF($A31="","",IF($Y31="",0,N($Z31)))</f>
        <v/>
      </c>
      <c r="AB31" s="30" t="str">
        <f aca="false">IF($A31="","",IF(OR($Y31="",$I31=""),"N",IF($Y31&lt;=WORKDAY(N($I31),1,calendar!$A$2:$A$80),"Y","N")))</f>
        <v/>
      </c>
      <c r="AC31" s="33" t="str">
        <f aca="false">IF(OR($A31="",$V31="",$Y31=""),"",ROUND(($Y31+N(IFERROR(IF(INDEX(photos!$F$2:$F$701,MATCH($A31&amp;"|"&amp;$B31&amp;"|placement|Y",photos!$R$2:$R$701,0))="","",INDEX(photos!$F$2:$F$701,MATCH($A31&amp;"|"&amp;$B31&amp;"|placement|Y",photos!$R$2:$R$701,0))),""))-$V31)*24,1))</f>
        <v/>
      </c>
      <c r="AD31" s="30" t="str">
        <f aca="false">IF($A31="","",SUMIFS(inventory!$G$2:$G$801,inventory!$C$2:$C$801,$A31,inventory!$D$2:$D$801,$B31,inventory!$E$2:$E$801,"topped_up"))</f>
        <v/>
      </c>
      <c r="AE31" s="30" t="str">
        <f aca="false">IF($A31="","",IF(COUNTIFS(counts!$C$2:$C$701,$A31,counts!$D$2:$D$701,$B31,counts!$E$2:$E$701,"remaining_day3")=0,"",SUMIFS(counts!$F$2:$F$701,counts!$C$2:$C$701,$A31,counts!$D$2:$D$701,$B31,counts!$E$2:$E$701,"remaining_day3")))</f>
        <v/>
      </c>
      <c r="AF31" s="30" t="str">
        <f aca="false">IF($A31="","",IF(COUNTIFS(counts!$C$2:$C$701,$A31,counts!$D$2:$D$701,$B31,counts!$E$2:$E$701,"remaining_day5")=0,"",SUMIFS(counts!$F$2:$F$701,counts!$C$2:$C$701,$A31,counts!$D$2:$D$701,$B31,counts!$E$2:$E$701,"remaining_day5")))</f>
        <v/>
      </c>
      <c r="AG31" s="30" t="str">
        <f aca="false">IF(OR($A31="",$AF31=""),"",MAX(0,$AA31+$AD31-$AF31))</f>
        <v/>
      </c>
      <c r="AH31" s="30" t="str">
        <f aca="false">IF(OR($A31="",$AI31=""),"",IFERROR(IF(INDEX(photos!$H$2:$H$701,MATCH($A31&amp;"|"&amp;$B31&amp;"|later|Y|"&amp;$AI31,photos!$S$2:$S$701,0))="","",INDEX(photos!$H$2:$H$701,MATCH($A31&amp;"|"&amp;$B31&amp;"|later|Y|"&amp;$AI31,photos!$S$2:$S$701,0))),""))</f>
        <v/>
      </c>
      <c r="AI31" s="31" t="str">
        <f aca="false">IF($A31="","",IFERROR(1/(1/SUMPRODUCT(MAX((photos!$B$2:$B$701=$A31)*(photos!$C$2:$C$701=$B31)*(photos!$D$2:$D$701="later")*(photos!$O$2:$O$701="Y")*photos!$E$2:$E$701))),""))</f>
        <v/>
      </c>
      <c r="AJ31" s="30" t="str">
        <f aca="false">IF(OR($A31="",$AI31="",$I31=""),"",NETWORKDAYS($I31,$AI31,calendar!$A$2:$A$80))</f>
        <v/>
      </c>
      <c r="AK31" s="30" t="str">
        <f aca="false">IF($A31="","",IF(AND($X31&lt;&gt;"",$AH31&lt;&gt;""),"Y","N"))</f>
        <v/>
      </c>
      <c r="AL31" s="30" t="str">
        <f aca="true">IF(OR($A31="",$I31=""),"",IF($BC31="Y",SUMIFS(survey_frozen!$C$2:$C$251,survey_frozen!$P$2:$P$251,$A31&amp;"|"&amp;$B31),IFERROR(COUNTIFS(INDIRECT("'"&amp;$A31&amp;"'!$B$2:$B$501"),$T31,INDIRECT("'"&amp;$A31&amp;"'!$A$2:$A$501"),"&gt;="&amp;$I31,INDIRECT("'"&amp;$A31&amp;"'!$A$2:$A$501"),"&lt;"&amp;($BA31+1)),0)))</f>
        <v/>
      </c>
      <c r="AM31" s="30" t="str">
        <f aca="true">IF(OR($A31="",$I31=""),"",IF($BC31="Y",SUMIFS(survey_frozen!$D$2:$D$251,survey_frozen!$P$2:$P$251,$A31&amp;"|"&amp;$B31),IFERROR(COUNTIFS(INDIRECT("'"&amp;$A31&amp;"'!$B$2:$B$501"),$T31,INDIRECT("'"&amp;$A31&amp;"'!$A$2:$A$501"),"&gt;="&amp;$I31,INDIRECT("'"&amp;$A31&amp;"'!$A$2:$A$501"),"&lt;"&amp;($BA31+1),INDIRECT("'"&amp;$A31&amp;"'!$C$2:$C$501"),"Yes"),0)))</f>
        <v/>
      </c>
      <c r="AN31" s="30" t="str">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30" t="str">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str">
        <f aca="true">IF(OR($A31="",$I31=""),"",IF($BC31="Y",SUMIFS(survey_frozen!$E$2:$E$251,survey_frozen!$P$2:$P$251,$A31&amp;"|"&amp;$B31),IFERROR(COUNTIFS(INDIRECT("'"&amp;$A31&amp;"'!$B$2:$B$501"),$T31,INDIRECT("'"&amp;$A31&amp;"'!$A$2:$A$501"),"&gt;="&amp;$I31,INDIRECT("'"&amp;$A31&amp;"'!$A$2:$A$501"),"&lt;"&amp;($BA31+1),INDIRECT("'"&amp;$A31&amp;"'!$F$2:$F$501"),"Didn't see it"),0)))</f>
        <v/>
      </c>
      <c r="AR31" s="30" t="str">
        <f aca="true">IF(OR($A31="",$I31=""),"",IF($BC31="Y",SUMIFS(survey_frozen!$F$2:$F$251,survey_frozen!$P$2:$P$251,$A31&amp;"|"&amp;$B31),IFERROR(COUNTIFS(INDIRECT("'"&amp;$A31&amp;"'!$B$2:$B$501"),$T31,INDIRECT("'"&amp;$A31&amp;"'!$A$2:$A$501"),"&gt;="&amp;$I31,INDIRECT("'"&amp;$A31&amp;"'!$A$2:$A$501"),"&lt;"&amp;($BA31+1),INDIRECT("'"&amp;$A31&amp;"'!$F$2:$F$501"),"Not for me"),0)))</f>
        <v/>
      </c>
      <c r="AS31" s="30" t="str">
        <f aca="true">IF(OR($A31="",$I31=""),"",IF($BC31="Y",SUMIFS(survey_frozen!$G$2:$G$251,survey_frozen!$P$2:$P$251,$A31&amp;"|"&amp;$B31),IFERROR(COUNTIFS(INDIRECT("'"&amp;$A31&amp;"'!$B$2:$B$501"),$T31,INDIRECT("'"&amp;$A31&amp;"'!$A$2:$A$501"),"&gt;="&amp;$I31,INDIRECT("'"&amp;$A31&amp;"'!$A$2:$A$501"),"&lt;"&amp;($BA31+1),INDIRECT("'"&amp;$A31&amp;"'!$F$2:$F$501"),"Gone by the time I looked"),0)))</f>
        <v/>
      </c>
      <c r="AT31" s="30" t="str">
        <f aca="true">IF(OR($A31="",$I31=""),"",IF($BC31="Y",SUMIFS(survey_frozen!$H$2:$H$251,survey_frozen!$P$2:$P$251,$A31&amp;"|"&amp;$B31),IFERROR(COUNTIFS(INDIRECT("'"&amp;$A31&amp;"'!$B$2:$B$501"),$T31,INDIRECT("'"&amp;$A31&amp;"'!$A$2:$A$501"),"&gt;="&amp;$I31,INDIRECT("'"&amp;$A31&amp;"'!$A$2:$A$501"),"&lt;"&amp;($BA31+1),INDIRECT("'"&amp;$A31&amp;"'!$D$2:$D$501"),"&gt;=1"),0)))</f>
        <v/>
      </c>
      <c r="AU31" s="30" t="str">
        <f aca="true">IF(OR($A31="",$I31=""),"",IF($BC31="Y",SUMIFS(survey_frozen!$I$2:$I$251,survey_frozen!$P$2:$P$251,$A31&amp;"|"&amp;$B31),IFERROR(SUMIFS(INDIRECT("'"&amp;$A31&amp;"'!$D$2:$D$501"),INDIRECT("'"&amp;$A31&amp;"'!$B$2:$B$501"),$T31,INDIRECT("'"&amp;$A31&amp;"'!$A$2:$A$501"),"&gt;="&amp;$I31,INDIRECT("'"&amp;$A31&amp;"'!$A$2:$A$501"),"&lt;"&amp;($BA31+1)),0)))</f>
        <v/>
      </c>
      <c r="AV31" s="30" t="str">
        <f aca="true">IF(OR($A31="",$I31=""),"",IF($BC31="Y",SUMIFS(survey_frozen!$J$2:$J$251,survey_frozen!$P$2:$P$251,$A31&amp;"|"&amp;$B31),IFERROR(COUNTIFS(INDIRECT("'"&amp;$A31&amp;"'!$B$2:$B$501"),$T31,INDIRECT("'"&amp;$A31&amp;"'!$A$2:$A$501"),"&gt;="&amp;$I31,INDIRECT("'"&amp;$A31&amp;"'!$A$2:$A$501"),"&lt;"&amp;($BA31+1),INDIRECT("'"&amp;$A31&amp;"'!$E$2:$E$501"),"Yes"),0)))</f>
        <v/>
      </c>
      <c r="AW31" s="30" t="str">
        <f aca="true">IF(OR($A31="",$I31=""),"",IF($BC31="Y",SUMIFS(survey_frozen!$K$2:$K$251,survey_frozen!$P$2:$P$251,$A31&amp;"|"&amp;$B31),IFERROR(COUNTIFS(INDIRECT("'"&amp;$A31&amp;"'!$B$2:$B$501"),$T31,INDIRECT("'"&amp;$A31&amp;"'!$A$2:$A$501"),"&gt;="&amp;$I31,INDIRECT("'"&amp;$A31&amp;"'!$A$2:$A$501"),"&lt;"&amp;($BA31+1),INDIRECT("'"&amp;$A31&amp;"'!$E$2:$E$501"),"Maybe"),0)))</f>
        <v/>
      </c>
      <c r="AX31" s="30" t="str">
        <f aca="true">IF(OR($A31="",$I31=""),"",IF($BC31="Y",SUMIFS(survey_frozen!$L$2:$L$251,survey_frozen!$P$2:$P$251,$A31&amp;"|"&amp;$B31),IFERROR(COUNTIFS(INDIRECT("'"&amp;$A31&amp;"'!$B$2:$B$501"),$T31,INDIRECT("'"&amp;$A31&amp;"'!$A$2:$A$501"),"&gt;="&amp;$I31,INDIRECT("'"&amp;$A31&amp;"'!$A$2:$A$501"),"&lt;"&amp;($BA31+1),INDIRECT("'"&amp;$A31&amp;"'!$E$2:$E$501"),"No"),0)))</f>
        <v/>
      </c>
      <c r="AY31" s="30" t="str">
        <f aca="true">IF(OR($A31="",$I31=""),"",IF($BC31="Y",SUMIFS(survey_frozen!$M$2:$M$251,survey_frozen!$P$2:$P$251,$A31&amp;"|"&amp;$B31),IFERROR(COUNTIFS(INDIRECT("'"&amp;$A31&amp;"'!$B$2:$B$501"),$T31,INDIRECT("'"&amp;$A31&amp;"'!$A$2:$A$501"),"&gt;="&amp;$I31,INDIRECT("'"&amp;$A31&amp;"'!$A$2:$A$501"),"&lt;"&amp;($BA31+1),INDIRECT("'"&amp;$A31&amp;"'!$G$2:$G$501"),"&lt;&gt;"),0)))</f>
        <v/>
      </c>
      <c r="AZ31" s="30" t="str">
        <f aca="false">IF($A31="","",$A31&amp;"|"&amp;$L31)</f>
        <v/>
      </c>
      <c r="BA31" s="31" t="str">
        <f aca="false">IF($A31="","",IFERROR(IF(INDEX(drops!$R$2:$R$21,MATCH($H31,drops!$A$2:$A$21,0))="","",INDEX(drops!$R$2:$R$21,MATCH($H31,drops!$A$2:$A$21,0))),""))</f>
        <v/>
      </c>
      <c r="BB31" s="30" t="n">
        <f aca="false">IF(OR($A31="",$Q31&lt;&gt;"Y"),1000000,N($AL31))</f>
        <v>1000000</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C32" s="11"/>
      <c r="D32" s="10"/>
      <c r="E32" s="11"/>
      <c r="H32" s="30" t="str">
        <f aca="false">IF($A32="","",IFERROR(IF(INDEX(campaigns!$B$2:$B$51,MATCH($A32,campaigns!$A$2:$A$51,0))="","",INDEX(campaigns!$B$2:$B$51,MATCH($A32,campaigns!$A$2:$A$51,0))),""))</f>
        <v/>
      </c>
      <c r="I32" s="31" t="str">
        <f aca="false">IF($A32="","",IFERROR(IF(INDEX(campaigns!$BG$2:$BG$51,MATCH($A32,campaigns!$A$2:$A$51,0))="","",INDEX(campaigns!$BG$2:$BG$51,MATCH($A32,campaigns!$A$2:$A$51,0))),""))</f>
        <v/>
      </c>
      <c r="J32" s="30" t="str">
        <f aca="false">IF($A32="","",IFERROR(IF(INDEX(campaigns!$BE$2:$BE$51,MATCH($A32,campaigns!$A$2:$A$51,0))="","",INDEX(campaigns!$BE$2:$BE$51,MATCH($A32,campaigns!$A$2:$A$51,0))),""))</f>
        <v/>
      </c>
      <c r="K32" s="30" t="str">
        <f aca="false">IF($B32="","",IFERROR(IF(INDEX(offices!$O$2:$O$61,MATCH($B32,offices!$A$2:$A$61,0))="","",INDEX(offices!$O$2:$O$61,MATCH($B32,offices!$A$2:$A$61,0))),""))</f>
        <v/>
      </c>
      <c r="L32" s="30" t="str">
        <f aca="false">IF($A32="","",IF($Q32="N","",COUNTIFS($A$2:$A32,$A32,$Q$2:$Q32,"&lt;&gt;N")))</f>
        <v/>
      </c>
      <c r="M32" s="30" t="str">
        <f aca="false">IF(OR($A32="",$L32=""),"",IF(AND(config!$B$34="names_if_public",IFERROR(IF(INDEX(offices!$AG$2:$AG$61,MATCH($B32,offices!$A$2:$A$61,0))="","",INDEX(offices!$AG$2:$AG$61,MATCH($B32,offices!$A$2:$A$61,0))),"")="Y"),$K32,CHAR(64+$L32)))</f>
        <v/>
      </c>
      <c r="N32" s="30" t="str">
        <f aca="false">IF(OR($A32="",$I32=""),"",COUNTIFS(stops!$B$2:$B$151,$B32,stops!$P$2:$P$151,"&lt;"&amp;$I32,stops!$L$2:$L$151,"&lt;&gt;not_delivered")+1)</f>
        <v/>
      </c>
      <c r="O32" s="30" t="str">
        <f aca="false">IF($A32="","",IF(N($N32)&lt;=config!$B$29,"explicit","opt-out"))</f>
        <v/>
      </c>
      <c r="P32" s="30" t="str">
        <f aca="false">IF($A32="","",IF($O32="explicit",IF($D32="yes","Y",IF($D32="no","N","pending")),IF($D32="no","N",IF(AND($C32&lt;&gt;"",$I32&lt;&gt;"",$C32&lt;=WORKDAY(N($I32),-5,calendar!$A$2:$A$80)),"Y","pending"))))</f>
        <v/>
      </c>
      <c r="Q32" s="30" t="str">
        <f aca="false">IF($A32="","",IF($P32="N","N",IF($P32&lt;&gt;"Y","pending",IF(AND((COUNTIFS(stops!$A$2:$A$151,$H32,stops!$B$2:$B$151,$B32,stops!$L$2:$L$151,"declined")+COUNTIFS(stops!$A$2:$A$151,$H32,stops!$B$2:$B$151,$B32,stops!$L$2:$L$151,"building_refused")+COUNTIFS(stops!$A$2:$A$151,$H32,stops!$B$2:$B$151,$B32,stops!$L$2:$L$151,"not_delivered"))&gt;0,N($U32)=0),"N","Y"))))</f>
        <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str">
        <f aca="false">IF($A32="","",IF($G32&lt;&gt;"",$G32,IFERROR(IF(INDEX(offices!$AM$2:$AM$61,MATCH($B32,offices!$A$2:$A$61,0))="","",INDEX(offices!$AM$2:$AM$61,MATCH($B32,offices!$A$2:$A$61,0))),"")))</f>
        <v/>
      </c>
      <c r="T32" s="30" t="str">
        <f aca="false">IF($A32="","",$A32&amp;"."&amp;$B32)</f>
        <v/>
      </c>
      <c r="U32" s="30" t="str">
        <f aca="false">IF($A32="","",SUMIFS(inventory!$G$2:$G$801,inventory!$C$2:$C$801,$A32,inventory!$D$2:$D$801,$B32,inventory!$E$2:$E$801,"delivered"))</f>
        <v/>
      </c>
      <c r="V32" s="37" t="str">
        <f aca="false">IF($A32="","",IFERROR(1/(1/SUMPRODUCT(MAX((inventory!$C$2:$C$801=$A32)*(inventory!$D$2:$D$801=$B32)*(inventory!$E$2:$E$801="delivered")*(inventory!$A$2:$A$801+inventory!$B$2:$B$801)))),""))</f>
        <v/>
      </c>
      <c r="W32" s="30" t="str">
        <f aca="false">IF($A32="","",IFERROR(IF(INDEX(inventory!$J$2:$J$801,MATCH($A32&amp;"|"&amp;$B32&amp;"|delivered",inventory!$R$2:$R$801,0))="","",INDEX(inventory!$J$2:$J$801,MATCH($A32&amp;"|"&amp;$B32&amp;"|delivered",inventory!$R$2:$R$801,0))),""))</f>
        <v/>
      </c>
      <c r="X32" s="30" t="str">
        <f aca="false">IF($A32="","",IFERROR(IF(INDEX(photos!$H$2:$H$701,MATCH($A32&amp;"|"&amp;$B32&amp;"|placement|Y",photos!$R$2:$R$701,0))="","",INDEX(photos!$H$2:$H$701,MATCH($A32&amp;"|"&amp;$B32&amp;"|placement|Y",photos!$R$2:$R$701,0))),""))</f>
        <v/>
      </c>
      <c r="Y32" s="31" t="str">
        <f aca="false">IF($A32="","",IFERROR(IF(INDEX(photos!$E$2:$E$701,MATCH($A32&amp;"|"&amp;$B32&amp;"|placement|Y",photos!$R$2:$R$701,0))="","",INDEX(photos!$E$2:$E$701,MATCH($A32&amp;"|"&amp;$B32&amp;"|placement|Y",photos!$R$2:$R$701,0))),""))</f>
        <v/>
      </c>
      <c r="Z32" s="30" t="str">
        <f aca="false">IF($A32="","",IF(COUNTIFS(counts!$C$2:$C$701,$A32,counts!$D$2:$D$701,$B32,counts!$E$2:$E$701,"placed")=0,"",SUMIFS(counts!$F$2:$F$701,counts!$C$2:$C$701,$A32,counts!$D$2:$D$701,$B32,counts!$E$2:$E$701,"placed")))</f>
        <v/>
      </c>
      <c r="AA32" s="30" t="str">
        <f aca="false">IF($A32="","",IF($Y32="",0,N($Z32)))</f>
        <v/>
      </c>
      <c r="AB32" s="30" t="str">
        <f aca="false">IF($A32="","",IF(OR($Y32="",$I32=""),"N",IF($Y32&lt;=WORKDAY(N($I32),1,calendar!$A$2:$A$80),"Y","N")))</f>
        <v/>
      </c>
      <c r="AC32" s="33" t="str">
        <f aca="false">IF(OR($A32="",$V32="",$Y32=""),"",ROUND(($Y32+N(IFERROR(IF(INDEX(photos!$F$2:$F$701,MATCH($A32&amp;"|"&amp;$B32&amp;"|placement|Y",photos!$R$2:$R$701,0))="","",INDEX(photos!$F$2:$F$701,MATCH($A32&amp;"|"&amp;$B32&amp;"|placement|Y",photos!$R$2:$R$701,0))),""))-$V32)*24,1))</f>
        <v/>
      </c>
      <c r="AD32" s="30" t="str">
        <f aca="false">IF($A32="","",SUMIFS(inventory!$G$2:$G$801,inventory!$C$2:$C$801,$A32,inventory!$D$2:$D$801,$B32,inventory!$E$2:$E$801,"topped_up"))</f>
        <v/>
      </c>
      <c r="AE32" s="30" t="str">
        <f aca="false">IF($A32="","",IF(COUNTIFS(counts!$C$2:$C$701,$A32,counts!$D$2:$D$701,$B32,counts!$E$2:$E$701,"remaining_day3")=0,"",SUMIFS(counts!$F$2:$F$701,counts!$C$2:$C$701,$A32,counts!$D$2:$D$701,$B32,counts!$E$2:$E$701,"remaining_day3")))</f>
        <v/>
      </c>
      <c r="AF32" s="30" t="str">
        <f aca="false">IF($A32="","",IF(COUNTIFS(counts!$C$2:$C$701,$A32,counts!$D$2:$D$701,$B32,counts!$E$2:$E$701,"remaining_day5")=0,"",SUMIFS(counts!$F$2:$F$701,counts!$C$2:$C$701,$A32,counts!$D$2:$D$701,$B32,counts!$E$2:$E$701,"remaining_day5")))</f>
        <v/>
      </c>
      <c r="AG32" s="30" t="str">
        <f aca="false">IF(OR($A32="",$AF32=""),"",MAX(0,$AA32+$AD32-$AF32))</f>
        <v/>
      </c>
      <c r="AH32" s="30" t="str">
        <f aca="false">IF(OR($A32="",$AI32=""),"",IFERROR(IF(INDEX(photos!$H$2:$H$701,MATCH($A32&amp;"|"&amp;$B32&amp;"|later|Y|"&amp;$AI32,photos!$S$2:$S$701,0))="","",INDEX(photos!$H$2:$H$701,MATCH($A32&amp;"|"&amp;$B32&amp;"|later|Y|"&amp;$AI32,photos!$S$2:$S$701,0))),""))</f>
        <v/>
      </c>
      <c r="AI32" s="31" t="str">
        <f aca="false">IF($A32="","",IFERROR(1/(1/SUMPRODUCT(MAX((photos!$B$2:$B$701=$A32)*(photos!$C$2:$C$701=$B32)*(photos!$D$2:$D$701="later")*(photos!$O$2:$O$701="Y")*photos!$E$2:$E$701))),""))</f>
        <v/>
      </c>
      <c r="AJ32" s="30" t="str">
        <f aca="false">IF(OR($A32="",$AI32="",$I32=""),"",NETWORKDAYS($I32,$AI32,calendar!$A$2:$A$80))</f>
        <v/>
      </c>
      <c r="AK32" s="30" t="str">
        <f aca="false">IF($A32="","",IF(AND($X32&lt;&gt;"",$AH32&lt;&gt;""),"Y","N"))</f>
        <v/>
      </c>
      <c r="AL32" s="30" t="str">
        <f aca="true">IF(OR($A32="",$I32=""),"",IF($BC32="Y",SUMIFS(survey_frozen!$C$2:$C$251,survey_frozen!$P$2:$P$251,$A32&amp;"|"&amp;$B32),IFERROR(COUNTIFS(INDIRECT("'"&amp;$A32&amp;"'!$B$2:$B$501"),$T32,INDIRECT("'"&amp;$A32&amp;"'!$A$2:$A$501"),"&gt;="&amp;$I32,INDIRECT("'"&amp;$A32&amp;"'!$A$2:$A$501"),"&lt;"&amp;($BA32+1)),0)))</f>
        <v/>
      </c>
      <c r="AM32" s="30" t="str">
        <f aca="true">IF(OR($A32="",$I32=""),"",IF($BC32="Y",SUMIFS(survey_frozen!$D$2:$D$251,survey_frozen!$P$2:$P$251,$A32&amp;"|"&amp;$B32),IFERROR(COUNTIFS(INDIRECT("'"&amp;$A32&amp;"'!$B$2:$B$501"),$T32,INDIRECT("'"&amp;$A32&amp;"'!$A$2:$A$501"),"&gt;="&amp;$I32,INDIRECT("'"&amp;$A32&amp;"'!$A$2:$A$501"),"&lt;"&amp;($BA32+1),INDIRECT("'"&amp;$A32&amp;"'!$C$2:$C$501"),"Yes"),0)))</f>
        <v/>
      </c>
      <c r="AN32" s="30" t="str">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30" t="str">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str">
        <f aca="true">IF(OR($A32="",$I32=""),"",IF($BC32="Y",SUMIFS(survey_frozen!$E$2:$E$251,survey_frozen!$P$2:$P$251,$A32&amp;"|"&amp;$B32),IFERROR(COUNTIFS(INDIRECT("'"&amp;$A32&amp;"'!$B$2:$B$501"),$T32,INDIRECT("'"&amp;$A32&amp;"'!$A$2:$A$501"),"&gt;="&amp;$I32,INDIRECT("'"&amp;$A32&amp;"'!$A$2:$A$501"),"&lt;"&amp;($BA32+1),INDIRECT("'"&amp;$A32&amp;"'!$F$2:$F$501"),"Didn't see it"),0)))</f>
        <v/>
      </c>
      <c r="AR32" s="30" t="str">
        <f aca="true">IF(OR($A32="",$I32=""),"",IF($BC32="Y",SUMIFS(survey_frozen!$F$2:$F$251,survey_frozen!$P$2:$P$251,$A32&amp;"|"&amp;$B32),IFERROR(COUNTIFS(INDIRECT("'"&amp;$A32&amp;"'!$B$2:$B$501"),$T32,INDIRECT("'"&amp;$A32&amp;"'!$A$2:$A$501"),"&gt;="&amp;$I32,INDIRECT("'"&amp;$A32&amp;"'!$A$2:$A$501"),"&lt;"&amp;($BA32+1),INDIRECT("'"&amp;$A32&amp;"'!$F$2:$F$501"),"Not for me"),0)))</f>
        <v/>
      </c>
      <c r="AS32" s="30" t="str">
        <f aca="true">IF(OR($A32="",$I32=""),"",IF($BC32="Y",SUMIFS(survey_frozen!$G$2:$G$251,survey_frozen!$P$2:$P$251,$A32&amp;"|"&amp;$B32),IFERROR(COUNTIFS(INDIRECT("'"&amp;$A32&amp;"'!$B$2:$B$501"),$T32,INDIRECT("'"&amp;$A32&amp;"'!$A$2:$A$501"),"&gt;="&amp;$I32,INDIRECT("'"&amp;$A32&amp;"'!$A$2:$A$501"),"&lt;"&amp;($BA32+1),INDIRECT("'"&amp;$A32&amp;"'!$F$2:$F$501"),"Gone by the time I looked"),0)))</f>
        <v/>
      </c>
      <c r="AT32" s="30" t="str">
        <f aca="true">IF(OR($A32="",$I32=""),"",IF($BC32="Y",SUMIFS(survey_frozen!$H$2:$H$251,survey_frozen!$P$2:$P$251,$A32&amp;"|"&amp;$B32),IFERROR(COUNTIFS(INDIRECT("'"&amp;$A32&amp;"'!$B$2:$B$501"),$T32,INDIRECT("'"&amp;$A32&amp;"'!$A$2:$A$501"),"&gt;="&amp;$I32,INDIRECT("'"&amp;$A32&amp;"'!$A$2:$A$501"),"&lt;"&amp;($BA32+1),INDIRECT("'"&amp;$A32&amp;"'!$D$2:$D$501"),"&gt;=1"),0)))</f>
        <v/>
      </c>
      <c r="AU32" s="30" t="str">
        <f aca="true">IF(OR($A32="",$I32=""),"",IF($BC32="Y",SUMIFS(survey_frozen!$I$2:$I$251,survey_frozen!$P$2:$P$251,$A32&amp;"|"&amp;$B32),IFERROR(SUMIFS(INDIRECT("'"&amp;$A32&amp;"'!$D$2:$D$501"),INDIRECT("'"&amp;$A32&amp;"'!$B$2:$B$501"),$T32,INDIRECT("'"&amp;$A32&amp;"'!$A$2:$A$501"),"&gt;="&amp;$I32,INDIRECT("'"&amp;$A32&amp;"'!$A$2:$A$501"),"&lt;"&amp;($BA32+1)),0)))</f>
        <v/>
      </c>
      <c r="AV32" s="30" t="str">
        <f aca="true">IF(OR($A32="",$I32=""),"",IF($BC32="Y",SUMIFS(survey_frozen!$J$2:$J$251,survey_frozen!$P$2:$P$251,$A32&amp;"|"&amp;$B32),IFERROR(COUNTIFS(INDIRECT("'"&amp;$A32&amp;"'!$B$2:$B$501"),$T32,INDIRECT("'"&amp;$A32&amp;"'!$A$2:$A$501"),"&gt;="&amp;$I32,INDIRECT("'"&amp;$A32&amp;"'!$A$2:$A$501"),"&lt;"&amp;($BA32+1),INDIRECT("'"&amp;$A32&amp;"'!$E$2:$E$501"),"Yes"),0)))</f>
        <v/>
      </c>
      <c r="AW32" s="30" t="str">
        <f aca="true">IF(OR($A32="",$I32=""),"",IF($BC32="Y",SUMIFS(survey_frozen!$K$2:$K$251,survey_frozen!$P$2:$P$251,$A32&amp;"|"&amp;$B32),IFERROR(COUNTIFS(INDIRECT("'"&amp;$A32&amp;"'!$B$2:$B$501"),$T32,INDIRECT("'"&amp;$A32&amp;"'!$A$2:$A$501"),"&gt;="&amp;$I32,INDIRECT("'"&amp;$A32&amp;"'!$A$2:$A$501"),"&lt;"&amp;($BA32+1),INDIRECT("'"&amp;$A32&amp;"'!$E$2:$E$501"),"Maybe"),0)))</f>
        <v/>
      </c>
      <c r="AX32" s="30" t="str">
        <f aca="true">IF(OR($A32="",$I32=""),"",IF($BC32="Y",SUMIFS(survey_frozen!$L$2:$L$251,survey_frozen!$P$2:$P$251,$A32&amp;"|"&amp;$B32),IFERROR(COUNTIFS(INDIRECT("'"&amp;$A32&amp;"'!$B$2:$B$501"),$T32,INDIRECT("'"&amp;$A32&amp;"'!$A$2:$A$501"),"&gt;="&amp;$I32,INDIRECT("'"&amp;$A32&amp;"'!$A$2:$A$501"),"&lt;"&amp;($BA32+1),INDIRECT("'"&amp;$A32&amp;"'!$E$2:$E$501"),"No"),0)))</f>
        <v/>
      </c>
      <c r="AY32" s="30" t="str">
        <f aca="true">IF(OR($A32="",$I32=""),"",IF($BC32="Y",SUMIFS(survey_frozen!$M$2:$M$251,survey_frozen!$P$2:$P$251,$A32&amp;"|"&amp;$B32),IFERROR(COUNTIFS(INDIRECT("'"&amp;$A32&amp;"'!$B$2:$B$501"),$T32,INDIRECT("'"&amp;$A32&amp;"'!$A$2:$A$501"),"&gt;="&amp;$I32,INDIRECT("'"&amp;$A32&amp;"'!$A$2:$A$501"),"&lt;"&amp;($BA32+1),INDIRECT("'"&amp;$A32&amp;"'!$G$2:$G$501"),"&lt;&gt;"),0)))</f>
        <v/>
      </c>
      <c r="AZ32" s="30" t="str">
        <f aca="false">IF($A32="","",$A32&amp;"|"&amp;$L32)</f>
        <v/>
      </c>
      <c r="BA32" s="31" t="str">
        <f aca="false">IF($A32="","",IFERROR(IF(INDEX(drops!$R$2:$R$21,MATCH($H32,drops!$A$2:$A$21,0))="","",INDEX(drops!$R$2:$R$21,MATCH($H32,drops!$A$2:$A$21,0))),""))</f>
        <v/>
      </c>
      <c r="BB32" s="30" t="n">
        <f aca="false">IF(OR($A32="",$Q32&lt;&gt;"Y"),1000000,N($AL32))</f>
        <v>1000000</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C33" s="11"/>
      <c r="D33" s="10"/>
      <c r="E33" s="11"/>
      <c r="H33" s="30" t="str">
        <f aca="false">IF($A33="","",IFERROR(IF(INDEX(campaigns!$B$2:$B$51,MATCH($A33,campaigns!$A$2:$A$51,0))="","",INDEX(campaigns!$B$2:$B$51,MATCH($A33,campaigns!$A$2:$A$51,0))),""))</f>
        <v/>
      </c>
      <c r="I33" s="31" t="str">
        <f aca="false">IF($A33="","",IFERROR(IF(INDEX(campaigns!$BG$2:$BG$51,MATCH($A33,campaigns!$A$2:$A$51,0))="","",INDEX(campaigns!$BG$2:$BG$51,MATCH($A33,campaigns!$A$2:$A$51,0))),""))</f>
        <v/>
      </c>
      <c r="J33" s="30" t="str">
        <f aca="false">IF($A33="","",IFERROR(IF(INDEX(campaigns!$BE$2:$BE$51,MATCH($A33,campaigns!$A$2:$A$51,0))="","",INDEX(campaigns!$BE$2:$BE$51,MATCH($A33,campaigns!$A$2:$A$51,0))),""))</f>
        <v/>
      </c>
      <c r="K33" s="30" t="str">
        <f aca="false">IF($B33="","",IFERROR(IF(INDEX(offices!$O$2:$O$61,MATCH($B33,offices!$A$2:$A$61,0))="","",INDEX(offices!$O$2:$O$61,MATCH($B33,offices!$A$2:$A$61,0))),""))</f>
        <v/>
      </c>
      <c r="L33" s="30" t="str">
        <f aca="false">IF($A33="","",IF($Q33="N","",COUNTIFS($A$2:$A33,$A33,$Q$2:$Q33,"&lt;&gt;N")))</f>
        <v/>
      </c>
      <c r="M33" s="30" t="str">
        <f aca="false">IF(OR($A33="",$L33=""),"",IF(AND(config!$B$34="names_if_public",IFERROR(IF(INDEX(offices!$AG$2:$AG$61,MATCH($B33,offices!$A$2:$A$61,0))="","",INDEX(offices!$AG$2:$AG$61,MATCH($B33,offices!$A$2:$A$61,0))),"")="Y"),$K33,CHAR(64+$L33)))</f>
        <v/>
      </c>
      <c r="N33" s="30" t="str">
        <f aca="false">IF(OR($A33="",$I33=""),"",COUNTIFS(stops!$B$2:$B$151,$B33,stops!$P$2:$P$151,"&lt;"&amp;$I33,stops!$L$2:$L$151,"&lt;&gt;not_delivered")+1)</f>
        <v/>
      </c>
      <c r="O33" s="30" t="str">
        <f aca="false">IF($A33="","",IF(N($N33)&lt;=config!$B$29,"explicit","opt-out"))</f>
        <v/>
      </c>
      <c r="P33" s="30" t="str">
        <f aca="false">IF($A33="","",IF($O33="explicit",IF($D33="yes","Y",IF($D33="no","N","pending")),IF($D33="no","N",IF(AND($C33&lt;&gt;"",$I33&lt;&gt;"",$C33&lt;=WORKDAY(N($I33),-5,calendar!$A$2:$A$80)),"Y","pending"))))</f>
        <v/>
      </c>
      <c r="Q33" s="30" t="str">
        <f aca="false">IF($A33="","",IF($P33="N","N",IF($P33&lt;&gt;"Y","pending",IF(AND((COUNTIFS(stops!$A$2:$A$151,$H33,stops!$B$2:$B$151,$B33,stops!$L$2:$L$151,"declined")+COUNTIFS(stops!$A$2:$A$151,$H33,stops!$B$2:$B$151,$B33,stops!$L$2:$L$151,"building_refused")+COUNTIFS(stops!$A$2:$A$151,$H33,stops!$B$2:$B$151,$B33,stops!$L$2:$L$151,"not_delivered"))&gt;0,N($U33)=0),"N","Y"))))</f>
        <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str">
        <f aca="false">IF($A33="","",IF($G33&lt;&gt;"",$G33,IFERROR(IF(INDEX(offices!$AM$2:$AM$61,MATCH($B33,offices!$A$2:$A$61,0))="","",INDEX(offices!$AM$2:$AM$61,MATCH($B33,offices!$A$2:$A$61,0))),"")))</f>
        <v/>
      </c>
      <c r="T33" s="30" t="str">
        <f aca="false">IF($A33="","",$A33&amp;"."&amp;$B33)</f>
        <v/>
      </c>
      <c r="U33" s="30" t="str">
        <f aca="false">IF($A33="","",SUMIFS(inventory!$G$2:$G$801,inventory!$C$2:$C$801,$A33,inventory!$D$2:$D$801,$B33,inventory!$E$2:$E$801,"delivered"))</f>
        <v/>
      </c>
      <c r="V33" s="37" t="str">
        <f aca="false">IF($A33="","",IFERROR(1/(1/SUMPRODUCT(MAX((inventory!$C$2:$C$801=$A33)*(inventory!$D$2:$D$801=$B33)*(inventory!$E$2:$E$801="delivered")*(inventory!$A$2:$A$801+inventory!$B$2:$B$801)))),""))</f>
        <v/>
      </c>
      <c r="W33" s="30" t="str">
        <f aca="false">IF($A33="","",IFERROR(IF(INDEX(inventory!$J$2:$J$801,MATCH($A33&amp;"|"&amp;$B33&amp;"|delivered",inventory!$R$2:$R$801,0))="","",INDEX(inventory!$J$2:$J$801,MATCH($A33&amp;"|"&amp;$B33&amp;"|delivered",inventory!$R$2:$R$801,0))),""))</f>
        <v/>
      </c>
      <c r="X33" s="30" t="str">
        <f aca="false">IF($A33="","",IFERROR(IF(INDEX(photos!$H$2:$H$701,MATCH($A33&amp;"|"&amp;$B33&amp;"|placement|Y",photos!$R$2:$R$701,0))="","",INDEX(photos!$H$2:$H$701,MATCH($A33&amp;"|"&amp;$B33&amp;"|placement|Y",photos!$R$2:$R$701,0))),""))</f>
        <v/>
      </c>
      <c r="Y33" s="31" t="str">
        <f aca="false">IF($A33="","",IFERROR(IF(INDEX(photos!$E$2:$E$701,MATCH($A33&amp;"|"&amp;$B33&amp;"|placement|Y",photos!$R$2:$R$701,0))="","",INDEX(photos!$E$2:$E$701,MATCH($A33&amp;"|"&amp;$B33&amp;"|placement|Y",photos!$R$2:$R$701,0))),""))</f>
        <v/>
      </c>
      <c r="Z33" s="30" t="str">
        <f aca="false">IF($A33="","",IF(COUNTIFS(counts!$C$2:$C$701,$A33,counts!$D$2:$D$701,$B33,counts!$E$2:$E$701,"placed")=0,"",SUMIFS(counts!$F$2:$F$701,counts!$C$2:$C$701,$A33,counts!$D$2:$D$701,$B33,counts!$E$2:$E$701,"placed")))</f>
        <v/>
      </c>
      <c r="AA33" s="30" t="str">
        <f aca="false">IF($A33="","",IF($Y33="",0,N($Z33)))</f>
        <v/>
      </c>
      <c r="AB33" s="30" t="str">
        <f aca="false">IF($A33="","",IF(OR($Y33="",$I33=""),"N",IF($Y33&lt;=WORKDAY(N($I33),1,calendar!$A$2:$A$80),"Y","N")))</f>
        <v/>
      </c>
      <c r="AC33" s="33" t="str">
        <f aca="false">IF(OR($A33="",$V33="",$Y33=""),"",ROUND(($Y33+N(IFERROR(IF(INDEX(photos!$F$2:$F$701,MATCH($A33&amp;"|"&amp;$B33&amp;"|placement|Y",photos!$R$2:$R$701,0))="","",INDEX(photos!$F$2:$F$701,MATCH($A33&amp;"|"&amp;$B33&amp;"|placement|Y",photos!$R$2:$R$701,0))),""))-$V33)*24,1))</f>
        <v/>
      </c>
      <c r="AD33" s="30" t="str">
        <f aca="false">IF($A33="","",SUMIFS(inventory!$G$2:$G$801,inventory!$C$2:$C$801,$A33,inventory!$D$2:$D$801,$B33,inventory!$E$2:$E$801,"topped_up"))</f>
        <v/>
      </c>
      <c r="AE33" s="30" t="str">
        <f aca="false">IF($A33="","",IF(COUNTIFS(counts!$C$2:$C$701,$A33,counts!$D$2:$D$701,$B33,counts!$E$2:$E$701,"remaining_day3")=0,"",SUMIFS(counts!$F$2:$F$701,counts!$C$2:$C$701,$A33,counts!$D$2:$D$701,$B33,counts!$E$2:$E$701,"remaining_day3")))</f>
        <v/>
      </c>
      <c r="AF33" s="30" t="str">
        <f aca="false">IF($A33="","",IF(COUNTIFS(counts!$C$2:$C$701,$A33,counts!$D$2:$D$701,$B33,counts!$E$2:$E$701,"remaining_day5")=0,"",SUMIFS(counts!$F$2:$F$701,counts!$C$2:$C$701,$A33,counts!$D$2:$D$701,$B33,counts!$E$2:$E$701,"remaining_day5")))</f>
        <v/>
      </c>
      <c r="AG33" s="30" t="str">
        <f aca="false">IF(OR($A33="",$AF33=""),"",MAX(0,$AA33+$AD33-$AF33))</f>
        <v/>
      </c>
      <c r="AH33" s="30" t="str">
        <f aca="false">IF(OR($A33="",$AI33=""),"",IFERROR(IF(INDEX(photos!$H$2:$H$701,MATCH($A33&amp;"|"&amp;$B33&amp;"|later|Y|"&amp;$AI33,photos!$S$2:$S$701,0))="","",INDEX(photos!$H$2:$H$701,MATCH($A33&amp;"|"&amp;$B33&amp;"|later|Y|"&amp;$AI33,photos!$S$2:$S$701,0))),""))</f>
        <v/>
      </c>
      <c r="AI33" s="31" t="str">
        <f aca="false">IF($A33="","",IFERROR(1/(1/SUMPRODUCT(MAX((photos!$B$2:$B$701=$A33)*(photos!$C$2:$C$701=$B33)*(photos!$D$2:$D$701="later")*(photos!$O$2:$O$701="Y")*photos!$E$2:$E$701))),""))</f>
        <v/>
      </c>
      <c r="AJ33" s="30" t="str">
        <f aca="false">IF(OR($A33="",$AI33="",$I33=""),"",NETWORKDAYS($I33,$AI33,calendar!$A$2:$A$80))</f>
        <v/>
      </c>
      <c r="AK33" s="30" t="str">
        <f aca="false">IF($A33="","",IF(AND($X33&lt;&gt;"",$AH33&lt;&gt;""),"Y","N"))</f>
        <v/>
      </c>
      <c r="AL33" s="30" t="str">
        <f aca="true">IF(OR($A33="",$I33=""),"",IF($BC33="Y",SUMIFS(survey_frozen!$C$2:$C$251,survey_frozen!$P$2:$P$251,$A33&amp;"|"&amp;$B33),IFERROR(COUNTIFS(INDIRECT("'"&amp;$A33&amp;"'!$B$2:$B$501"),$T33,INDIRECT("'"&amp;$A33&amp;"'!$A$2:$A$501"),"&gt;="&amp;$I33,INDIRECT("'"&amp;$A33&amp;"'!$A$2:$A$501"),"&lt;"&amp;($BA33+1)),0)))</f>
        <v/>
      </c>
      <c r="AM33" s="30" t="str">
        <f aca="true">IF(OR($A33="",$I33=""),"",IF($BC33="Y",SUMIFS(survey_frozen!$D$2:$D$251,survey_frozen!$P$2:$P$251,$A33&amp;"|"&amp;$B33),IFERROR(COUNTIFS(INDIRECT("'"&amp;$A33&amp;"'!$B$2:$B$501"),$T33,INDIRECT("'"&amp;$A33&amp;"'!$A$2:$A$501"),"&gt;="&amp;$I33,INDIRECT("'"&amp;$A33&amp;"'!$A$2:$A$501"),"&lt;"&amp;($BA33+1),INDIRECT("'"&amp;$A33&amp;"'!$C$2:$C$501"),"Yes"),0)))</f>
        <v/>
      </c>
      <c r="AN33" s="30" t="str">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30" t="str">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str">
        <f aca="true">IF(OR($A33="",$I33=""),"",IF($BC33="Y",SUMIFS(survey_frozen!$E$2:$E$251,survey_frozen!$P$2:$P$251,$A33&amp;"|"&amp;$B33),IFERROR(COUNTIFS(INDIRECT("'"&amp;$A33&amp;"'!$B$2:$B$501"),$T33,INDIRECT("'"&amp;$A33&amp;"'!$A$2:$A$501"),"&gt;="&amp;$I33,INDIRECT("'"&amp;$A33&amp;"'!$A$2:$A$501"),"&lt;"&amp;($BA33+1),INDIRECT("'"&amp;$A33&amp;"'!$F$2:$F$501"),"Didn't see it"),0)))</f>
        <v/>
      </c>
      <c r="AR33" s="30" t="str">
        <f aca="true">IF(OR($A33="",$I33=""),"",IF($BC33="Y",SUMIFS(survey_frozen!$F$2:$F$251,survey_frozen!$P$2:$P$251,$A33&amp;"|"&amp;$B33),IFERROR(COUNTIFS(INDIRECT("'"&amp;$A33&amp;"'!$B$2:$B$501"),$T33,INDIRECT("'"&amp;$A33&amp;"'!$A$2:$A$501"),"&gt;="&amp;$I33,INDIRECT("'"&amp;$A33&amp;"'!$A$2:$A$501"),"&lt;"&amp;($BA33+1),INDIRECT("'"&amp;$A33&amp;"'!$F$2:$F$501"),"Not for me"),0)))</f>
        <v/>
      </c>
      <c r="AS33" s="30" t="str">
        <f aca="true">IF(OR($A33="",$I33=""),"",IF($BC33="Y",SUMIFS(survey_frozen!$G$2:$G$251,survey_frozen!$P$2:$P$251,$A33&amp;"|"&amp;$B33),IFERROR(COUNTIFS(INDIRECT("'"&amp;$A33&amp;"'!$B$2:$B$501"),$T33,INDIRECT("'"&amp;$A33&amp;"'!$A$2:$A$501"),"&gt;="&amp;$I33,INDIRECT("'"&amp;$A33&amp;"'!$A$2:$A$501"),"&lt;"&amp;($BA33+1),INDIRECT("'"&amp;$A33&amp;"'!$F$2:$F$501"),"Gone by the time I looked"),0)))</f>
        <v/>
      </c>
      <c r="AT33" s="30" t="str">
        <f aca="true">IF(OR($A33="",$I33=""),"",IF($BC33="Y",SUMIFS(survey_frozen!$H$2:$H$251,survey_frozen!$P$2:$P$251,$A33&amp;"|"&amp;$B33),IFERROR(COUNTIFS(INDIRECT("'"&amp;$A33&amp;"'!$B$2:$B$501"),$T33,INDIRECT("'"&amp;$A33&amp;"'!$A$2:$A$501"),"&gt;="&amp;$I33,INDIRECT("'"&amp;$A33&amp;"'!$A$2:$A$501"),"&lt;"&amp;($BA33+1),INDIRECT("'"&amp;$A33&amp;"'!$D$2:$D$501"),"&gt;=1"),0)))</f>
        <v/>
      </c>
      <c r="AU33" s="30" t="str">
        <f aca="true">IF(OR($A33="",$I33=""),"",IF($BC33="Y",SUMIFS(survey_frozen!$I$2:$I$251,survey_frozen!$P$2:$P$251,$A33&amp;"|"&amp;$B33),IFERROR(SUMIFS(INDIRECT("'"&amp;$A33&amp;"'!$D$2:$D$501"),INDIRECT("'"&amp;$A33&amp;"'!$B$2:$B$501"),$T33,INDIRECT("'"&amp;$A33&amp;"'!$A$2:$A$501"),"&gt;="&amp;$I33,INDIRECT("'"&amp;$A33&amp;"'!$A$2:$A$501"),"&lt;"&amp;($BA33+1)),0)))</f>
        <v/>
      </c>
      <c r="AV33" s="30" t="str">
        <f aca="true">IF(OR($A33="",$I33=""),"",IF($BC33="Y",SUMIFS(survey_frozen!$J$2:$J$251,survey_frozen!$P$2:$P$251,$A33&amp;"|"&amp;$B33),IFERROR(COUNTIFS(INDIRECT("'"&amp;$A33&amp;"'!$B$2:$B$501"),$T33,INDIRECT("'"&amp;$A33&amp;"'!$A$2:$A$501"),"&gt;="&amp;$I33,INDIRECT("'"&amp;$A33&amp;"'!$A$2:$A$501"),"&lt;"&amp;($BA33+1),INDIRECT("'"&amp;$A33&amp;"'!$E$2:$E$501"),"Yes"),0)))</f>
        <v/>
      </c>
      <c r="AW33" s="30" t="str">
        <f aca="true">IF(OR($A33="",$I33=""),"",IF($BC33="Y",SUMIFS(survey_frozen!$K$2:$K$251,survey_frozen!$P$2:$P$251,$A33&amp;"|"&amp;$B33),IFERROR(COUNTIFS(INDIRECT("'"&amp;$A33&amp;"'!$B$2:$B$501"),$T33,INDIRECT("'"&amp;$A33&amp;"'!$A$2:$A$501"),"&gt;="&amp;$I33,INDIRECT("'"&amp;$A33&amp;"'!$A$2:$A$501"),"&lt;"&amp;($BA33+1),INDIRECT("'"&amp;$A33&amp;"'!$E$2:$E$501"),"Maybe"),0)))</f>
        <v/>
      </c>
      <c r="AX33" s="30" t="str">
        <f aca="true">IF(OR($A33="",$I33=""),"",IF($BC33="Y",SUMIFS(survey_frozen!$L$2:$L$251,survey_frozen!$P$2:$P$251,$A33&amp;"|"&amp;$B33),IFERROR(COUNTIFS(INDIRECT("'"&amp;$A33&amp;"'!$B$2:$B$501"),$T33,INDIRECT("'"&amp;$A33&amp;"'!$A$2:$A$501"),"&gt;="&amp;$I33,INDIRECT("'"&amp;$A33&amp;"'!$A$2:$A$501"),"&lt;"&amp;($BA33+1),INDIRECT("'"&amp;$A33&amp;"'!$E$2:$E$501"),"No"),0)))</f>
        <v/>
      </c>
      <c r="AY33" s="30" t="str">
        <f aca="true">IF(OR($A33="",$I33=""),"",IF($BC33="Y",SUMIFS(survey_frozen!$M$2:$M$251,survey_frozen!$P$2:$P$251,$A33&amp;"|"&amp;$B33),IFERROR(COUNTIFS(INDIRECT("'"&amp;$A33&amp;"'!$B$2:$B$501"),$T33,INDIRECT("'"&amp;$A33&amp;"'!$A$2:$A$501"),"&gt;="&amp;$I33,INDIRECT("'"&amp;$A33&amp;"'!$A$2:$A$501"),"&lt;"&amp;($BA33+1),INDIRECT("'"&amp;$A33&amp;"'!$G$2:$G$501"),"&lt;&gt;"),0)))</f>
        <v/>
      </c>
      <c r="AZ33" s="30" t="str">
        <f aca="false">IF($A33="","",$A33&amp;"|"&amp;$L33)</f>
        <v/>
      </c>
      <c r="BA33" s="31" t="str">
        <f aca="false">IF($A33="","",IFERROR(IF(INDEX(drops!$R$2:$R$21,MATCH($H33,drops!$A$2:$A$21,0))="","",INDEX(drops!$R$2:$R$21,MATCH($H33,drops!$A$2:$A$21,0))),""))</f>
        <v/>
      </c>
      <c r="BB33" s="30" t="n">
        <f aca="false">IF(OR($A33="",$Q33&lt;&gt;"Y"),1000000,N($AL33))</f>
        <v>1000000</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C34" s="11"/>
      <c r="D34" s="10"/>
      <c r="E34" s="11"/>
      <c r="H34" s="30" t="str">
        <f aca="false">IF($A34="","",IFERROR(IF(INDEX(campaigns!$B$2:$B$51,MATCH($A34,campaigns!$A$2:$A$51,0))="","",INDEX(campaigns!$B$2:$B$51,MATCH($A34,campaigns!$A$2:$A$51,0))),""))</f>
        <v/>
      </c>
      <c r="I34" s="31" t="str">
        <f aca="false">IF($A34="","",IFERROR(IF(INDEX(campaigns!$BG$2:$BG$51,MATCH($A34,campaigns!$A$2:$A$51,0))="","",INDEX(campaigns!$BG$2:$BG$51,MATCH($A34,campaigns!$A$2:$A$51,0))),""))</f>
        <v/>
      </c>
      <c r="J34" s="30" t="str">
        <f aca="false">IF($A34="","",IFERROR(IF(INDEX(campaigns!$BE$2:$BE$51,MATCH($A34,campaigns!$A$2:$A$51,0))="","",INDEX(campaigns!$BE$2:$BE$51,MATCH($A34,campaigns!$A$2:$A$51,0))),""))</f>
        <v/>
      </c>
      <c r="K34" s="30" t="str">
        <f aca="false">IF($B34="","",IFERROR(IF(INDEX(offices!$O$2:$O$61,MATCH($B34,offices!$A$2:$A$61,0))="","",INDEX(offices!$O$2:$O$61,MATCH($B34,offices!$A$2:$A$61,0))),""))</f>
        <v/>
      </c>
      <c r="L34" s="30" t="str">
        <f aca="false">IF($A34="","",IF($Q34="N","",COUNTIFS($A$2:$A34,$A34,$Q$2:$Q34,"&lt;&gt;N")))</f>
        <v/>
      </c>
      <c r="M34" s="30" t="str">
        <f aca="false">IF(OR($A34="",$L34=""),"",IF(AND(config!$B$34="names_if_public",IFERROR(IF(INDEX(offices!$AG$2:$AG$61,MATCH($B34,offices!$A$2:$A$61,0))="","",INDEX(offices!$AG$2:$AG$61,MATCH($B34,offices!$A$2:$A$61,0))),"")="Y"),$K34,CHAR(64+$L34)))</f>
        <v/>
      </c>
      <c r="N34" s="30" t="str">
        <f aca="false">IF(OR($A34="",$I34=""),"",COUNTIFS(stops!$B$2:$B$151,$B34,stops!$P$2:$P$151,"&lt;"&amp;$I34,stops!$L$2:$L$151,"&lt;&gt;not_delivered")+1)</f>
        <v/>
      </c>
      <c r="O34" s="30" t="str">
        <f aca="false">IF($A34="","",IF(N($N34)&lt;=config!$B$29,"explicit","opt-out"))</f>
        <v/>
      </c>
      <c r="P34" s="30" t="str">
        <f aca="false">IF($A34="","",IF($O34="explicit",IF($D34="yes","Y",IF($D34="no","N","pending")),IF($D34="no","N",IF(AND($C34&lt;&gt;"",$I34&lt;&gt;"",$C34&lt;=WORKDAY(N($I34),-5,calendar!$A$2:$A$80)),"Y","pending"))))</f>
        <v/>
      </c>
      <c r="Q34" s="30" t="str">
        <f aca="false">IF($A34="","",IF($P34="N","N",IF($P34&lt;&gt;"Y","pending",IF(AND((COUNTIFS(stops!$A$2:$A$151,$H34,stops!$B$2:$B$151,$B34,stops!$L$2:$L$151,"declined")+COUNTIFS(stops!$A$2:$A$151,$H34,stops!$B$2:$B$151,$B34,stops!$L$2:$L$151,"building_refused")+COUNTIFS(stops!$A$2:$A$151,$H34,stops!$B$2:$B$151,$B34,stops!$L$2:$L$151,"not_delivered"))&gt;0,N($U34)=0),"N","Y"))))</f>
        <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str">
        <f aca="false">IF($A34="","",IF($G34&lt;&gt;"",$G34,IFERROR(IF(INDEX(offices!$AM$2:$AM$61,MATCH($B34,offices!$A$2:$A$61,0))="","",INDEX(offices!$AM$2:$AM$61,MATCH($B34,offices!$A$2:$A$61,0))),"")))</f>
        <v/>
      </c>
      <c r="T34" s="30" t="str">
        <f aca="false">IF($A34="","",$A34&amp;"."&amp;$B34)</f>
        <v/>
      </c>
      <c r="U34" s="30" t="str">
        <f aca="false">IF($A34="","",SUMIFS(inventory!$G$2:$G$801,inventory!$C$2:$C$801,$A34,inventory!$D$2:$D$801,$B34,inventory!$E$2:$E$801,"delivered"))</f>
        <v/>
      </c>
      <c r="V34" s="37" t="str">
        <f aca="false">IF($A34="","",IFERROR(1/(1/SUMPRODUCT(MAX((inventory!$C$2:$C$801=$A34)*(inventory!$D$2:$D$801=$B34)*(inventory!$E$2:$E$801="delivered")*(inventory!$A$2:$A$801+inventory!$B$2:$B$801)))),""))</f>
        <v/>
      </c>
      <c r="W34" s="30" t="str">
        <f aca="false">IF($A34="","",IFERROR(IF(INDEX(inventory!$J$2:$J$801,MATCH($A34&amp;"|"&amp;$B34&amp;"|delivered",inventory!$R$2:$R$801,0))="","",INDEX(inventory!$J$2:$J$801,MATCH($A34&amp;"|"&amp;$B34&amp;"|delivered",inventory!$R$2:$R$801,0))),""))</f>
        <v/>
      </c>
      <c r="X34" s="30" t="str">
        <f aca="false">IF($A34="","",IFERROR(IF(INDEX(photos!$H$2:$H$701,MATCH($A34&amp;"|"&amp;$B34&amp;"|placement|Y",photos!$R$2:$R$701,0))="","",INDEX(photos!$H$2:$H$701,MATCH($A34&amp;"|"&amp;$B34&amp;"|placement|Y",photos!$R$2:$R$701,0))),""))</f>
        <v/>
      </c>
      <c r="Y34" s="31" t="str">
        <f aca="false">IF($A34="","",IFERROR(IF(INDEX(photos!$E$2:$E$701,MATCH($A34&amp;"|"&amp;$B34&amp;"|placement|Y",photos!$R$2:$R$701,0))="","",INDEX(photos!$E$2:$E$701,MATCH($A34&amp;"|"&amp;$B34&amp;"|placement|Y",photos!$R$2:$R$701,0))),""))</f>
        <v/>
      </c>
      <c r="Z34" s="30" t="str">
        <f aca="false">IF($A34="","",IF(COUNTIFS(counts!$C$2:$C$701,$A34,counts!$D$2:$D$701,$B34,counts!$E$2:$E$701,"placed")=0,"",SUMIFS(counts!$F$2:$F$701,counts!$C$2:$C$701,$A34,counts!$D$2:$D$701,$B34,counts!$E$2:$E$701,"placed")))</f>
        <v/>
      </c>
      <c r="AA34" s="30" t="str">
        <f aca="false">IF($A34="","",IF($Y34="",0,N($Z34)))</f>
        <v/>
      </c>
      <c r="AB34" s="30" t="str">
        <f aca="false">IF($A34="","",IF(OR($Y34="",$I34=""),"N",IF($Y34&lt;=WORKDAY(N($I34),1,calendar!$A$2:$A$80),"Y","N")))</f>
        <v/>
      </c>
      <c r="AC34" s="33" t="str">
        <f aca="false">IF(OR($A34="",$V34="",$Y34=""),"",ROUND(($Y34+N(IFERROR(IF(INDEX(photos!$F$2:$F$701,MATCH($A34&amp;"|"&amp;$B34&amp;"|placement|Y",photos!$R$2:$R$701,0))="","",INDEX(photos!$F$2:$F$701,MATCH($A34&amp;"|"&amp;$B34&amp;"|placement|Y",photos!$R$2:$R$701,0))),""))-$V34)*24,1))</f>
        <v/>
      </c>
      <c r="AD34" s="30" t="str">
        <f aca="false">IF($A34="","",SUMIFS(inventory!$G$2:$G$801,inventory!$C$2:$C$801,$A34,inventory!$D$2:$D$801,$B34,inventory!$E$2:$E$801,"topped_up"))</f>
        <v/>
      </c>
      <c r="AE34" s="30" t="str">
        <f aca="false">IF($A34="","",IF(COUNTIFS(counts!$C$2:$C$701,$A34,counts!$D$2:$D$701,$B34,counts!$E$2:$E$701,"remaining_day3")=0,"",SUMIFS(counts!$F$2:$F$701,counts!$C$2:$C$701,$A34,counts!$D$2:$D$701,$B34,counts!$E$2:$E$701,"remaining_day3")))</f>
        <v/>
      </c>
      <c r="AF34" s="30" t="str">
        <f aca="false">IF($A34="","",IF(COUNTIFS(counts!$C$2:$C$701,$A34,counts!$D$2:$D$701,$B34,counts!$E$2:$E$701,"remaining_day5")=0,"",SUMIFS(counts!$F$2:$F$701,counts!$C$2:$C$701,$A34,counts!$D$2:$D$701,$B34,counts!$E$2:$E$701,"remaining_day5")))</f>
        <v/>
      </c>
      <c r="AG34" s="30" t="str">
        <f aca="false">IF(OR($A34="",$AF34=""),"",MAX(0,$AA34+$AD34-$AF34))</f>
        <v/>
      </c>
      <c r="AH34" s="30" t="str">
        <f aca="false">IF(OR($A34="",$AI34=""),"",IFERROR(IF(INDEX(photos!$H$2:$H$701,MATCH($A34&amp;"|"&amp;$B34&amp;"|later|Y|"&amp;$AI34,photos!$S$2:$S$701,0))="","",INDEX(photos!$H$2:$H$701,MATCH($A34&amp;"|"&amp;$B34&amp;"|later|Y|"&amp;$AI34,photos!$S$2:$S$701,0))),""))</f>
        <v/>
      </c>
      <c r="AI34" s="31" t="str">
        <f aca="false">IF($A34="","",IFERROR(1/(1/SUMPRODUCT(MAX((photos!$B$2:$B$701=$A34)*(photos!$C$2:$C$701=$B34)*(photos!$D$2:$D$701="later")*(photos!$O$2:$O$701="Y")*photos!$E$2:$E$701))),""))</f>
        <v/>
      </c>
      <c r="AJ34" s="30" t="str">
        <f aca="false">IF(OR($A34="",$AI34="",$I34=""),"",NETWORKDAYS($I34,$AI34,calendar!$A$2:$A$80))</f>
        <v/>
      </c>
      <c r="AK34" s="30" t="str">
        <f aca="false">IF($A34="","",IF(AND($X34&lt;&gt;"",$AH34&lt;&gt;""),"Y","N"))</f>
        <v/>
      </c>
      <c r="AL34" s="30" t="str">
        <f aca="true">IF(OR($A34="",$I34=""),"",IF($BC34="Y",SUMIFS(survey_frozen!$C$2:$C$251,survey_frozen!$P$2:$P$251,$A34&amp;"|"&amp;$B34),IFERROR(COUNTIFS(INDIRECT("'"&amp;$A34&amp;"'!$B$2:$B$501"),$T34,INDIRECT("'"&amp;$A34&amp;"'!$A$2:$A$501"),"&gt;="&amp;$I34,INDIRECT("'"&amp;$A34&amp;"'!$A$2:$A$501"),"&lt;"&amp;($BA34+1)),0)))</f>
        <v/>
      </c>
      <c r="AM34" s="30" t="str">
        <f aca="true">IF(OR($A34="",$I34=""),"",IF($BC34="Y",SUMIFS(survey_frozen!$D$2:$D$251,survey_frozen!$P$2:$P$251,$A34&amp;"|"&amp;$B34),IFERROR(COUNTIFS(INDIRECT("'"&amp;$A34&amp;"'!$B$2:$B$501"),$T34,INDIRECT("'"&amp;$A34&amp;"'!$A$2:$A$501"),"&gt;="&amp;$I34,INDIRECT("'"&amp;$A34&amp;"'!$A$2:$A$501"),"&lt;"&amp;($BA34+1),INDIRECT("'"&amp;$A34&amp;"'!$C$2:$C$501"),"Yes"),0)))</f>
        <v/>
      </c>
      <c r="AN34" s="30" t="str">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30" t="str">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str">
        <f aca="true">IF(OR($A34="",$I34=""),"",IF($BC34="Y",SUMIFS(survey_frozen!$E$2:$E$251,survey_frozen!$P$2:$P$251,$A34&amp;"|"&amp;$B34),IFERROR(COUNTIFS(INDIRECT("'"&amp;$A34&amp;"'!$B$2:$B$501"),$T34,INDIRECT("'"&amp;$A34&amp;"'!$A$2:$A$501"),"&gt;="&amp;$I34,INDIRECT("'"&amp;$A34&amp;"'!$A$2:$A$501"),"&lt;"&amp;($BA34+1),INDIRECT("'"&amp;$A34&amp;"'!$F$2:$F$501"),"Didn't see it"),0)))</f>
        <v/>
      </c>
      <c r="AR34" s="30" t="str">
        <f aca="true">IF(OR($A34="",$I34=""),"",IF($BC34="Y",SUMIFS(survey_frozen!$F$2:$F$251,survey_frozen!$P$2:$P$251,$A34&amp;"|"&amp;$B34),IFERROR(COUNTIFS(INDIRECT("'"&amp;$A34&amp;"'!$B$2:$B$501"),$T34,INDIRECT("'"&amp;$A34&amp;"'!$A$2:$A$501"),"&gt;="&amp;$I34,INDIRECT("'"&amp;$A34&amp;"'!$A$2:$A$501"),"&lt;"&amp;($BA34+1),INDIRECT("'"&amp;$A34&amp;"'!$F$2:$F$501"),"Not for me"),0)))</f>
        <v/>
      </c>
      <c r="AS34" s="30" t="str">
        <f aca="true">IF(OR($A34="",$I34=""),"",IF($BC34="Y",SUMIFS(survey_frozen!$G$2:$G$251,survey_frozen!$P$2:$P$251,$A34&amp;"|"&amp;$B34),IFERROR(COUNTIFS(INDIRECT("'"&amp;$A34&amp;"'!$B$2:$B$501"),$T34,INDIRECT("'"&amp;$A34&amp;"'!$A$2:$A$501"),"&gt;="&amp;$I34,INDIRECT("'"&amp;$A34&amp;"'!$A$2:$A$501"),"&lt;"&amp;($BA34+1),INDIRECT("'"&amp;$A34&amp;"'!$F$2:$F$501"),"Gone by the time I looked"),0)))</f>
        <v/>
      </c>
      <c r="AT34" s="30" t="str">
        <f aca="true">IF(OR($A34="",$I34=""),"",IF($BC34="Y",SUMIFS(survey_frozen!$H$2:$H$251,survey_frozen!$P$2:$P$251,$A34&amp;"|"&amp;$B34),IFERROR(COUNTIFS(INDIRECT("'"&amp;$A34&amp;"'!$B$2:$B$501"),$T34,INDIRECT("'"&amp;$A34&amp;"'!$A$2:$A$501"),"&gt;="&amp;$I34,INDIRECT("'"&amp;$A34&amp;"'!$A$2:$A$501"),"&lt;"&amp;($BA34+1),INDIRECT("'"&amp;$A34&amp;"'!$D$2:$D$501"),"&gt;=1"),0)))</f>
        <v/>
      </c>
      <c r="AU34" s="30" t="str">
        <f aca="true">IF(OR($A34="",$I34=""),"",IF($BC34="Y",SUMIFS(survey_frozen!$I$2:$I$251,survey_frozen!$P$2:$P$251,$A34&amp;"|"&amp;$B34),IFERROR(SUMIFS(INDIRECT("'"&amp;$A34&amp;"'!$D$2:$D$501"),INDIRECT("'"&amp;$A34&amp;"'!$B$2:$B$501"),$T34,INDIRECT("'"&amp;$A34&amp;"'!$A$2:$A$501"),"&gt;="&amp;$I34,INDIRECT("'"&amp;$A34&amp;"'!$A$2:$A$501"),"&lt;"&amp;($BA34+1)),0)))</f>
        <v/>
      </c>
      <c r="AV34" s="30" t="str">
        <f aca="true">IF(OR($A34="",$I34=""),"",IF($BC34="Y",SUMIFS(survey_frozen!$J$2:$J$251,survey_frozen!$P$2:$P$251,$A34&amp;"|"&amp;$B34),IFERROR(COUNTIFS(INDIRECT("'"&amp;$A34&amp;"'!$B$2:$B$501"),$T34,INDIRECT("'"&amp;$A34&amp;"'!$A$2:$A$501"),"&gt;="&amp;$I34,INDIRECT("'"&amp;$A34&amp;"'!$A$2:$A$501"),"&lt;"&amp;($BA34+1),INDIRECT("'"&amp;$A34&amp;"'!$E$2:$E$501"),"Yes"),0)))</f>
        <v/>
      </c>
      <c r="AW34" s="30" t="str">
        <f aca="true">IF(OR($A34="",$I34=""),"",IF($BC34="Y",SUMIFS(survey_frozen!$K$2:$K$251,survey_frozen!$P$2:$P$251,$A34&amp;"|"&amp;$B34),IFERROR(COUNTIFS(INDIRECT("'"&amp;$A34&amp;"'!$B$2:$B$501"),$T34,INDIRECT("'"&amp;$A34&amp;"'!$A$2:$A$501"),"&gt;="&amp;$I34,INDIRECT("'"&amp;$A34&amp;"'!$A$2:$A$501"),"&lt;"&amp;($BA34+1),INDIRECT("'"&amp;$A34&amp;"'!$E$2:$E$501"),"Maybe"),0)))</f>
        <v/>
      </c>
      <c r="AX34" s="30" t="str">
        <f aca="true">IF(OR($A34="",$I34=""),"",IF($BC34="Y",SUMIFS(survey_frozen!$L$2:$L$251,survey_frozen!$P$2:$P$251,$A34&amp;"|"&amp;$B34),IFERROR(COUNTIFS(INDIRECT("'"&amp;$A34&amp;"'!$B$2:$B$501"),$T34,INDIRECT("'"&amp;$A34&amp;"'!$A$2:$A$501"),"&gt;="&amp;$I34,INDIRECT("'"&amp;$A34&amp;"'!$A$2:$A$501"),"&lt;"&amp;($BA34+1),INDIRECT("'"&amp;$A34&amp;"'!$E$2:$E$501"),"No"),0)))</f>
        <v/>
      </c>
      <c r="AY34" s="30" t="str">
        <f aca="true">IF(OR($A34="",$I34=""),"",IF($BC34="Y",SUMIFS(survey_frozen!$M$2:$M$251,survey_frozen!$P$2:$P$251,$A34&amp;"|"&amp;$B34),IFERROR(COUNTIFS(INDIRECT("'"&amp;$A34&amp;"'!$B$2:$B$501"),$T34,INDIRECT("'"&amp;$A34&amp;"'!$A$2:$A$501"),"&gt;="&amp;$I34,INDIRECT("'"&amp;$A34&amp;"'!$A$2:$A$501"),"&lt;"&amp;($BA34+1),INDIRECT("'"&amp;$A34&amp;"'!$G$2:$G$501"),"&lt;&gt;"),0)))</f>
        <v/>
      </c>
      <c r="AZ34" s="30" t="str">
        <f aca="false">IF($A34="","",$A34&amp;"|"&amp;$L34)</f>
        <v/>
      </c>
      <c r="BA34" s="31" t="str">
        <f aca="false">IF($A34="","",IFERROR(IF(INDEX(drops!$R$2:$R$21,MATCH($H34,drops!$A$2:$A$21,0))="","",INDEX(drops!$R$2:$R$21,MATCH($H34,drops!$A$2:$A$21,0))),""))</f>
        <v/>
      </c>
      <c r="BB34" s="30" t="n">
        <f aca="false">IF(OR($A34="",$Q34&lt;&gt;"Y"),1000000,N($AL34))</f>
        <v>1000000</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C35" s="11"/>
      <c r="D35" s="10"/>
      <c r="E35" s="11"/>
      <c r="H35" s="30" t="str">
        <f aca="false">IF($A35="","",IFERROR(IF(INDEX(campaigns!$B$2:$B$51,MATCH($A35,campaigns!$A$2:$A$51,0))="","",INDEX(campaigns!$B$2:$B$51,MATCH($A35,campaigns!$A$2:$A$51,0))),""))</f>
        <v/>
      </c>
      <c r="I35" s="31" t="str">
        <f aca="false">IF($A35="","",IFERROR(IF(INDEX(campaigns!$BG$2:$BG$51,MATCH($A35,campaigns!$A$2:$A$51,0))="","",INDEX(campaigns!$BG$2:$BG$51,MATCH($A35,campaigns!$A$2:$A$51,0))),""))</f>
        <v/>
      </c>
      <c r="J35" s="30" t="str">
        <f aca="false">IF($A35="","",IFERROR(IF(INDEX(campaigns!$BE$2:$BE$51,MATCH($A35,campaigns!$A$2:$A$51,0))="","",INDEX(campaigns!$BE$2:$BE$51,MATCH($A35,campaigns!$A$2:$A$51,0))),""))</f>
        <v/>
      </c>
      <c r="K35" s="30" t="str">
        <f aca="false">IF($B35="","",IFERROR(IF(INDEX(offices!$O$2:$O$61,MATCH($B35,offices!$A$2:$A$61,0))="","",INDEX(offices!$O$2:$O$61,MATCH($B35,offices!$A$2:$A$61,0))),""))</f>
        <v/>
      </c>
      <c r="L35" s="30" t="str">
        <f aca="false">IF($A35="","",IF($Q35="N","",COUNTIFS($A$2:$A35,$A35,$Q$2:$Q35,"&lt;&gt;N")))</f>
        <v/>
      </c>
      <c r="M35" s="30" t="str">
        <f aca="false">IF(OR($A35="",$L35=""),"",IF(AND(config!$B$34="names_if_public",IFERROR(IF(INDEX(offices!$AG$2:$AG$61,MATCH($B35,offices!$A$2:$A$61,0))="","",INDEX(offices!$AG$2:$AG$61,MATCH($B35,offices!$A$2:$A$61,0))),"")="Y"),$K35,CHAR(64+$L35)))</f>
        <v/>
      </c>
      <c r="N35" s="30" t="str">
        <f aca="false">IF(OR($A35="",$I35=""),"",COUNTIFS(stops!$B$2:$B$151,$B35,stops!$P$2:$P$151,"&lt;"&amp;$I35,stops!$L$2:$L$151,"&lt;&gt;not_delivered")+1)</f>
        <v/>
      </c>
      <c r="O35" s="30" t="str">
        <f aca="false">IF($A35="","",IF(N($N35)&lt;=config!$B$29,"explicit","opt-out"))</f>
        <v/>
      </c>
      <c r="P35" s="30" t="str">
        <f aca="false">IF($A35="","",IF($O35="explicit",IF($D35="yes","Y",IF($D35="no","N","pending")),IF($D35="no","N",IF(AND($C35&lt;&gt;"",$I35&lt;&gt;"",$C35&lt;=WORKDAY(N($I35),-5,calendar!$A$2:$A$80)),"Y","pending"))))</f>
        <v/>
      </c>
      <c r="Q35" s="30" t="str">
        <f aca="false">IF($A35="","",IF($P35="N","N",IF($P35&lt;&gt;"Y","pending",IF(AND((COUNTIFS(stops!$A$2:$A$151,$H35,stops!$B$2:$B$151,$B35,stops!$L$2:$L$151,"declined")+COUNTIFS(stops!$A$2:$A$151,$H35,stops!$B$2:$B$151,$B35,stops!$L$2:$L$151,"building_refused")+COUNTIFS(stops!$A$2:$A$151,$H35,stops!$B$2:$B$151,$B35,stops!$L$2:$L$151,"not_delivered"))&gt;0,N($U35)=0),"N","Y"))))</f>
        <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str">
        <f aca="false">IF($A35="","",IF($G35&lt;&gt;"",$G35,IFERROR(IF(INDEX(offices!$AM$2:$AM$61,MATCH($B35,offices!$A$2:$A$61,0))="","",INDEX(offices!$AM$2:$AM$61,MATCH($B35,offices!$A$2:$A$61,0))),"")))</f>
        <v/>
      </c>
      <c r="T35" s="30" t="str">
        <f aca="false">IF($A35="","",$A35&amp;"."&amp;$B35)</f>
        <v/>
      </c>
      <c r="U35" s="30" t="str">
        <f aca="false">IF($A35="","",SUMIFS(inventory!$G$2:$G$801,inventory!$C$2:$C$801,$A35,inventory!$D$2:$D$801,$B35,inventory!$E$2:$E$801,"delivered"))</f>
        <v/>
      </c>
      <c r="V35" s="37" t="str">
        <f aca="false">IF($A35="","",IFERROR(1/(1/SUMPRODUCT(MAX((inventory!$C$2:$C$801=$A35)*(inventory!$D$2:$D$801=$B35)*(inventory!$E$2:$E$801="delivered")*(inventory!$A$2:$A$801+inventory!$B$2:$B$801)))),""))</f>
        <v/>
      </c>
      <c r="W35" s="30" t="str">
        <f aca="false">IF($A35="","",IFERROR(IF(INDEX(inventory!$J$2:$J$801,MATCH($A35&amp;"|"&amp;$B35&amp;"|delivered",inventory!$R$2:$R$801,0))="","",INDEX(inventory!$J$2:$J$801,MATCH($A35&amp;"|"&amp;$B35&amp;"|delivered",inventory!$R$2:$R$801,0))),""))</f>
        <v/>
      </c>
      <c r="X35" s="30" t="str">
        <f aca="false">IF($A35="","",IFERROR(IF(INDEX(photos!$H$2:$H$701,MATCH($A35&amp;"|"&amp;$B35&amp;"|placement|Y",photos!$R$2:$R$701,0))="","",INDEX(photos!$H$2:$H$701,MATCH($A35&amp;"|"&amp;$B35&amp;"|placement|Y",photos!$R$2:$R$701,0))),""))</f>
        <v/>
      </c>
      <c r="Y35" s="31" t="str">
        <f aca="false">IF($A35="","",IFERROR(IF(INDEX(photos!$E$2:$E$701,MATCH($A35&amp;"|"&amp;$B35&amp;"|placement|Y",photos!$R$2:$R$701,0))="","",INDEX(photos!$E$2:$E$701,MATCH($A35&amp;"|"&amp;$B35&amp;"|placement|Y",photos!$R$2:$R$701,0))),""))</f>
        <v/>
      </c>
      <c r="Z35" s="30" t="str">
        <f aca="false">IF($A35="","",IF(COUNTIFS(counts!$C$2:$C$701,$A35,counts!$D$2:$D$701,$B35,counts!$E$2:$E$701,"placed")=0,"",SUMIFS(counts!$F$2:$F$701,counts!$C$2:$C$701,$A35,counts!$D$2:$D$701,$B35,counts!$E$2:$E$701,"placed")))</f>
        <v/>
      </c>
      <c r="AA35" s="30" t="str">
        <f aca="false">IF($A35="","",IF($Y35="",0,N($Z35)))</f>
        <v/>
      </c>
      <c r="AB35" s="30" t="str">
        <f aca="false">IF($A35="","",IF(OR($Y35="",$I35=""),"N",IF($Y35&lt;=WORKDAY(N($I35),1,calendar!$A$2:$A$80),"Y","N")))</f>
        <v/>
      </c>
      <c r="AC35" s="33" t="str">
        <f aca="false">IF(OR($A35="",$V35="",$Y35=""),"",ROUND(($Y35+N(IFERROR(IF(INDEX(photos!$F$2:$F$701,MATCH($A35&amp;"|"&amp;$B35&amp;"|placement|Y",photos!$R$2:$R$701,0))="","",INDEX(photos!$F$2:$F$701,MATCH($A35&amp;"|"&amp;$B35&amp;"|placement|Y",photos!$R$2:$R$701,0))),""))-$V35)*24,1))</f>
        <v/>
      </c>
      <c r="AD35" s="30" t="str">
        <f aca="false">IF($A35="","",SUMIFS(inventory!$G$2:$G$801,inventory!$C$2:$C$801,$A35,inventory!$D$2:$D$801,$B35,inventory!$E$2:$E$801,"topped_up"))</f>
        <v/>
      </c>
      <c r="AE35" s="30" t="str">
        <f aca="false">IF($A35="","",IF(COUNTIFS(counts!$C$2:$C$701,$A35,counts!$D$2:$D$701,$B35,counts!$E$2:$E$701,"remaining_day3")=0,"",SUMIFS(counts!$F$2:$F$701,counts!$C$2:$C$701,$A35,counts!$D$2:$D$701,$B35,counts!$E$2:$E$701,"remaining_day3")))</f>
        <v/>
      </c>
      <c r="AF35" s="30" t="str">
        <f aca="false">IF($A35="","",IF(COUNTIFS(counts!$C$2:$C$701,$A35,counts!$D$2:$D$701,$B35,counts!$E$2:$E$701,"remaining_day5")=0,"",SUMIFS(counts!$F$2:$F$701,counts!$C$2:$C$701,$A35,counts!$D$2:$D$701,$B35,counts!$E$2:$E$701,"remaining_day5")))</f>
        <v/>
      </c>
      <c r="AG35" s="30" t="str">
        <f aca="false">IF(OR($A35="",$AF35=""),"",MAX(0,$AA35+$AD35-$AF35))</f>
        <v/>
      </c>
      <c r="AH35" s="30" t="str">
        <f aca="false">IF(OR($A35="",$AI35=""),"",IFERROR(IF(INDEX(photos!$H$2:$H$701,MATCH($A35&amp;"|"&amp;$B35&amp;"|later|Y|"&amp;$AI35,photos!$S$2:$S$701,0))="","",INDEX(photos!$H$2:$H$701,MATCH($A35&amp;"|"&amp;$B35&amp;"|later|Y|"&amp;$AI35,photos!$S$2:$S$701,0))),""))</f>
        <v/>
      </c>
      <c r="AI35" s="31" t="str">
        <f aca="false">IF($A35="","",IFERROR(1/(1/SUMPRODUCT(MAX((photos!$B$2:$B$701=$A35)*(photos!$C$2:$C$701=$B35)*(photos!$D$2:$D$701="later")*(photos!$O$2:$O$701="Y")*photos!$E$2:$E$701))),""))</f>
        <v/>
      </c>
      <c r="AJ35" s="30" t="str">
        <f aca="false">IF(OR($A35="",$AI35="",$I35=""),"",NETWORKDAYS($I35,$AI35,calendar!$A$2:$A$80))</f>
        <v/>
      </c>
      <c r="AK35" s="30" t="str">
        <f aca="false">IF($A35="","",IF(AND($X35&lt;&gt;"",$AH35&lt;&gt;""),"Y","N"))</f>
        <v/>
      </c>
      <c r="AL35" s="30" t="str">
        <f aca="true">IF(OR($A35="",$I35=""),"",IF($BC35="Y",SUMIFS(survey_frozen!$C$2:$C$251,survey_frozen!$P$2:$P$251,$A35&amp;"|"&amp;$B35),IFERROR(COUNTIFS(INDIRECT("'"&amp;$A35&amp;"'!$B$2:$B$501"),$T35,INDIRECT("'"&amp;$A35&amp;"'!$A$2:$A$501"),"&gt;="&amp;$I35,INDIRECT("'"&amp;$A35&amp;"'!$A$2:$A$501"),"&lt;"&amp;($BA35+1)),0)))</f>
        <v/>
      </c>
      <c r="AM35" s="30" t="str">
        <f aca="true">IF(OR($A35="",$I35=""),"",IF($BC35="Y",SUMIFS(survey_frozen!$D$2:$D$251,survey_frozen!$P$2:$P$251,$A35&amp;"|"&amp;$B35),IFERROR(COUNTIFS(INDIRECT("'"&amp;$A35&amp;"'!$B$2:$B$501"),$T35,INDIRECT("'"&amp;$A35&amp;"'!$A$2:$A$501"),"&gt;="&amp;$I35,INDIRECT("'"&amp;$A35&amp;"'!$A$2:$A$501"),"&lt;"&amp;($BA35+1),INDIRECT("'"&amp;$A35&amp;"'!$C$2:$C$501"),"Yes"),0)))</f>
        <v/>
      </c>
      <c r="AN35" s="30" t="str">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30" t="str">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str">
        <f aca="true">IF(OR($A35="",$I35=""),"",IF($BC35="Y",SUMIFS(survey_frozen!$E$2:$E$251,survey_frozen!$P$2:$P$251,$A35&amp;"|"&amp;$B35),IFERROR(COUNTIFS(INDIRECT("'"&amp;$A35&amp;"'!$B$2:$B$501"),$T35,INDIRECT("'"&amp;$A35&amp;"'!$A$2:$A$501"),"&gt;="&amp;$I35,INDIRECT("'"&amp;$A35&amp;"'!$A$2:$A$501"),"&lt;"&amp;($BA35+1),INDIRECT("'"&amp;$A35&amp;"'!$F$2:$F$501"),"Didn't see it"),0)))</f>
        <v/>
      </c>
      <c r="AR35" s="30" t="str">
        <f aca="true">IF(OR($A35="",$I35=""),"",IF($BC35="Y",SUMIFS(survey_frozen!$F$2:$F$251,survey_frozen!$P$2:$P$251,$A35&amp;"|"&amp;$B35),IFERROR(COUNTIFS(INDIRECT("'"&amp;$A35&amp;"'!$B$2:$B$501"),$T35,INDIRECT("'"&amp;$A35&amp;"'!$A$2:$A$501"),"&gt;="&amp;$I35,INDIRECT("'"&amp;$A35&amp;"'!$A$2:$A$501"),"&lt;"&amp;($BA35+1),INDIRECT("'"&amp;$A35&amp;"'!$F$2:$F$501"),"Not for me"),0)))</f>
        <v/>
      </c>
      <c r="AS35" s="30" t="str">
        <f aca="true">IF(OR($A35="",$I35=""),"",IF($BC35="Y",SUMIFS(survey_frozen!$G$2:$G$251,survey_frozen!$P$2:$P$251,$A35&amp;"|"&amp;$B35),IFERROR(COUNTIFS(INDIRECT("'"&amp;$A35&amp;"'!$B$2:$B$501"),$T35,INDIRECT("'"&amp;$A35&amp;"'!$A$2:$A$501"),"&gt;="&amp;$I35,INDIRECT("'"&amp;$A35&amp;"'!$A$2:$A$501"),"&lt;"&amp;($BA35+1),INDIRECT("'"&amp;$A35&amp;"'!$F$2:$F$501"),"Gone by the time I looked"),0)))</f>
        <v/>
      </c>
      <c r="AT35" s="30" t="str">
        <f aca="true">IF(OR($A35="",$I35=""),"",IF($BC35="Y",SUMIFS(survey_frozen!$H$2:$H$251,survey_frozen!$P$2:$P$251,$A35&amp;"|"&amp;$B35),IFERROR(COUNTIFS(INDIRECT("'"&amp;$A35&amp;"'!$B$2:$B$501"),$T35,INDIRECT("'"&amp;$A35&amp;"'!$A$2:$A$501"),"&gt;="&amp;$I35,INDIRECT("'"&amp;$A35&amp;"'!$A$2:$A$501"),"&lt;"&amp;($BA35+1),INDIRECT("'"&amp;$A35&amp;"'!$D$2:$D$501"),"&gt;=1"),0)))</f>
        <v/>
      </c>
      <c r="AU35" s="30" t="str">
        <f aca="true">IF(OR($A35="",$I35=""),"",IF($BC35="Y",SUMIFS(survey_frozen!$I$2:$I$251,survey_frozen!$P$2:$P$251,$A35&amp;"|"&amp;$B35),IFERROR(SUMIFS(INDIRECT("'"&amp;$A35&amp;"'!$D$2:$D$501"),INDIRECT("'"&amp;$A35&amp;"'!$B$2:$B$501"),$T35,INDIRECT("'"&amp;$A35&amp;"'!$A$2:$A$501"),"&gt;="&amp;$I35,INDIRECT("'"&amp;$A35&amp;"'!$A$2:$A$501"),"&lt;"&amp;($BA35+1)),0)))</f>
        <v/>
      </c>
      <c r="AV35" s="30" t="str">
        <f aca="true">IF(OR($A35="",$I35=""),"",IF($BC35="Y",SUMIFS(survey_frozen!$J$2:$J$251,survey_frozen!$P$2:$P$251,$A35&amp;"|"&amp;$B35),IFERROR(COUNTIFS(INDIRECT("'"&amp;$A35&amp;"'!$B$2:$B$501"),$T35,INDIRECT("'"&amp;$A35&amp;"'!$A$2:$A$501"),"&gt;="&amp;$I35,INDIRECT("'"&amp;$A35&amp;"'!$A$2:$A$501"),"&lt;"&amp;($BA35+1),INDIRECT("'"&amp;$A35&amp;"'!$E$2:$E$501"),"Yes"),0)))</f>
        <v/>
      </c>
      <c r="AW35" s="30" t="str">
        <f aca="true">IF(OR($A35="",$I35=""),"",IF($BC35="Y",SUMIFS(survey_frozen!$K$2:$K$251,survey_frozen!$P$2:$P$251,$A35&amp;"|"&amp;$B35),IFERROR(COUNTIFS(INDIRECT("'"&amp;$A35&amp;"'!$B$2:$B$501"),$T35,INDIRECT("'"&amp;$A35&amp;"'!$A$2:$A$501"),"&gt;="&amp;$I35,INDIRECT("'"&amp;$A35&amp;"'!$A$2:$A$501"),"&lt;"&amp;($BA35+1),INDIRECT("'"&amp;$A35&amp;"'!$E$2:$E$501"),"Maybe"),0)))</f>
        <v/>
      </c>
      <c r="AX35" s="30" t="str">
        <f aca="true">IF(OR($A35="",$I35=""),"",IF($BC35="Y",SUMIFS(survey_frozen!$L$2:$L$251,survey_frozen!$P$2:$P$251,$A35&amp;"|"&amp;$B35),IFERROR(COUNTIFS(INDIRECT("'"&amp;$A35&amp;"'!$B$2:$B$501"),$T35,INDIRECT("'"&amp;$A35&amp;"'!$A$2:$A$501"),"&gt;="&amp;$I35,INDIRECT("'"&amp;$A35&amp;"'!$A$2:$A$501"),"&lt;"&amp;($BA35+1),INDIRECT("'"&amp;$A35&amp;"'!$E$2:$E$501"),"No"),0)))</f>
        <v/>
      </c>
      <c r="AY35" s="30" t="str">
        <f aca="true">IF(OR($A35="",$I35=""),"",IF($BC35="Y",SUMIFS(survey_frozen!$M$2:$M$251,survey_frozen!$P$2:$P$251,$A35&amp;"|"&amp;$B35),IFERROR(COUNTIFS(INDIRECT("'"&amp;$A35&amp;"'!$B$2:$B$501"),$T35,INDIRECT("'"&amp;$A35&amp;"'!$A$2:$A$501"),"&gt;="&amp;$I35,INDIRECT("'"&amp;$A35&amp;"'!$A$2:$A$501"),"&lt;"&amp;($BA35+1),INDIRECT("'"&amp;$A35&amp;"'!$G$2:$G$501"),"&lt;&gt;"),0)))</f>
        <v/>
      </c>
      <c r="AZ35" s="30" t="str">
        <f aca="false">IF($A35="","",$A35&amp;"|"&amp;$L35)</f>
        <v/>
      </c>
      <c r="BA35" s="31" t="str">
        <f aca="false">IF($A35="","",IFERROR(IF(INDEX(drops!$R$2:$R$21,MATCH($H35,drops!$A$2:$A$21,0))="","",INDEX(drops!$R$2:$R$21,MATCH($H35,drops!$A$2:$A$21,0))),""))</f>
        <v/>
      </c>
      <c r="BB35" s="30" t="n">
        <f aca="false">IF(OR($A35="",$Q35&lt;&gt;"Y"),1000000,N($AL35))</f>
        <v>1000000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C36" s="11"/>
      <c r="D36" s="10"/>
      <c r="E36" s="11"/>
      <c r="H36" s="30" t="str">
        <f aca="false">IF($A36="","",IFERROR(IF(INDEX(campaigns!$B$2:$B$51,MATCH($A36,campaigns!$A$2:$A$51,0))="","",INDEX(campaigns!$B$2:$B$51,MATCH($A36,campaigns!$A$2:$A$51,0))),""))</f>
        <v/>
      </c>
      <c r="I36" s="31" t="str">
        <f aca="false">IF($A36="","",IFERROR(IF(INDEX(campaigns!$BG$2:$BG$51,MATCH($A36,campaigns!$A$2:$A$51,0))="","",INDEX(campaigns!$BG$2:$BG$51,MATCH($A36,campaigns!$A$2:$A$51,0))),""))</f>
        <v/>
      </c>
      <c r="J36" s="30" t="str">
        <f aca="false">IF($A36="","",IFERROR(IF(INDEX(campaigns!$BE$2:$BE$51,MATCH($A36,campaigns!$A$2:$A$51,0))="","",INDEX(campaigns!$BE$2:$BE$51,MATCH($A36,campaigns!$A$2:$A$51,0))),""))</f>
        <v/>
      </c>
      <c r="K36" s="30" t="str">
        <f aca="false">IF($B36="","",IFERROR(IF(INDEX(offices!$O$2:$O$61,MATCH($B36,offices!$A$2:$A$61,0))="","",INDEX(offices!$O$2:$O$61,MATCH($B36,offices!$A$2:$A$61,0))),""))</f>
        <v/>
      </c>
      <c r="L36" s="30" t="str">
        <f aca="false">IF($A36="","",IF($Q36="N","",COUNTIFS($A$2:$A36,$A36,$Q$2:$Q36,"&lt;&gt;N")))</f>
        <v/>
      </c>
      <c r="M36" s="30" t="str">
        <f aca="false">IF(OR($A36="",$L36=""),"",IF(AND(config!$B$34="names_if_public",IFERROR(IF(INDEX(offices!$AG$2:$AG$61,MATCH($B36,offices!$A$2:$A$61,0))="","",INDEX(offices!$AG$2:$AG$61,MATCH($B36,offices!$A$2:$A$61,0))),"")="Y"),$K36,CHAR(64+$L36)))</f>
        <v/>
      </c>
      <c r="N36" s="30" t="str">
        <f aca="false">IF(OR($A36="",$I36=""),"",COUNTIFS(stops!$B$2:$B$151,$B36,stops!$P$2:$P$151,"&lt;"&amp;$I36,stops!$L$2:$L$151,"&lt;&gt;not_delivered")+1)</f>
        <v/>
      </c>
      <c r="O36" s="30" t="str">
        <f aca="false">IF($A36="","",IF(N($N36)&lt;=config!$B$29,"explicit","opt-out"))</f>
        <v/>
      </c>
      <c r="P36" s="30" t="str">
        <f aca="false">IF($A36="","",IF($O36="explicit",IF($D36="yes","Y",IF($D36="no","N","pending")),IF($D36="no","N",IF(AND($C36&lt;&gt;"",$I36&lt;&gt;"",$C36&lt;=WORKDAY(N($I36),-5,calendar!$A$2:$A$80)),"Y","pending"))))</f>
        <v/>
      </c>
      <c r="Q36" s="30" t="str">
        <f aca="false">IF($A36="","",IF($P36="N","N",IF($P36&lt;&gt;"Y","pending",IF(AND((COUNTIFS(stops!$A$2:$A$151,$H36,stops!$B$2:$B$151,$B36,stops!$L$2:$L$151,"declined")+COUNTIFS(stops!$A$2:$A$151,$H36,stops!$B$2:$B$151,$B36,stops!$L$2:$L$151,"building_refused")+COUNTIFS(stops!$A$2:$A$151,$H36,stops!$B$2:$B$151,$B36,stops!$L$2:$L$151,"not_delivered"))&gt;0,N($U36)=0),"N","Y"))))</f>
        <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str">
        <f aca="false">IF($A36="","",IF($G36&lt;&gt;"",$G36,IFERROR(IF(INDEX(offices!$AM$2:$AM$61,MATCH($B36,offices!$A$2:$A$61,0))="","",INDEX(offices!$AM$2:$AM$61,MATCH($B36,offices!$A$2:$A$61,0))),"")))</f>
        <v/>
      </c>
      <c r="T36" s="30" t="str">
        <f aca="false">IF($A36="","",$A36&amp;"."&amp;$B36)</f>
        <v/>
      </c>
      <c r="U36" s="30" t="str">
        <f aca="false">IF($A36="","",SUMIFS(inventory!$G$2:$G$801,inventory!$C$2:$C$801,$A36,inventory!$D$2:$D$801,$B36,inventory!$E$2:$E$801,"delivered"))</f>
        <v/>
      </c>
      <c r="V36" s="37" t="str">
        <f aca="false">IF($A36="","",IFERROR(1/(1/SUMPRODUCT(MAX((inventory!$C$2:$C$801=$A36)*(inventory!$D$2:$D$801=$B36)*(inventory!$E$2:$E$801="delivered")*(inventory!$A$2:$A$801+inventory!$B$2:$B$801)))),""))</f>
        <v/>
      </c>
      <c r="W36" s="30" t="str">
        <f aca="false">IF($A36="","",IFERROR(IF(INDEX(inventory!$J$2:$J$801,MATCH($A36&amp;"|"&amp;$B36&amp;"|delivered",inventory!$R$2:$R$801,0))="","",INDEX(inventory!$J$2:$J$801,MATCH($A36&amp;"|"&amp;$B36&amp;"|delivered",inventory!$R$2:$R$801,0))),""))</f>
        <v/>
      </c>
      <c r="X36" s="30" t="str">
        <f aca="false">IF($A36="","",IFERROR(IF(INDEX(photos!$H$2:$H$701,MATCH($A36&amp;"|"&amp;$B36&amp;"|placement|Y",photos!$R$2:$R$701,0))="","",INDEX(photos!$H$2:$H$701,MATCH($A36&amp;"|"&amp;$B36&amp;"|placement|Y",photos!$R$2:$R$701,0))),""))</f>
        <v/>
      </c>
      <c r="Y36" s="31" t="str">
        <f aca="false">IF($A36="","",IFERROR(IF(INDEX(photos!$E$2:$E$701,MATCH($A36&amp;"|"&amp;$B36&amp;"|placement|Y",photos!$R$2:$R$701,0))="","",INDEX(photos!$E$2:$E$701,MATCH($A36&amp;"|"&amp;$B36&amp;"|placement|Y",photos!$R$2:$R$701,0))),""))</f>
        <v/>
      </c>
      <c r="Z36" s="30" t="str">
        <f aca="false">IF($A36="","",IF(COUNTIFS(counts!$C$2:$C$701,$A36,counts!$D$2:$D$701,$B36,counts!$E$2:$E$701,"placed")=0,"",SUMIFS(counts!$F$2:$F$701,counts!$C$2:$C$701,$A36,counts!$D$2:$D$701,$B36,counts!$E$2:$E$701,"placed")))</f>
        <v/>
      </c>
      <c r="AA36" s="30" t="str">
        <f aca="false">IF($A36="","",IF($Y36="",0,N($Z36)))</f>
        <v/>
      </c>
      <c r="AB36" s="30" t="str">
        <f aca="false">IF($A36="","",IF(OR($Y36="",$I36=""),"N",IF($Y36&lt;=WORKDAY(N($I36),1,calendar!$A$2:$A$80),"Y","N")))</f>
        <v/>
      </c>
      <c r="AC36" s="33" t="str">
        <f aca="false">IF(OR($A36="",$V36="",$Y36=""),"",ROUND(($Y36+N(IFERROR(IF(INDEX(photos!$F$2:$F$701,MATCH($A36&amp;"|"&amp;$B36&amp;"|placement|Y",photos!$R$2:$R$701,0))="","",INDEX(photos!$F$2:$F$701,MATCH($A36&amp;"|"&amp;$B36&amp;"|placement|Y",photos!$R$2:$R$701,0))),""))-$V36)*24,1))</f>
        <v/>
      </c>
      <c r="AD36" s="30" t="str">
        <f aca="false">IF($A36="","",SUMIFS(inventory!$G$2:$G$801,inventory!$C$2:$C$801,$A36,inventory!$D$2:$D$801,$B36,inventory!$E$2:$E$801,"topped_up"))</f>
        <v/>
      </c>
      <c r="AE36" s="30" t="str">
        <f aca="false">IF($A36="","",IF(COUNTIFS(counts!$C$2:$C$701,$A36,counts!$D$2:$D$701,$B36,counts!$E$2:$E$701,"remaining_day3")=0,"",SUMIFS(counts!$F$2:$F$701,counts!$C$2:$C$701,$A36,counts!$D$2:$D$701,$B36,counts!$E$2:$E$701,"remaining_day3")))</f>
        <v/>
      </c>
      <c r="AF36" s="30" t="str">
        <f aca="false">IF($A36="","",IF(COUNTIFS(counts!$C$2:$C$701,$A36,counts!$D$2:$D$701,$B36,counts!$E$2:$E$701,"remaining_day5")=0,"",SUMIFS(counts!$F$2:$F$701,counts!$C$2:$C$701,$A36,counts!$D$2:$D$701,$B36,counts!$E$2:$E$701,"remaining_day5")))</f>
        <v/>
      </c>
      <c r="AG36" s="30" t="str">
        <f aca="false">IF(OR($A36="",$AF36=""),"",MAX(0,$AA36+$AD36-$AF36))</f>
        <v/>
      </c>
      <c r="AH36" s="30" t="str">
        <f aca="false">IF(OR($A36="",$AI36=""),"",IFERROR(IF(INDEX(photos!$H$2:$H$701,MATCH($A36&amp;"|"&amp;$B36&amp;"|later|Y|"&amp;$AI36,photos!$S$2:$S$701,0))="","",INDEX(photos!$H$2:$H$701,MATCH($A36&amp;"|"&amp;$B36&amp;"|later|Y|"&amp;$AI36,photos!$S$2:$S$701,0))),""))</f>
        <v/>
      </c>
      <c r="AI36" s="31" t="str">
        <f aca="false">IF($A36="","",IFERROR(1/(1/SUMPRODUCT(MAX((photos!$B$2:$B$701=$A36)*(photos!$C$2:$C$701=$B36)*(photos!$D$2:$D$701="later")*(photos!$O$2:$O$701="Y")*photos!$E$2:$E$701))),""))</f>
        <v/>
      </c>
      <c r="AJ36" s="30" t="str">
        <f aca="false">IF(OR($A36="",$AI36="",$I36=""),"",NETWORKDAYS($I36,$AI36,calendar!$A$2:$A$80))</f>
        <v/>
      </c>
      <c r="AK36" s="30" t="str">
        <f aca="false">IF($A36="","",IF(AND($X36&lt;&gt;"",$AH36&lt;&gt;""),"Y","N"))</f>
        <v/>
      </c>
      <c r="AL36" s="30" t="str">
        <f aca="true">IF(OR($A36="",$I36=""),"",IF($BC36="Y",SUMIFS(survey_frozen!$C$2:$C$251,survey_frozen!$P$2:$P$251,$A36&amp;"|"&amp;$B36),IFERROR(COUNTIFS(INDIRECT("'"&amp;$A36&amp;"'!$B$2:$B$501"),$T36,INDIRECT("'"&amp;$A36&amp;"'!$A$2:$A$501"),"&gt;="&amp;$I36,INDIRECT("'"&amp;$A36&amp;"'!$A$2:$A$501"),"&lt;"&amp;($BA36+1)),0)))</f>
        <v/>
      </c>
      <c r="AM36" s="30" t="str">
        <f aca="true">IF(OR($A36="",$I36=""),"",IF($BC36="Y",SUMIFS(survey_frozen!$D$2:$D$251,survey_frozen!$P$2:$P$251,$A36&amp;"|"&amp;$B36),IFERROR(COUNTIFS(INDIRECT("'"&amp;$A36&amp;"'!$B$2:$B$501"),$T36,INDIRECT("'"&amp;$A36&amp;"'!$A$2:$A$501"),"&gt;="&amp;$I36,INDIRECT("'"&amp;$A36&amp;"'!$A$2:$A$501"),"&lt;"&amp;($BA36+1),INDIRECT("'"&amp;$A36&amp;"'!$C$2:$C$501"),"Yes"),0)))</f>
        <v/>
      </c>
      <c r="AN36" s="30" t="str">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30" t="str">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str">
        <f aca="true">IF(OR($A36="",$I36=""),"",IF($BC36="Y",SUMIFS(survey_frozen!$E$2:$E$251,survey_frozen!$P$2:$P$251,$A36&amp;"|"&amp;$B36),IFERROR(COUNTIFS(INDIRECT("'"&amp;$A36&amp;"'!$B$2:$B$501"),$T36,INDIRECT("'"&amp;$A36&amp;"'!$A$2:$A$501"),"&gt;="&amp;$I36,INDIRECT("'"&amp;$A36&amp;"'!$A$2:$A$501"),"&lt;"&amp;($BA36+1),INDIRECT("'"&amp;$A36&amp;"'!$F$2:$F$501"),"Didn't see it"),0)))</f>
        <v/>
      </c>
      <c r="AR36" s="30" t="str">
        <f aca="true">IF(OR($A36="",$I36=""),"",IF($BC36="Y",SUMIFS(survey_frozen!$F$2:$F$251,survey_frozen!$P$2:$P$251,$A36&amp;"|"&amp;$B36),IFERROR(COUNTIFS(INDIRECT("'"&amp;$A36&amp;"'!$B$2:$B$501"),$T36,INDIRECT("'"&amp;$A36&amp;"'!$A$2:$A$501"),"&gt;="&amp;$I36,INDIRECT("'"&amp;$A36&amp;"'!$A$2:$A$501"),"&lt;"&amp;($BA36+1),INDIRECT("'"&amp;$A36&amp;"'!$F$2:$F$501"),"Not for me"),0)))</f>
        <v/>
      </c>
      <c r="AS36" s="30" t="str">
        <f aca="true">IF(OR($A36="",$I36=""),"",IF($BC36="Y",SUMIFS(survey_frozen!$G$2:$G$251,survey_frozen!$P$2:$P$251,$A36&amp;"|"&amp;$B36),IFERROR(COUNTIFS(INDIRECT("'"&amp;$A36&amp;"'!$B$2:$B$501"),$T36,INDIRECT("'"&amp;$A36&amp;"'!$A$2:$A$501"),"&gt;="&amp;$I36,INDIRECT("'"&amp;$A36&amp;"'!$A$2:$A$501"),"&lt;"&amp;($BA36+1),INDIRECT("'"&amp;$A36&amp;"'!$F$2:$F$501"),"Gone by the time I looked"),0)))</f>
        <v/>
      </c>
      <c r="AT36" s="30" t="str">
        <f aca="true">IF(OR($A36="",$I36=""),"",IF($BC36="Y",SUMIFS(survey_frozen!$H$2:$H$251,survey_frozen!$P$2:$P$251,$A36&amp;"|"&amp;$B36),IFERROR(COUNTIFS(INDIRECT("'"&amp;$A36&amp;"'!$B$2:$B$501"),$T36,INDIRECT("'"&amp;$A36&amp;"'!$A$2:$A$501"),"&gt;="&amp;$I36,INDIRECT("'"&amp;$A36&amp;"'!$A$2:$A$501"),"&lt;"&amp;($BA36+1),INDIRECT("'"&amp;$A36&amp;"'!$D$2:$D$501"),"&gt;=1"),0)))</f>
        <v/>
      </c>
      <c r="AU36" s="30" t="str">
        <f aca="true">IF(OR($A36="",$I36=""),"",IF($BC36="Y",SUMIFS(survey_frozen!$I$2:$I$251,survey_frozen!$P$2:$P$251,$A36&amp;"|"&amp;$B36),IFERROR(SUMIFS(INDIRECT("'"&amp;$A36&amp;"'!$D$2:$D$501"),INDIRECT("'"&amp;$A36&amp;"'!$B$2:$B$501"),$T36,INDIRECT("'"&amp;$A36&amp;"'!$A$2:$A$501"),"&gt;="&amp;$I36,INDIRECT("'"&amp;$A36&amp;"'!$A$2:$A$501"),"&lt;"&amp;($BA36+1)),0)))</f>
        <v/>
      </c>
      <c r="AV36" s="30" t="str">
        <f aca="true">IF(OR($A36="",$I36=""),"",IF($BC36="Y",SUMIFS(survey_frozen!$J$2:$J$251,survey_frozen!$P$2:$P$251,$A36&amp;"|"&amp;$B36),IFERROR(COUNTIFS(INDIRECT("'"&amp;$A36&amp;"'!$B$2:$B$501"),$T36,INDIRECT("'"&amp;$A36&amp;"'!$A$2:$A$501"),"&gt;="&amp;$I36,INDIRECT("'"&amp;$A36&amp;"'!$A$2:$A$501"),"&lt;"&amp;($BA36+1),INDIRECT("'"&amp;$A36&amp;"'!$E$2:$E$501"),"Yes"),0)))</f>
        <v/>
      </c>
      <c r="AW36" s="30" t="str">
        <f aca="true">IF(OR($A36="",$I36=""),"",IF($BC36="Y",SUMIFS(survey_frozen!$K$2:$K$251,survey_frozen!$P$2:$P$251,$A36&amp;"|"&amp;$B36),IFERROR(COUNTIFS(INDIRECT("'"&amp;$A36&amp;"'!$B$2:$B$501"),$T36,INDIRECT("'"&amp;$A36&amp;"'!$A$2:$A$501"),"&gt;="&amp;$I36,INDIRECT("'"&amp;$A36&amp;"'!$A$2:$A$501"),"&lt;"&amp;($BA36+1),INDIRECT("'"&amp;$A36&amp;"'!$E$2:$E$501"),"Maybe"),0)))</f>
        <v/>
      </c>
      <c r="AX36" s="30" t="str">
        <f aca="true">IF(OR($A36="",$I36=""),"",IF($BC36="Y",SUMIFS(survey_frozen!$L$2:$L$251,survey_frozen!$P$2:$P$251,$A36&amp;"|"&amp;$B36),IFERROR(COUNTIFS(INDIRECT("'"&amp;$A36&amp;"'!$B$2:$B$501"),$T36,INDIRECT("'"&amp;$A36&amp;"'!$A$2:$A$501"),"&gt;="&amp;$I36,INDIRECT("'"&amp;$A36&amp;"'!$A$2:$A$501"),"&lt;"&amp;($BA36+1),INDIRECT("'"&amp;$A36&amp;"'!$E$2:$E$501"),"No"),0)))</f>
        <v/>
      </c>
      <c r="AY36" s="30" t="str">
        <f aca="true">IF(OR($A36="",$I36=""),"",IF($BC36="Y",SUMIFS(survey_frozen!$M$2:$M$251,survey_frozen!$P$2:$P$251,$A36&amp;"|"&amp;$B36),IFERROR(COUNTIFS(INDIRECT("'"&amp;$A36&amp;"'!$B$2:$B$501"),$T36,INDIRECT("'"&amp;$A36&amp;"'!$A$2:$A$501"),"&gt;="&amp;$I36,INDIRECT("'"&amp;$A36&amp;"'!$A$2:$A$501"),"&lt;"&amp;($BA36+1),INDIRECT("'"&amp;$A36&amp;"'!$G$2:$G$501"),"&lt;&gt;"),0)))</f>
        <v/>
      </c>
      <c r="AZ36" s="30" t="str">
        <f aca="false">IF($A36="","",$A36&amp;"|"&amp;$L36)</f>
        <v/>
      </c>
      <c r="BA36" s="31" t="str">
        <f aca="false">IF($A36="","",IFERROR(IF(INDEX(drops!$R$2:$R$21,MATCH($H36,drops!$A$2:$A$21,0))="","",INDEX(drops!$R$2:$R$21,MATCH($H36,drops!$A$2:$A$21,0))),""))</f>
        <v/>
      </c>
      <c r="BB36" s="30" t="n">
        <f aca="false">IF(OR($A36="",$Q36&lt;&gt;"Y"),1000000,N($AL36))</f>
        <v>1000000</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C37" s="11"/>
      <c r="D37" s="10"/>
      <c r="E37" s="11"/>
      <c r="H37" s="30" t="str">
        <f aca="false">IF($A37="","",IFERROR(IF(INDEX(campaigns!$B$2:$B$51,MATCH($A37,campaigns!$A$2:$A$51,0))="","",INDEX(campaigns!$B$2:$B$51,MATCH($A37,campaigns!$A$2:$A$51,0))),""))</f>
        <v/>
      </c>
      <c r="I37" s="31" t="str">
        <f aca="false">IF($A37="","",IFERROR(IF(INDEX(campaigns!$BG$2:$BG$51,MATCH($A37,campaigns!$A$2:$A$51,0))="","",INDEX(campaigns!$BG$2:$BG$51,MATCH($A37,campaigns!$A$2:$A$51,0))),""))</f>
        <v/>
      </c>
      <c r="J37" s="30" t="str">
        <f aca="false">IF($A37="","",IFERROR(IF(INDEX(campaigns!$BE$2:$BE$51,MATCH($A37,campaigns!$A$2:$A$51,0))="","",INDEX(campaigns!$BE$2:$BE$51,MATCH($A37,campaigns!$A$2:$A$51,0))),""))</f>
        <v/>
      </c>
      <c r="K37" s="30" t="str">
        <f aca="false">IF($B37="","",IFERROR(IF(INDEX(offices!$O$2:$O$61,MATCH($B37,offices!$A$2:$A$61,0))="","",INDEX(offices!$O$2:$O$61,MATCH($B37,offices!$A$2:$A$61,0))),""))</f>
        <v/>
      </c>
      <c r="L37" s="30" t="str">
        <f aca="false">IF($A37="","",IF($Q37="N","",COUNTIFS($A$2:$A37,$A37,$Q$2:$Q37,"&lt;&gt;N")))</f>
        <v/>
      </c>
      <c r="M37" s="30" t="str">
        <f aca="false">IF(OR($A37="",$L37=""),"",IF(AND(config!$B$34="names_if_public",IFERROR(IF(INDEX(offices!$AG$2:$AG$61,MATCH($B37,offices!$A$2:$A$61,0))="","",INDEX(offices!$AG$2:$AG$61,MATCH($B37,offices!$A$2:$A$61,0))),"")="Y"),$K37,CHAR(64+$L37)))</f>
        <v/>
      </c>
      <c r="N37" s="30" t="str">
        <f aca="false">IF(OR($A37="",$I37=""),"",COUNTIFS(stops!$B$2:$B$151,$B37,stops!$P$2:$P$151,"&lt;"&amp;$I37,stops!$L$2:$L$151,"&lt;&gt;not_delivered")+1)</f>
        <v/>
      </c>
      <c r="O37" s="30" t="str">
        <f aca="false">IF($A37="","",IF(N($N37)&lt;=config!$B$29,"explicit","opt-out"))</f>
        <v/>
      </c>
      <c r="P37" s="30" t="str">
        <f aca="false">IF($A37="","",IF($O37="explicit",IF($D37="yes","Y",IF($D37="no","N","pending")),IF($D37="no","N",IF(AND($C37&lt;&gt;"",$I37&lt;&gt;"",$C37&lt;=WORKDAY(N($I37),-5,calendar!$A$2:$A$80)),"Y","pending"))))</f>
        <v/>
      </c>
      <c r="Q37" s="30" t="str">
        <f aca="false">IF($A37="","",IF($P37="N","N",IF($P37&lt;&gt;"Y","pending",IF(AND((COUNTIFS(stops!$A$2:$A$151,$H37,stops!$B$2:$B$151,$B37,stops!$L$2:$L$151,"declined")+COUNTIFS(stops!$A$2:$A$151,$H37,stops!$B$2:$B$151,$B37,stops!$L$2:$L$151,"building_refused")+COUNTIFS(stops!$A$2:$A$151,$H37,stops!$B$2:$B$151,$B37,stops!$L$2:$L$151,"not_delivered"))&gt;0,N($U37)=0),"N","Y"))))</f>
        <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str">
        <f aca="false">IF($A37="","",IF($G37&lt;&gt;"",$G37,IFERROR(IF(INDEX(offices!$AM$2:$AM$61,MATCH($B37,offices!$A$2:$A$61,0))="","",INDEX(offices!$AM$2:$AM$61,MATCH($B37,offices!$A$2:$A$61,0))),"")))</f>
        <v/>
      </c>
      <c r="T37" s="30" t="str">
        <f aca="false">IF($A37="","",$A37&amp;"."&amp;$B37)</f>
        <v/>
      </c>
      <c r="U37" s="30" t="str">
        <f aca="false">IF($A37="","",SUMIFS(inventory!$G$2:$G$801,inventory!$C$2:$C$801,$A37,inventory!$D$2:$D$801,$B37,inventory!$E$2:$E$801,"delivered"))</f>
        <v/>
      </c>
      <c r="V37" s="37" t="str">
        <f aca="false">IF($A37="","",IFERROR(1/(1/SUMPRODUCT(MAX((inventory!$C$2:$C$801=$A37)*(inventory!$D$2:$D$801=$B37)*(inventory!$E$2:$E$801="delivered")*(inventory!$A$2:$A$801+inventory!$B$2:$B$801)))),""))</f>
        <v/>
      </c>
      <c r="W37" s="30" t="str">
        <f aca="false">IF($A37="","",IFERROR(IF(INDEX(inventory!$J$2:$J$801,MATCH($A37&amp;"|"&amp;$B37&amp;"|delivered",inventory!$R$2:$R$801,0))="","",INDEX(inventory!$J$2:$J$801,MATCH($A37&amp;"|"&amp;$B37&amp;"|delivered",inventory!$R$2:$R$801,0))),""))</f>
        <v/>
      </c>
      <c r="X37" s="30" t="str">
        <f aca="false">IF($A37="","",IFERROR(IF(INDEX(photos!$H$2:$H$701,MATCH($A37&amp;"|"&amp;$B37&amp;"|placement|Y",photos!$R$2:$R$701,0))="","",INDEX(photos!$H$2:$H$701,MATCH($A37&amp;"|"&amp;$B37&amp;"|placement|Y",photos!$R$2:$R$701,0))),""))</f>
        <v/>
      </c>
      <c r="Y37" s="31" t="str">
        <f aca="false">IF($A37="","",IFERROR(IF(INDEX(photos!$E$2:$E$701,MATCH($A37&amp;"|"&amp;$B37&amp;"|placement|Y",photos!$R$2:$R$701,0))="","",INDEX(photos!$E$2:$E$701,MATCH($A37&amp;"|"&amp;$B37&amp;"|placement|Y",photos!$R$2:$R$701,0))),""))</f>
        <v/>
      </c>
      <c r="Z37" s="30" t="str">
        <f aca="false">IF($A37="","",IF(COUNTIFS(counts!$C$2:$C$701,$A37,counts!$D$2:$D$701,$B37,counts!$E$2:$E$701,"placed")=0,"",SUMIFS(counts!$F$2:$F$701,counts!$C$2:$C$701,$A37,counts!$D$2:$D$701,$B37,counts!$E$2:$E$701,"placed")))</f>
        <v/>
      </c>
      <c r="AA37" s="30" t="str">
        <f aca="false">IF($A37="","",IF($Y37="",0,N($Z37)))</f>
        <v/>
      </c>
      <c r="AB37" s="30" t="str">
        <f aca="false">IF($A37="","",IF(OR($Y37="",$I37=""),"N",IF($Y37&lt;=WORKDAY(N($I37),1,calendar!$A$2:$A$80),"Y","N")))</f>
        <v/>
      </c>
      <c r="AC37" s="33" t="str">
        <f aca="false">IF(OR($A37="",$V37="",$Y37=""),"",ROUND(($Y37+N(IFERROR(IF(INDEX(photos!$F$2:$F$701,MATCH($A37&amp;"|"&amp;$B37&amp;"|placement|Y",photos!$R$2:$R$701,0))="","",INDEX(photos!$F$2:$F$701,MATCH($A37&amp;"|"&amp;$B37&amp;"|placement|Y",photos!$R$2:$R$701,0))),""))-$V37)*24,1))</f>
        <v/>
      </c>
      <c r="AD37" s="30" t="str">
        <f aca="false">IF($A37="","",SUMIFS(inventory!$G$2:$G$801,inventory!$C$2:$C$801,$A37,inventory!$D$2:$D$801,$B37,inventory!$E$2:$E$801,"topped_up"))</f>
        <v/>
      </c>
      <c r="AE37" s="30" t="str">
        <f aca="false">IF($A37="","",IF(COUNTIFS(counts!$C$2:$C$701,$A37,counts!$D$2:$D$701,$B37,counts!$E$2:$E$701,"remaining_day3")=0,"",SUMIFS(counts!$F$2:$F$701,counts!$C$2:$C$701,$A37,counts!$D$2:$D$701,$B37,counts!$E$2:$E$701,"remaining_day3")))</f>
        <v/>
      </c>
      <c r="AF37" s="30" t="str">
        <f aca="false">IF($A37="","",IF(COUNTIFS(counts!$C$2:$C$701,$A37,counts!$D$2:$D$701,$B37,counts!$E$2:$E$701,"remaining_day5")=0,"",SUMIFS(counts!$F$2:$F$701,counts!$C$2:$C$701,$A37,counts!$D$2:$D$701,$B37,counts!$E$2:$E$701,"remaining_day5")))</f>
        <v/>
      </c>
      <c r="AG37" s="30" t="str">
        <f aca="false">IF(OR($A37="",$AF37=""),"",MAX(0,$AA37+$AD37-$AF37))</f>
        <v/>
      </c>
      <c r="AH37" s="30" t="str">
        <f aca="false">IF(OR($A37="",$AI37=""),"",IFERROR(IF(INDEX(photos!$H$2:$H$701,MATCH($A37&amp;"|"&amp;$B37&amp;"|later|Y|"&amp;$AI37,photos!$S$2:$S$701,0))="","",INDEX(photos!$H$2:$H$701,MATCH($A37&amp;"|"&amp;$B37&amp;"|later|Y|"&amp;$AI37,photos!$S$2:$S$701,0))),""))</f>
        <v/>
      </c>
      <c r="AI37" s="31" t="str">
        <f aca="false">IF($A37="","",IFERROR(1/(1/SUMPRODUCT(MAX((photos!$B$2:$B$701=$A37)*(photos!$C$2:$C$701=$B37)*(photos!$D$2:$D$701="later")*(photos!$O$2:$O$701="Y")*photos!$E$2:$E$701))),""))</f>
        <v/>
      </c>
      <c r="AJ37" s="30" t="str">
        <f aca="false">IF(OR($A37="",$AI37="",$I37=""),"",NETWORKDAYS($I37,$AI37,calendar!$A$2:$A$80))</f>
        <v/>
      </c>
      <c r="AK37" s="30" t="str">
        <f aca="false">IF($A37="","",IF(AND($X37&lt;&gt;"",$AH37&lt;&gt;""),"Y","N"))</f>
        <v/>
      </c>
      <c r="AL37" s="30" t="str">
        <f aca="true">IF(OR($A37="",$I37=""),"",IF($BC37="Y",SUMIFS(survey_frozen!$C$2:$C$251,survey_frozen!$P$2:$P$251,$A37&amp;"|"&amp;$B37),IFERROR(COUNTIFS(INDIRECT("'"&amp;$A37&amp;"'!$B$2:$B$501"),$T37,INDIRECT("'"&amp;$A37&amp;"'!$A$2:$A$501"),"&gt;="&amp;$I37,INDIRECT("'"&amp;$A37&amp;"'!$A$2:$A$501"),"&lt;"&amp;($BA37+1)),0)))</f>
        <v/>
      </c>
      <c r="AM37" s="30" t="str">
        <f aca="true">IF(OR($A37="",$I37=""),"",IF($BC37="Y",SUMIFS(survey_frozen!$D$2:$D$251,survey_frozen!$P$2:$P$251,$A37&amp;"|"&amp;$B37),IFERROR(COUNTIFS(INDIRECT("'"&amp;$A37&amp;"'!$B$2:$B$501"),$T37,INDIRECT("'"&amp;$A37&amp;"'!$A$2:$A$501"),"&gt;="&amp;$I37,INDIRECT("'"&amp;$A37&amp;"'!$A$2:$A$501"),"&lt;"&amp;($BA37+1),INDIRECT("'"&amp;$A37&amp;"'!$C$2:$C$501"),"Yes"),0)))</f>
        <v/>
      </c>
      <c r="AN37" s="30" t="str">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30" t="str">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str">
        <f aca="true">IF(OR($A37="",$I37=""),"",IF($BC37="Y",SUMIFS(survey_frozen!$E$2:$E$251,survey_frozen!$P$2:$P$251,$A37&amp;"|"&amp;$B37),IFERROR(COUNTIFS(INDIRECT("'"&amp;$A37&amp;"'!$B$2:$B$501"),$T37,INDIRECT("'"&amp;$A37&amp;"'!$A$2:$A$501"),"&gt;="&amp;$I37,INDIRECT("'"&amp;$A37&amp;"'!$A$2:$A$501"),"&lt;"&amp;($BA37+1),INDIRECT("'"&amp;$A37&amp;"'!$F$2:$F$501"),"Didn't see it"),0)))</f>
        <v/>
      </c>
      <c r="AR37" s="30" t="str">
        <f aca="true">IF(OR($A37="",$I37=""),"",IF($BC37="Y",SUMIFS(survey_frozen!$F$2:$F$251,survey_frozen!$P$2:$P$251,$A37&amp;"|"&amp;$B37),IFERROR(COUNTIFS(INDIRECT("'"&amp;$A37&amp;"'!$B$2:$B$501"),$T37,INDIRECT("'"&amp;$A37&amp;"'!$A$2:$A$501"),"&gt;="&amp;$I37,INDIRECT("'"&amp;$A37&amp;"'!$A$2:$A$501"),"&lt;"&amp;($BA37+1),INDIRECT("'"&amp;$A37&amp;"'!$F$2:$F$501"),"Not for me"),0)))</f>
        <v/>
      </c>
      <c r="AS37" s="30" t="str">
        <f aca="true">IF(OR($A37="",$I37=""),"",IF($BC37="Y",SUMIFS(survey_frozen!$G$2:$G$251,survey_frozen!$P$2:$P$251,$A37&amp;"|"&amp;$B37),IFERROR(COUNTIFS(INDIRECT("'"&amp;$A37&amp;"'!$B$2:$B$501"),$T37,INDIRECT("'"&amp;$A37&amp;"'!$A$2:$A$501"),"&gt;="&amp;$I37,INDIRECT("'"&amp;$A37&amp;"'!$A$2:$A$501"),"&lt;"&amp;($BA37+1),INDIRECT("'"&amp;$A37&amp;"'!$F$2:$F$501"),"Gone by the time I looked"),0)))</f>
        <v/>
      </c>
      <c r="AT37" s="30" t="str">
        <f aca="true">IF(OR($A37="",$I37=""),"",IF($BC37="Y",SUMIFS(survey_frozen!$H$2:$H$251,survey_frozen!$P$2:$P$251,$A37&amp;"|"&amp;$B37),IFERROR(COUNTIFS(INDIRECT("'"&amp;$A37&amp;"'!$B$2:$B$501"),$T37,INDIRECT("'"&amp;$A37&amp;"'!$A$2:$A$501"),"&gt;="&amp;$I37,INDIRECT("'"&amp;$A37&amp;"'!$A$2:$A$501"),"&lt;"&amp;($BA37+1),INDIRECT("'"&amp;$A37&amp;"'!$D$2:$D$501"),"&gt;=1"),0)))</f>
        <v/>
      </c>
      <c r="AU37" s="30" t="str">
        <f aca="true">IF(OR($A37="",$I37=""),"",IF($BC37="Y",SUMIFS(survey_frozen!$I$2:$I$251,survey_frozen!$P$2:$P$251,$A37&amp;"|"&amp;$B37),IFERROR(SUMIFS(INDIRECT("'"&amp;$A37&amp;"'!$D$2:$D$501"),INDIRECT("'"&amp;$A37&amp;"'!$B$2:$B$501"),$T37,INDIRECT("'"&amp;$A37&amp;"'!$A$2:$A$501"),"&gt;="&amp;$I37,INDIRECT("'"&amp;$A37&amp;"'!$A$2:$A$501"),"&lt;"&amp;($BA37+1)),0)))</f>
        <v/>
      </c>
      <c r="AV37" s="30" t="str">
        <f aca="true">IF(OR($A37="",$I37=""),"",IF($BC37="Y",SUMIFS(survey_frozen!$J$2:$J$251,survey_frozen!$P$2:$P$251,$A37&amp;"|"&amp;$B37),IFERROR(COUNTIFS(INDIRECT("'"&amp;$A37&amp;"'!$B$2:$B$501"),$T37,INDIRECT("'"&amp;$A37&amp;"'!$A$2:$A$501"),"&gt;="&amp;$I37,INDIRECT("'"&amp;$A37&amp;"'!$A$2:$A$501"),"&lt;"&amp;($BA37+1),INDIRECT("'"&amp;$A37&amp;"'!$E$2:$E$501"),"Yes"),0)))</f>
        <v/>
      </c>
      <c r="AW37" s="30" t="str">
        <f aca="true">IF(OR($A37="",$I37=""),"",IF($BC37="Y",SUMIFS(survey_frozen!$K$2:$K$251,survey_frozen!$P$2:$P$251,$A37&amp;"|"&amp;$B37),IFERROR(COUNTIFS(INDIRECT("'"&amp;$A37&amp;"'!$B$2:$B$501"),$T37,INDIRECT("'"&amp;$A37&amp;"'!$A$2:$A$501"),"&gt;="&amp;$I37,INDIRECT("'"&amp;$A37&amp;"'!$A$2:$A$501"),"&lt;"&amp;($BA37+1),INDIRECT("'"&amp;$A37&amp;"'!$E$2:$E$501"),"Maybe"),0)))</f>
        <v/>
      </c>
      <c r="AX37" s="30" t="str">
        <f aca="true">IF(OR($A37="",$I37=""),"",IF($BC37="Y",SUMIFS(survey_frozen!$L$2:$L$251,survey_frozen!$P$2:$P$251,$A37&amp;"|"&amp;$B37),IFERROR(COUNTIFS(INDIRECT("'"&amp;$A37&amp;"'!$B$2:$B$501"),$T37,INDIRECT("'"&amp;$A37&amp;"'!$A$2:$A$501"),"&gt;="&amp;$I37,INDIRECT("'"&amp;$A37&amp;"'!$A$2:$A$501"),"&lt;"&amp;($BA37+1),INDIRECT("'"&amp;$A37&amp;"'!$E$2:$E$501"),"No"),0)))</f>
        <v/>
      </c>
      <c r="AY37" s="30" t="str">
        <f aca="true">IF(OR($A37="",$I37=""),"",IF($BC37="Y",SUMIFS(survey_frozen!$M$2:$M$251,survey_frozen!$P$2:$P$251,$A37&amp;"|"&amp;$B37),IFERROR(COUNTIFS(INDIRECT("'"&amp;$A37&amp;"'!$B$2:$B$501"),$T37,INDIRECT("'"&amp;$A37&amp;"'!$A$2:$A$501"),"&gt;="&amp;$I37,INDIRECT("'"&amp;$A37&amp;"'!$A$2:$A$501"),"&lt;"&amp;($BA37+1),INDIRECT("'"&amp;$A37&amp;"'!$G$2:$G$501"),"&lt;&gt;"),0)))</f>
        <v/>
      </c>
      <c r="AZ37" s="30" t="str">
        <f aca="false">IF($A37="","",$A37&amp;"|"&amp;$L37)</f>
        <v/>
      </c>
      <c r="BA37" s="31" t="str">
        <f aca="false">IF($A37="","",IFERROR(IF(INDEX(drops!$R$2:$R$21,MATCH($H37,drops!$A$2:$A$21,0))="","",INDEX(drops!$R$2:$R$21,MATCH($H37,drops!$A$2:$A$21,0))),""))</f>
        <v/>
      </c>
      <c r="BB37" s="30" t="n">
        <f aca="false">IF(OR($A37="",$Q37&lt;&gt;"Y"),1000000,N($AL37))</f>
        <v>1000000</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C38" s="11"/>
      <c r="D38" s="10"/>
      <c r="E38" s="11"/>
      <c r="H38" s="30" t="str">
        <f aca="false">IF($A38="","",IFERROR(IF(INDEX(campaigns!$B$2:$B$51,MATCH($A38,campaigns!$A$2:$A$51,0))="","",INDEX(campaigns!$B$2:$B$51,MATCH($A38,campaigns!$A$2:$A$51,0))),""))</f>
        <v/>
      </c>
      <c r="I38" s="31" t="str">
        <f aca="false">IF($A38="","",IFERROR(IF(INDEX(campaigns!$BG$2:$BG$51,MATCH($A38,campaigns!$A$2:$A$51,0))="","",INDEX(campaigns!$BG$2:$BG$51,MATCH($A38,campaigns!$A$2:$A$51,0))),""))</f>
        <v/>
      </c>
      <c r="J38" s="30" t="str">
        <f aca="false">IF($A38="","",IFERROR(IF(INDEX(campaigns!$BE$2:$BE$51,MATCH($A38,campaigns!$A$2:$A$51,0))="","",INDEX(campaigns!$BE$2:$BE$51,MATCH($A38,campaigns!$A$2:$A$51,0))),""))</f>
        <v/>
      </c>
      <c r="K38" s="30" t="str">
        <f aca="false">IF($B38="","",IFERROR(IF(INDEX(offices!$O$2:$O$61,MATCH($B38,offices!$A$2:$A$61,0))="","",INDEX(offices!$O$2:$O$61,MATCH($B38,offices!$A$2:$A$61,0))),""))</f>
        <v/>
      </c>
      <c r="L38" s="30" t="str">
        <f aca="false">IF($A38="","",IF($Q38="N","",COUNTIFS($A$2:$A38,$A38,$Q$2:$Q38,"&lt;&gt;N")))</f>
        <v/>
      </c>
      <c r="M38" s="30" t="str">
        <f aca="false">IF(OR($A38="",$L38=""),"",IF(AND(config!$B$34="names_if_public",IFERROR(IF(INDEX(offices!$AG$2:$AG$61,MATCH($B38,offices!$A$2:$A$61,0))="","",INDEX(offices!$AG$2:$AG$61,MATCH($B38,offices!$A$2:$A$61,0))),"")="Y"),$K38,CHAR(64+$L38)))</f>
        <v/>
      </c>
      <c r="N38" s="30" t="str">
        <f aca="false">IF(OR($A38="",$I38=""),"",COUNTIFS(stops!$B$2:$B$151,$B38,stops!$P$2:$P$151,"&lt;"&amp;$I38,stops!$L$2:$L$151,"&lt;&gt;not_delivered")+1)</f>
        <v/>
      </c>
      <c r="O38" s="30" t="str">
        <f aca="false">IF($A38="","",IF(N($N38)&lt;=config!$B$29,"explicit","opt-out"))</f>
        <v/>
      </c>
      <c r="P38" s="30" t="str">
        <f aca="false">IF($A38="","",IF($O38="explicit",IF($D38="yes","Y",IF($D38="no","N","pending")),IF($D38="no","N",IF(AND($C38&lt;&gt;"",$I38&lt;&gt;"",$C38&lt;=WORKDAY(N($I38),-5,calendar!$A$2:$A$80)),"Y","pending"))))</f>
        <v/>
      </c>
      <c r="Q38" s="30" t="str">
        <f aca="false">IF($A38="","",IF($P38="N","N",IF($P38&lt;&gt;"Y","pending",IF(AND((COUNTIFS(stops!$A$2:$A$151,$H38,stops!$B$2:$B$151,$B38,stops!$L$2:$L$151,"declined")+COUNTIFS(stops!$A$2:$A$151,$H38,stops!$B$2:$B$151,$B38,stops!$L$2:$L$151,"building_refused")+COUNTIFS(stops!$A$2:$A$151,$H38,stops!$B$2:$B$151,$B38,stops!$L$2:$L$151,"not_delivered"))&gt;0,N($U38)=0),"N","Y"))))</f>
        <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30" t="str">
        <f aca="false">IF($A38="","",IF($G38&lt;&gt;"",$G38,IFERROR(IF(INDEX(offices!$AM$2:$AM$61,MATCH($B38,offices!$A$2:$A$61,0))="","",INDEX(offices!$AM$2:$AM$61,MATCH($B38,offices!$A$2:$A$61,0))),"")))</f>
        <v/>
      </c>
      <c r="T38" s="30" t="str">
        <f aca="false">IF($A38="","",$A38&amp;"."&amp;$B38)</f>
        <v/>
      </c>
      <c r="U38" s="30" t="str">
        <f aca="false">IF($A38="","",SUMIFS(inventory!$G$2:$G$801,inventory!$C$2:$C$801,$A38,inventory!$D$2:$D$801,$B38,inventory!$E$2:$E$801,"delivered"))</f>
        <v/>
      </c>
      <c r="V38" s="37" t="str">
        <f aca="false">IF($A38="","",IFERROR(1/(1/SUMPRODUCT(MAX((inventory!$C$2:$C$801=$A38)*(inventory!$D$2:$D$801=$B38)*(inventory!$E$2:$E$801="delivered")*(inventory!$A$2:$A$801+inventory!$B$2:$B$801)))),""))</f>
        <v/>
      </c>
      <c r="W38" s="30" t="str">
        <f aca="false">IF($A38="","",IFERROR(IF(INDEX(inventory!$J$2:$J$801,MATCH($A38&amp;"|"&amp;$B38&amp;"|delivered",inventory!$R$2:$R$801,0))="","",INDEX(inventory!$J$2:$J$801,MATCH($A38&amp;"|"&amp;$B38&amp;"|delivered",inventory!$R$2:$R$801,0))),""))</f>
        <v/>
      </c>
      <c r="X38" s="30" t="str">
        <f aca="false">IF($A38="","",IFERROR(IF(INDEX(photos!$H$2:$H$701,MATCH($A38&amp;"|"&amp;$B38&amp;"|placement|Y",photos!$R$2:$R$701,0))="","",INDEX(photos!$H$2:$H$701,MATCH($A38&amp;"|"&amp;$B38&amp;"|placement|Y",photos!$R$2:$R$701,0))),""))</f>
        <v/>
      </c>
      <c r="Y38" s="31" t="str">
        <f aca="false">IF($A38="","",IFERROR(IF(INDEX(photos!$E$2:$E$701,MATCH($A38&amp;"|"&amp;$B38&amp;"|placement|Y",photos!$R$2:$R$701,0))="","",INDEX(photos!$E$2:$E$701,MATCH($A38&amp;"|"&amp;$B38&amp;"|placement|Y",photos!$R$2:$R$701,0))),""))</f>
        <v/>
      </c>
      <c r="Z38" s="30" t="str">
        <f aca="false">IF($A38="","",IF(COUNTIFS(counts!$C$2:$C$701,$A38,counts!$D$2:$D$701,$B38,counts!$E$2:$E$701,"placed")=0,"",SUMIFS(counts!$F$2:$F$701,counts!$C$2:$C$701,$A38,counts!$D$2:$D$701,$B38,counts!$E$2:$E$701,"placed")))</f>
        <v/>
      </c>
      <c r="AA38" s="30" t="str">
        <f aca="false">IF($A38="","",IF($Y38="",0,N($Z38)))</f>
        <v/>
      </c>
      <c r="AB38" s="30" t="str">
        <f aca="false">IF($A38="","",IF(OR($Y38="",$I38=""),"N",IF($Y38&lt;=WORKDAY(N($I38),1,calendar!$A$2:$A$80),"Y","N")))</f>
        <v/>
      </c>
      <c r="AC38" s="33" t="str">
        <f aca="false">IF(OR($A38="",$V38="",$Y38=""),"",ROUND(($Y38+N(IFERROR(IF(INDEX(photos!$F$2:$F$701,MATCH($A38&amp;"|"&amp;$B38&amp;"|placement|Y",photos!$R$2:$R$701,0))="","",INDEX(photos!$F$2:$F$701,MATCH($A38&amp;"|"&amp;$B38&amp;"|placement|Y",photos!$R$2:$R$701,0))),""))-$V38)*24,1))</f>
        <v/>
      </c>
      <c r="AD38" s="30" t="str">
        <f aca="false">IF($A38="","",SUMIFS(inventory!$G$2:$G$801,inventory!$C$2:$C$801,$A38,inventory!$D$2:$D$801,$B38,inventory!$E$2:$E$801,"topped_up"))</f>
        <v/>
      </c>
      <c r="AE38" s="30" t="str">
        <f aca="false">IF($A38="","",IF(COUNTIFS(counts!$C$2:$C$701,$A38,counts!$D$2:$D$701,$B38,counts!$E$2:$E$701,"remaining_day3")=0,"",SUMIFS(counts!$F$2:$F$701,counts!$C$2:$C$701,$A38,counts!$D$2:$D$701,$B38,counts!$E$2:$E$701,"remaining_day3")))</f>
        <v/>
      </c>
      <c r="AF38" s="30" t="str">
        <f aca="false">IF($A38="","",IF(COUNTIFS(counts!$C$2:$C$701,$A38,counts!$D$2:$D$701,$B38,counts!$E$2:$E$701,"remaining_day5")=0,"",SUMIFS(counts!$F$2:$F$701,counts!$C$2:$C$701,$A38,counts!$D$2:$D$701,$B38,counts!$E$2:$E$701,"remaining_day5")))</f>
        <v/>
      </c>
      <c r="AG38" s="30" t="str">
        <f aca="false">IF(OR($A38="",$AF38=""),"",MAX(0,$AA38+$AD38-$AF38))</f>
        <v/>
      </c>
      <c r="AH38" s="30" t="str">
        <f aca="false">IF(OR($A38="",$AI38=""),"",IFERROR(IF(INDEX(photos!$H$2:$H$701,MATCH($A38&amp;"|"&amp;$B38&amp;"|later|Y|"&amp;$AI38,photos!$S$2:$S$701,0))="","",INDEX(photos!$H$2:$H$701,MATCH($A38&amp;"|"&amp;$B38&amp;"|later|Y|"&amp;$AI38,photos!$S$2:$S$701,0))),""))</f>
        <v/>
      </c>
      <c r="AI38" s="31" t="str">
        <f aca="false">IF($A38="","",IFERROR(1/(1/SUMPRODUCT(MAX((photos!$B$2:$B$701=$A38)*(photos!$C$2:$C$701=$B38)*(photos!$D$2:$D$701="later")*(photos!$O$2:$O$701="Y")*photos!$E$2:$E$701))),""))</f>
        <v/>
      </c>
      <c r="AJ38" s="30" t="str">
        <f aca="false">IF(OR($A38="",$AI38="",$I38=""),"",NETWORKDAYS($I38,$AI38,calendar!$A$2:$A$80))</f>
        <v/>
      </c>
      <c r="AK38" s="30" t="str">
        <f aca="false">IF($A38="","",IF(AND($X38&lt;&gt;"",$AH38&lt;&gt;""),"Y","N"))</f>
        <v/>
      </c>
      <c r="AL38" s="30" t="str">
        <f aca="true">IF(OR($A38="",$I38=""),"",IF($BC38="Y",SUMIFS(survey_frozen!$C$2:$C$251,survey_frozen!$P$2:$P$251,$A38&amp;"|"&amp;$B38),IFERROR(COUNTIFS(INDIRECT("'"&amp;$A38&amp;"'!$B$2:$B$501"),$T38,INDIRECT("'"&amp;$A38&amp;"'!$A$2:$A$501"),"&gt;="&amp;$I38,INDIRECT("'"&amp;$A38&amp;"'!$A$2:$A$501"),"&lt;"&amp;($BA38+1)),0)))</f>
        <v/>
      </c>
      <c r="AM38" s="30" t="str">
        <f aca="true">IF(OR($A38="",$I38=""),"",IF($BC38="Y",SUMIFS(survey_frozen!$D$2:$D$251,survey_frozen!$P$2:$P$251,$A38&amp;"|"&amp;$B38),IFERROR(COUNTIFS(INDIRECT("'"&amp;$A38&amp;"'!$B$2:$B$501"),$T38,INDIRECT("'"&amp;$A38&amp;"'!$A$2:$A$501"),"&gt;="&amp;$I38,INDIRECT("'"&amp;$A38&amp;"'!$A$2:$A$501"),"&lt;"&amp;($BA38+1),INDIRECT("'"&amp;$A38&amp;"'!$C$2:$C$501"),"Yes"),0)))</f>
        <v/>
      </c>
      <c r="AN38" s="30" t="str">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30" t="str">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30" t="str">
        <f aca="true">IF(OR($A38="",$I38=""),"",IF($BC38="Y",SUMIFS(survey_frozen!$E$2:$E$251,survey_frozen!$P$2:$P$251,$A38&amp;"|"&amp;$B38),IFERROR(COUNTIFS(INDIRECT("'"&amp;$A38&amp;"'!$B$2:$B$501"),$T38,INDIRECT("'"&amp;$A38&amp;"'!$A$2:$A$501"),"&gt;="&amp;$I38,INDIRECT("'"&amp;$A38&amp;"'!$A$2:$A$501"),"&lt;"&amp;($BA38+1),INDIRECT("'"&amp;$A38&amp;"'!$F$2:$F$501"),"Didn't see it"),0)))</f>
        <v/>
      </c>
      <c r="AR38" s="30" t="str">
        <f aca="true">IF(OR($A38="",$I38=""),"",IF($BC38="Y",SUMIFS(survey_frozen!$F$2:$F$251,survey_frozen!$P$2:$P$251,$A38&amp;"|"&amp;$B38),IFERROR(COUNTIFS(INDIRECT("'"&amp;$A38&amp;"'!$B$2:$B$501"),$T38,INDIRECT("'"&amp;$A38&amp;"'!$A$2:$A$501"),"&gt;="&amp;$I38,INDIRECT("'"&amp;$A38&amp;"'!$A$2:$A$501"),"&lt;"&amp;($BA38+1),INDIRECT("'"&amp;$A38&amp;"'!$F$2:$F$501"),"Not for me"),0)))</f>
        <v/>
      </c>
      <c r="AS38" s="30" t="str">
        <f aca="true">IF(OR($A38="",$I38=""),"",IF($BC38="Y",SUMIFS(survey_frozen!$G$2:$G$251,survey_frozen!$P$2:$P$251,$A38&amp;"|"&amp;$B38),IFERROR(COUNTIFS(INDIRECT("'"&amp;$A38&amp;"'!$B$2:$B$501"),$T38,INDIRECT("'"&amp;$A38&amp;"'!$A$2:$A$501"),"&gt;="&amp;$I38,INDIRECT("'"&amp;$A38&amp;"'!$A$2:$A$501"),"&lt;"&amp;($BA38+1),INDIRECT("'"&amp;$A38&amp;"'!$F$2:$F$501"),"Gone by the time I looked"),0)))</f>
        <v/>
      </c>
      <c r="AT38" s="30" t="str">
        <f aca="true">IF(OR($A38="",$I38=""),"",IF($BC38="Y",SUMIFS(survey_frozen!$H$2:$H$251,survey_frozen!$P$2:$P$251,$A38&amp;"|"&amp;$B38),IFERROR(COUNTIFS(INDIRECT("'"&amp;$A38&amp;"'!$B$2:$B$501"),$T38,INDIRECT("'"&amp;$A38&amp;"'!$A$2:$A$501"),"&gt;="&amp;$I38,INDIRECT("'"&amp;$A38&amp;"'!$A$2:$A$501"),"&lt;"&amp;($BA38+1),INDIRECT("'"&amp;$A38&amp;"'!$D$2:$D$501"),"&gt;=1"),0)))</f>
        <v/>
      </c>
      <c r="AU38" s="30" t="str">
        <f aca="true">IF(OR($A38="",$I38=""),"",IF($BC38="Y",SUMIFS(survey_frozen!$I$2:$I$251,survey_frozen!$P$2:$P$251,$A38&amp;"|"&amp;$B38),IFERROR(SUMIFS(INDIRECT("'"&amp;$A38&amp;"'!$D$2:$D$501"),INDIRECT("'"&amp;$A38&amp;"'!$B$2:$B$501"),$T38,INDIRECT("'"&amp;$A38&amp;"'!$A$2:$A$501"),"&gt;="&amp;$I38,INDIRECT("'"&amp;$A38&amp;"'!$A$2:$A$501"),"&lt;"&amp;($BA38+1)),0)))</f>
        <v/>
      </c>
      <c r="AV38" s="30" t="str">
        <f aca="true">IF(OR($A38="",$I38=""),"",IF($BC38="Y",SUMIFS(survey_frozen!$J$2:$J$251,survey_frozen!$P$2:$P$251,$A38&amp;"|"&amp;$B38),IFERROR(COUNTIFS(INDIRECT("'"&amp;$A38&amp;"'!$B$2:$B$501"),$T38,INDIRECT("'"&amp;$A38&amp;"'!$A$2:$A$501"),"&gt;="&amp;$I38,INDIRECT("'"&amp;$A38&amp;"'!$A$2:$A$501"),"&lt;"&amp;($BA38+1),INDIRECT("'"&amp;$A38&amp;"'!$E$2:$E$501"),"Yes"),0)))</f>
        <v/>
      </c>
      <c r="AW38" s="30" t="str">
        <f aca="true">IF(OR($A38="",$I38=""),"",IF($BC38="Y",SUMIFS(survey_frozen!$K$2:$K$251,survey_frozen!$P$2:$P$251,$A38&amp;"|"&amp;$B38),IFERROR(COUNTIFS(INDIRECT("'"&amp;$A38&amp;"'!$B$2:$B$501"),$T38,INDIRECT("'"&amp;$A38&amp;"'!$A$2:$A$501"),"&gt;="&amp;$I38,INDIRECT("'"&amp;$A38&amp;"'!$A$2:$A$501"),"&lt;"&amp;($BA38+1),INDIRECT("'"&amp;$A38&amp;"'!$E$2:$E$501"),"Maybe"),0)))</f>
        <v/>
      </c>
      <c r="AX38" s="30" t="str">
        <f aca="true">IF(OR($A38="",$I38=""),"",IF($BC38="Y",SUMIFS(survey_frozen!$L$2:$L$251,survey_frozen!$P$2:$P$251,$A38&amp;"|"&amp;$B38),IFERROR(COUNTIFS(INDIRECT("'"&amp;$A38&amp;"'!$B$2:$B$501"),$T38,INDIRECT("'"&amp;$A38&amp;"'!$A$2:$A$501"),"&gt;="&amp;$I38,INDIRECT("'"&amp;$A38&amp;"'!$A$2:$A$501"),"&lt;"&amp;($BA38+1),INDIRECT("'"&amp;$A38&amp;"'!$E$2:$E$501"),"No"),0)))</f>
        <v/>
      </c>
      <c r="AY38" s="30" t="str">
        <f aca="true">IF(OR($A38="",$I38=""),"",IF($BC38="Y",SUMIFS(survey_frozen!$M$2:$M$251,survey_frozen!$P$2:$P$251,$A38&amp;"|"&amp;$B38),IFERROR(COUNTIFS(INDIRECT("'"&amp;$A38&amp;"'!$B$2:$B$501"),$T38,INDIRECT("'"&amp;$A38&amp;"'!$A$2:$A$501"),"&gt;="&amp;$I38,INDIRECT("'"&amp;$A38&amp;"'!$A$2:$A$501"),"&lt;"&amp;($BA38+1),INDIRECT("'"&amp;$A38&amp;"'!$G$2:$G$501"),"&lt;&gt;"),0)))</f>
        <v/>
      </c>
      <c r="AZ38" s="30" t="str">
        <f aca="false">IF($A38="","",$A38&amp;"|"&amp;$L38)</f>
        <v/>
      </c>
      <c r="BA38" s="31" t="str">
        <f aca="false">IF($A38="","",IFERROR(IF(INDEX(drops!$R$2:$R$21,MATCH($H38,drops!$A$2:$A$21,0))="","",INDEX(drops!$R$2:$R$21,MATCH($H38,drops!$A$2:$A$21,0))),""))</f>
        <v/>
      </c>
      <c r="BB38" s="30" t="n">
        <f aca="false">IF(OR($A38="",$Q38&lt;&gt;"Y"),1000000,N($AL38))</f>
        <v>1000000</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C39" s="11"/>
      <c r="D39" s="10"/>
      <c r="E39" s="11"/>
      <c r="H39" s="30" t="str">
        <f aca="false">IF($A39="","",IFERROR(IF(INDEX(campaigns!$B$2:$B$51,MATCH($A39,campaigns!$A$2:$A$51,0))="","",INDEX(campaigns!$B$2:$B$51,MATCH($A39,campaigns!$A$2:$A$51,0))),""))</f>
        <v/>
      </c>
      <c r="I39" s="31" t="str">
        <f aca="false">IF($A39="","",IFERROR(IF(INDEX(campaigns!$BG$2:$BG$51,MATCH($A39,campaigns!$A$2:$A$51,0))="","",INDEX(campaigns!$BG$2:$BG$51,MATCH($A39,campaigns!$A$2:$A$51,0))),""))</f>
        <v/>
      </c>
      <c r="J39" s="30" t="str">
        <f aca="false">IF($A39="","",IFERROR(IF(INDEX(campaigns!$BE$2:$BE$51,MATCH($A39,campaigns!$A$2:$A$51,0))="","",INDEX(campaigns!$BE$2:$BE$51,MATCH($A39,campaigns!$A$2:$A$51,0))),""))</f>
        <v/>
      </c>
      <c r="K39" s="30" t="str">
        <f aca="false">IF($B39="","",IFERROR(IF(INDEX(offices!$O$2:$O$61,MATCH($B39,offices!$A$2:$A$61,0))="","",INDEX(offices!$O$2:$O$61,MATCH($B39,offices!$A$2:$A$61,0))),""))</f>
        <v/>
      </c>
      <c r="L39" s="30" t="str">
        <f aca="false">IF($A39="","",IF($Q39="N","",COUNTIFS($A$2:$A39,$A39,$Q$2:$Q39,"&lt;&gt;N")))</f>
        <v/>
      </c>
      <c r="M39" s="30" t="str">
        <f aca="false">IF(OR($A39="",$L39=""),"",IF(AND(config!$B$34="names_if_public",IFERROR(IF(INDEX(offices!$AG$2:$AG$61,MATCH($B39,offices!$A$2:$A$61,0))="","",INDEX(offices!$AG$2:$AG$61,MATCH($B39,offices!$A$2:$A$61,0))),"")="Y"),$K39,CHAR(64+$L39)))</f>
        <v/>
      </c>
      <c r="N39" s="30" t="str">
        <f aca="false">IF(OR($A39="",$I39=""),"",COUNTIFS(stops!$B$2:$B$151,$B39,stops!$P$2:$P$151,"&lt;"&amp;$I39,stops!$L$2:$L$151,"&lt;&gt;not_delivered")+1)</f>
        <v/>
      </c>
      <c r="O39" s="30" t="str">
        <f aca="false">IF($A39="","",IF(N($N39)&lt;=config!$B$29,"explicit","opt-out"))</f>
        <v/>
      </c>
      <c r="P39" s="30" t="str">
        <f aca="false">IF($A39="","",IF($O39="explicit",IF($D39="yes","Y",IF($D39="no","N","pending")),IF($D39="no","N",IF(AND($C39&lt;&gt;"",$I39&lt;&gt;"",$C39&lt;=WORKDAY(N($I39),-5,calendar!$A$2:$A$80)),"Y","pending"))))</f>
        <v/>
      </c>
      <c r="Q39" s="30" t="str">
        <f aca="false">IF($A39="","",IF($P39="N","N",IF($P39&lt;&gt;"Y","pending",IF(AND((COUNTIFS(stops!$A$2:$A$151,$H39,stops!$B$2:$B$151,$B39,stops!$L$2:$L$151,"declined")+COUNTIFS(stops!$A$2:$A$151,$H39,stops!$B$2:$B$151,$B39,stops!$L$2:$L$151,"building_refused")+COUNTIFS(stops!$A$2:$A$151,$H39,stops!$B$2:$B$151,$B39,stops!$L$2:$L$151,"not_delivered"))&gt;0,N($U39)=0),"N","Y"))))</f>
        <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str">
        <f aca="false">IF($A39="","",IF($G39&lt;&gt;"",$G39,IFERROR(IF(INDEX(offices!$AM$2:$AM$61,MATCH($B39,offices!$A$2:$A$61,0))="","",INDEX(offices!$AM$2:$AM$61,MATCH($B39,offices!$A$2:$A$61,0))),"")))</f>
        <v/>
      </c>
      <c r="T39" s="30" t="str">
        <f aca="false">IF($A39="","",$A39&amp;"."&amp;$B39)</f>
        <v/>
      </c>
      <c r="U39" s="30" t="str">
        <f aca="false">IF($A39="","",SUMIFS(inventory!$G$2:$G$801,inventory!$C$2:$C$801,$A39,inventory!$D$2:$D$801,$B39,inventory!$E$2:$E$801,"delivered"))</f>
        <v/>
      </c>
      <c r="V39" s="37" t="str">
        <f aca="false">IF($A39="","",IFERROR(1/(1/SUMPRODUCT(MAX((inventory!$C$2:$C$801=$A39)*(inventory!$D$2:$D$801=$B39)*(inventory!$E$2:$E$801="delivered")*(inventory!$A$2:$A$801+inventory!$B$2:$B$801)))),""))</f>
        <v/>
      </c>
      <c r="W39" s="30" t="str">
        <f aca="false">IF($A39="","",IFERROR(IF(INDEX(inventory!$J$2:$J$801,MATCH($A39&amp;"|"&amp;$B39&amp;"|delivered",inventory!$R$2:$R$801,0))="","",INDEX(inventory!$J$2:$J$801,MATCH($A39&amp;"|"&amp;$B39&amp;"|delivered",inventory!$R$2:$R$801,0))),""))</f>
        <v/>
      </c>
      <c r="X39" s="30" t="str">
        <f aca="false">IF($A39="","",IFERROR(IF(INDEX(photos!$H$2:$H$701,MATCH($A39&amp;"|"&amp;$B39&amp;"|placement|Y",photos!$R$2:$R$701,0))="","",INDEX(photos!$H$2:$H$701,MATCH($A39&amp;"|"&amp;$B39&amp;"|placement|Y",photos!$R$2:$R$701,0))),""))</f>
        <v/>
      </c>
      <c r="Y39" s="31" t="str">
        <f aca="false">IF($A39="","",IFERROR(IF(INDEX(photos!$E$2:$E$701,MATCH($A39&amp;"|"&amp;$B39&amp;"|placement|Y",photos!$R$2:$R$701,0))="","",INDEX(photos!$E$2:$E$701,MATCH($A39&amp;"|"&amp;$B39&amp;"|placement|Y",photos!$R$2:$R$701,0))),""))</f>
        <v/>
      </c>
      <c r="Z39" s="30" t="str">
        <f aca="false">IF($A39="","",IF(COUNTIFS(counts!$C$2:$C$701,$A39,counts!$D$2:$D$701,$B39,counts!$E$2:$E$701,"placed")=0,"",SUMIFS(counts!$F$2:$F$701,counts!$C$2:$C$701,$A39,counts!$D$2:$D$701,$B39,counts!$E$2:$E$701,"placed")))</f>
        <v/>
      </c>
      <c r="AA39" s="30" t="str">
        <f aca="false">IF($A39="","",IF($Y39="",0,N($Z39)))</f>
        <v/>
      </c>
      <c r="AB39" s="30" t="str">
        <f aca="false">IF($A39="","",IF(OR($Y39="",$I39=""),"N",IF($Y39&lt;=WORKDAY(N($I39),1,calendar!$A$2:$A$80),"Y","N")))</f>
        <v/>
      </c>
      <c r="AC39" s="33" t="str">
        <f aca="false">IF(OR($A39="",$V39="",$Y39=""),"",ROUND(($Y39+N(IFERROR(IF(INDEX(photos!$F$2:$F$701,MATCH($A39&amp;"|"&amp;$B39&amp;"|placement|Y",photos!$R$2:$R$701,0))="","",INDEX(photos!$F$2:$F$701,MATCH($A39&amp;"|"&amp;$B39&amp;"|placement|Y",photos!$R$2:$R$701,0))),""))-$V39)*24,1))</f>
        <v/>
      </c>
      <c r="AD39" s="30" t="str">
        <f aca="false">IF($A39="","",SUMIFS(inventory!$G$2:$G$801,inventory!$C$2:$C$801,$A39,inventory!$D$2:$D$801,$B39,inventory!$E$2:$E$801,"topped_up"))</f>
        <v/>
      </c>
      <c r="AE39" s="30" t="str">
        <f aca="false">IF($A39="","",IF(COUNTIFS(counts!$C$2:$C$701,$A39,counts!$D$2:$D$701,$B39,counts!$E$2:$E$701,"remaining_day3")=0,"",SUMIFS(counts!$F$2:$F$701,counts!$C$2:$C$701,$A39,counts!$D$2:$D$701,$B39,counts!$E$2:$E$701,"remaining_day3")))</f>
        <v/>
      </c>
      <c r="AF39" s="30" t="str">
        <f aca="false">IF($A39="","",IF(COUNTIFS(counts!$C$2:$C$701,$A39,counts!$D$2:$D$701,$B39,counts!$E$2:$E$701,"remaining_day5")=0,"",SUMIFS(counts!$F$2:$F$701,counts!$C$2:$C$701,$A39,counts!$D$2:$D$701,$B39,counts!$E$2:$E$701,"remaining_day5")))</f>
        <v/>
      </c>
      <c r="AG39" s="30" t="str">
        <f aca="false">IF(OR($A39="",$AF39=""),"",MAX(0,$AA39+$AD39-$AF39))</f>
        <v/>
      </c>
      <c r="AH39" s="30" t="str">
        <f aca="false">IF(OR($A39="",$AI39=""),"",IFERROR(IF(INDEX(photos!$H$2:$H$701,MATCH($A39&amp;"|"&amp;$B39&amp;"|later|Y|"&amp;$AI39,photos!$S$2:$S$701,0))="","",INDEX(photos!$H$2:$H$701,MATCH($A39&amp;"|"&amp;$B39&amp;"|later|Y|"&amp;$AI39,photos!$S$2:$S$701,0))),""))</f>
        <v/>
      </c>
      <c r="AI39" s="31" t="str">
        <f aca="false">IF($A39="","",IFERROR(1/(1/SUMPRODUCT(MAX((photos!$B$2:$B$701=$A39)*(photos!$C$2:$C$701=$B39)*(photos!$D$2:$D$701="later")*(photos!$O$2:$O$701="Y")*photos!$E$2:$E$701))),""))</f>
        <v/>
      </c>
      <c r="AJ39" s="30" t="str">
        <f aca="false">IF(OR($A39="",$AI39="",$I39=""),"",NETWORKDAYS($I39,$AI39,calendar!$A$2:$A$80))</f>
        <v/>
      </c>
      <c r="AK39" s="30" t="str">
        <f aca="false">IF($A39="","",IF(AND($X39&lt;&gt;"",$AH39&lt;&gt;""),"Y","N"))</f>
        <v/>
      </c>
      <c r="AL39" s="30" t="str">
        <f aca="true">IF(OR($A39="",$I39=""),"",IF($BC39="Y",SUMIFS(survey_frozen!$C$2:$C$251,survey_frozen!$P$2:$P$251,$A39&amp;"|"&amp;$B39),IFERROR(COUNTIFS(INDIRECT("'"&amp;$A39&amp;"'!$B$2:$B$501"),$T39,INDIRECT("'"&amp;$A39&amp;"'!$A$2:$A$501"),"&gt;="&amp;$I39,INDIRECT("'"&amp;$A39&amp;"'!$A$2:$A$501"),"&lt;"&amp;($BA39+1)),0)))</f>
        <v/>
      </c>
      <c r="AM39" s="30" t="str">
        <f aca="true">IF(OR($A39="",$I39=""),"",IF($BC39="Y",SUMIFS(survey_frozen!$D$2:$D$251,survey_frozen!$P$2:$P$251,$A39&amp;"|"&amp;$B39),IFERROR(COUNTIFS(INDIRECT("'"&amp;$A39&amp;"'!$B$2:$B$501"),$T39,INDIRECT("'"&amp;$A39&amp;"'!$A$2:$A$501"),"&gt;="&amp;$I39,INDIRECT("'"&amp;$A39&amp;"'!$A$2:$A$501"),"&lt;"&amp;($BA39+1),INDIRECT("'"&amp;$A39&amp;"'!$C$2:$C$501"),"Yes"),0)))</f>
        <v/>
      </c>
      <c r="AN39" s="30" t="str">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30" t="str">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str">
        <f aca="true">IF(OR($A39="",$I39=""),"",IF($BC39="Y",SUMIFS(survey_frozen!$E$2:$E$251,survey_frozen!$P$2:$P$251,$A39&amp;"|"&amp;$B39),IFERROR(COUNTIFS(INDIRECT("'"&amp;$A39&amp;"'!$B$2:$B$501"),$T39,INDIRECT("'"&amp;$A39&amp;"'!$A$2:$A$501"),"&gt;="&amp;$I39,INDIRECT("'"&amp;$A39&amp;"'!$A$2:$A$501"),"&lt;"&amp;($BA39+1),INDIRECT("'"&amp;$A39&amp;"'!$F$2:$F$501"),"Didn't see it"),0)))</f>
        <v/>
      </c>
      <c r="AR39" s="30" t="str">
        <f aca="true">IF(OR($A39="",$I39=""),"",IF($BC39="Y",SUMIFS(survey_frozen!$F$2:$F$251,survey_frozen!$P$2:$P$251,$A39&amp;"|"&amp;$B39),IFERROR(COUNTIFS(INDIRECT("'"&amp;$A39&amp;"'!$B$2:$B$501"),$T39,INDIRECT("'"&amp;$A39&amp;"'!$A$2:$A$501"),"&gt;="&amp;$I39,INDIRECT("'"&amp;$A39&amp;"'!$A$2:$A$501"),"&lt;"&amp;($BA39+1),INDIRECT("'"&amp;$A39&amp;"'!$F$2:$F$501"),"Not for me"),0)))</f>
        <v/>
      </c>
      <c r="AS39" s="30" t="str">
        <f aca="true">IF(OR($A39="",$I39=""),"",IF($BC39="Y",SUMIFS(survey_frozen!$G$2:$G$251,survey_frozen!$P$2:$P$251,$A39&amp;"|"&amp;$B39),IFERROR(COUNTIFS(INDIRECT("'"&amp;$A39&amp;"'!$B$2:$B$501"),$T39,INDIRECT("'"&amp;$A39&amp;"'!$A$2:$A$501"),"&gt;="&amp;$I39,INDIRECT("'"&amp;$A39&amp;"'!$A$2:$A$501"),"&lt;"&amp;($BA39+1),INDIRECT("'"&amp;$A39&amp;"'!$F$2:$F$501"),"Gone by the time I looked"),0)))</f>
        <v/>
      </c>
      <c r="AT39" s="30" t="str">
        <f aca="true">IF(OR($A39="",$I39=""),"",IF($BC39="Y",SUMIFS(survey_frozen!$H$2:$H$251,survey_frozen!$P$2:$P$251,$A39&amp;"|"&amp;$B39),IFERROR(COUNTIFS(INDIRECT("'"&amp;$A39&amp;"'!$B$2:$B$501"),$T39,INDIRECT("'"&amp;$A39&amp;"'!$A$2:$A$501"),"&gt;="&amp;$I39,INDIRECT("'"&amp;$A39&amp;"'!$A$2:$A$501"),"&lt;"&amp;($BA39+1),INDIRECT("'"&amp;$A39&amp;"'!$D$2:$D$501"),"&gt;=1"),0)))</f>
        <v/>
      </c>
      <c r="AU39" s="30" t="str">
        <f aca="true">IF(OR($A39="",$I39=""),"",IF($BC39="Y",SUMIFS(survey_frozen!$I$2:$I$251,survey_frozen!$P$2:$P$251,$A39&amp;"|"&amp;$B39),IFERROR(SUMIFS(INDIRECT("'"&amp;$A39&amp;"'!$D$2:$D$501"),INDIRECT("'"&amp;$A39&amp;"'!$B$2:$B$501"),$T39,INDIRECT("'"&amp;$A39&amp;"'!$A$2:$A$501"),"&gt;="&amp;$I39,INDIRECT("'"&amp;$A39&amp;"'!$A$2:$A$501"),"&lt;"&amp;($BA39+1)),0)))</f>
        <v/>
      </c>
      <c r="AV39" s="30" t="str">
        <f aca="true">IF(OR($A39="",$I39=""),"",IF($BC39="Y",SUMIFS(survey_frozen!$J$2:$J$251,survey_frozen!$P$2:$P$251,$A39&amp;"|"&amp;$B39),IFERROR(COUNTIFS(INDIRECT("'"&amp;$A39&amp;"'!$B$2:$B$501"),$T39,INDIRECT("'"&amp;$A39&amp;"'!$A$2:$A$501"),"&gt;="&amp;$I39,INDIRECT("'"&amp;$A39&amp;"'!$A$2:$A$501"),"&lt;"&amp;($BA39+1),INDIRECT("'"&amp;$A39&amp;"'!$E$2:$E$501"),"Yes"),0)))</f>
        <v/>
      </c>
      <c r="AW39" s="30" t="str">
        <f aca="true">IF(OR($A39="",$I39=""),"",IF($BC39="Y",SUMIFS(survey_frozen!$K$2:$K$251,survey_frozen!$P$2:$P$251,$A39&amp;"|"&amp;$B39),IFERROR(COUNTIFS(INDIRECT("'"&amp;$A39&amp;"'!$B$2:$B$501"),$T39,INDIRECT("'"&amp;$A39&amp;"'!$A$2:$A$501"),"&gt;="&amp;$I39,INDIRECT("'"&amp;$A39&amp;"'!$A$2:$A$501"),"&lt;"&amp;($BA39+1),INDIRECT("'"&amp;$A39&amp;"'!$E$2:$E$501"),"Maybe"),0)))</f>
        <v/>
      </c>
      <c r="AX39" s="30" t="str">
        <f aca="true">IF(OR($A39="",$I39=""),"",IF($BC39="Y",SUMIFS(survey_frozen!$L$2:$L$251,survey_frozen!$P$2:$P$251,$A39&amp;"|"&amp;$B39),IFERROR(COUNTIFS(INDIRECT("'"&amp;$A39&amp;"'!$B$2:$B$501"),$T39,INDIRECT("'"&amp;$A39&amp;"'!$A$2:$A$501"),"&gt;="&amp;$I39,INDIRECT("'"&amp;$A39&amp;"'!$A$2:$A$501"),"&lt;"&amp;($BA39+1),INDIRECT("'"&amp;$A39&amp;"'!$E$2:$E$501"),"No"),0)))</f>
        <v/>
      </c>
      <c r="AY39" s="30" t="str">
        <f aca="true">IF(OR($A39="",$I39=""),"",IF($BC39="Y",SUMIFS(survey_frozen!$M$2:$M$251,survey_frozen!$P$2:$P$251,$A39&amp;"|"&amp;$B39),IFERROR(COUNTIFS(INDIRECT("'"&amp;$A39&amp;"'!$B$2:$B$501"),$T39,INDIRECT("'"&amp;$A39&amp;"'!$A$2:$A$501"),"&gt;="&amp;$I39,INDIRECT("'"&amp;$A39&amp;"'!$A$2:$A$501"),"&lt;"&amp;($BA39+1),INDIRECT("'"&amp;$A39&amp;"'!$G$2:$G$501"),"&lt;&gt;"),0)))</f>
        <v/>
      </c>
      <c r="AZ39" s="30" t="str">
        <f aca="false">IF($A39="","",$A39&amp;"|"&amp;$L39)</f>
        <v/>
      </c>
      <c r="BA39" s="31" t="str">
        <f aca="false">IF($A39="","",IFERROR(IF(INDEX(drops!$R$2:$R$21,MATCH($H39,drops!$A$2:$A$21,0))="","",INDEX(drops!$R$2:$R$21,MATCH($H39,drops!$A$2:$A$21,0))),""))</f>
        <v/>
      </c>
      <c r="BB39" s="30" t="n">
        <f aca="false">IF(OR($A39="",$Q39&lt;&gt;"Y"),1000000,N($AL39))</f>
        <v>1000000</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C40" s="11"/>
      <c r="D40" s="10"/>
      <c r="E40" s="11"/>
      <c r="H40" s="30" t="str">
        <f aca="false">IF($A40="","",IFERROR(IF(INDEX(campaigns!$B$2:$B$51,MATCH($A40,campaigns!$A$2:$A$51,0))="","",INDEX(campaigns!$B$2:$B$51,MATCH($A40,campaigns!$A$2:$A$51,0))),""))</f>
        <v/>
      </c>
      <c r="I40" s="31" t="str">
        <f aca="false">IF($A40="","",IFERROR(IF(INDEX(campaigns!$BG$2:$BG$51,MATCH($A40,campaigns!$A$2:$A$51,0))="","",INDEX(campaigns!$BG$2:$BG$51,MATCH($A40,campaigns!$A$2:$A$51,0))),""))</f>
        <v/>
      </c>
      <c r="J40" s="30" t="str">
        <f aca="false">IF($A40="","",IFERROR(IF(INDEX(campaigns!$BE$2:$BE$51,MATCH($A40,campaigns!$A$2:$A$51,0))="","",INDEX(campaigns!$BE$2:$BE$51,MATCH($A40,campaigns!$A$2:$A$51,0))),""))</f>
        <v/>
      </c>
      <c r="K40" s="30" t="str">
        <f aca="false">IF($B40="","",IFERROR(IF(INDEX(offices!$O$2:$O$61,MATCH($B40,offices!$A$2:$A$61,0))="","",INDEX(offices!$O$2:$O$61,MATCH($B40,offices!$A$2:$A$61,0))),""))</f>
        <v/>
      </c>
      <c r="L40" s="30" t="str">
        <f aca="false">IF($A40="","",IF($Q40="N","",COUNTIFS($A$2:$A40,$A40,$Q$2:$Q40,"&lt;&gt;N")))</f>
        <v/>
      </c>
      <c r="M40" s="30" t="str">
        <f aca="false">IF(OR($A40="",$L40=""),"",IF(AND(config!$B$34="names_if_public",IFERROR(IF(INDEX(offices!$AG$2:$AG$61,MATCH($B40,offices!$A$2:$A$61,0))="","",INDEX(offices!$AG$2:$AG$61,MATCH($B40,offices!$A$2:$A$61,0))),"")="Y"),$K40,CHAR(64+$L40)))</f>
        <v/>
      </c>
      <c r="N40" s="30" t="str">
        <f aca="false">IF(OR($A40="",$I40=""),"",COUNTIFS(stops!$B$2:$B$151,$B40,stops!$P$2:$P$151,"&lt;"&amp;$I40,stops!$L$2:$L$151,"&lt;&gt;not_delivered")+1)</f>
        <v/>
      </c>
      <c r="O40" s="30" t="str">
        <f aca="false">IF($A40="","",IF(N($N40)&lt;=config!$B$29,"explicit","opt-out"))</f>
        <v/>
      </c>
      <c r="P40" s="30" t="str">
        <f aca="false">IF($A40="","",IF($O40="explicit",IF($D40="yes","Y",IF($D40="no","N","pending")),IF($D40="no","N",IF(AND($C40&lt;&gt;"",$I40&lt;&gt;"",$C40&lt;=WORKDAY(N($I40),-5,calendar!$A$2:$A$80)),"Y","pending"))))</f>
        <v/>
      </c>
      <c r="Q40" s="30" t="str">
        <f aca="false">IF($A40="","",IF($P40="N","N",IF($P40&lt;&gt;"Y","pending",IF(AND((COUNTIFS(stops!$A$2:$A$151,$H40,stops!$B$2:$B$151,$B40,stops!$L$2:$L$151,"declined")+COUNTIFS(stops!$A$2:$A$151,$H40,stops!$B$2:$B$151,$B40,stops!$L$2:$L$151,"building_refused")+COUNTIFS(stops!$A$2:$A$151,$H40,stops!$B$2:$B$151,$B40,stops!$L$2:$L$151,"not_delivered"))&gt;0,N($U40)=0),"N","Y"))))</f>
        <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str">
        <f aca="false">IF($A40="","",IF($G40&lt;&gt;"",$G40,IFERROR(IF(INDEX(offices!$AM$2:$AM$61,MATCH($B40,offices!$A$2:$A$61,0))="","",INDEX(offices!$AM$2:$AM$61,MATCH($B40,offices!$A$2:$A$61,0))),"")))</f>
        <v/>
      </c>
      <c r="T40" s="30" t="str">
        <f aca="false">IF($A40="","",$A40&amp;"."&amp;$B40)</f>
        <v/>
      </c>
      <c r="U40" s="30" t="str">
        <f aca="false">IF($A40="","",SUMIFS(inventory!$G$2:$G$801,inventory!$C$2:$C$801,$A40,inventory!$D$2:$D$801,$B40,inventory!$E$2:$E$801,"delivered"))</f>
        <v/>
      </c>
      <c r="V40" s="37" t="str">
        <f aca="false">IF($A40="","",IFERROR(1/(1/SUMPRODUCT(MAX((inventory!$C$2:$C$801=$A40)*(inventory!$D$2:$D$801=$B40)*(inventory!$E$2:$E$801="delivered")*(inventory!$A$2:$A$801+inventory!$B$2:$B$801)))),""))</f>
        <v/>
      </c>
      <c r="W40" s="30" t="str">
        <f aca="false">IF($A40="","",IFERROR(IF(INDEX(inventory!$J$2:$J$801,MATCH($A40&amp;"|"&amp;$B40&amp;"|delivered",inventory!$R$2:$R$801,0))="","",INDEX(inventory!$J$2:$J$801,MATCH($A40&amp;"|"&amp;$B40&amp;"|delivered",inventory!$R$2:$R$801,0))),""))</f>
        <v/>
      </c>
      <c r="X40" s="30" t="str">
        <f aca="false">IF($A40="","",IFERROR(IF(INDEX(photos!$H$2:$H$701,MATCH($A40&amp;"|"&amp;$B40&amp;"|placement|Y",photos!$R$2:$R$701,0))="","",INDEX(photos!$H$2:$H$701,MATCH($A40&amp;"|"&amp;$B40&amp;"|placement|Y",photos!$R$2:$R$701,0))),""))</f>
        <v/>
      </c>
      <c r="Y40" s="31" t="str">
        <f aca="false">IF($A40="","",IFERROR(IF(INDEX(photos!$E$2:$E$701,MATCH($A40&amp;"|"&amp;$B40&amp;"|placement|Y",photos!$R$2:$R$701,0))="","",INDEX(photos!$E$2:$E$701,MATCH($A40&amp;"|"&amp;$B40&amp;"|placement|Y",photos!$R$2:$R$701,0))),""))</f>
        <v/>
      </c>
      <c r="Z40" s="30" t="str">
        <f aca="false">IF($A40="","",IF(COUNTIFS(counts!$C$2:$C$701,$A40,counts!$D$2:$D$701,$B40,counts!$E$2:$E$701,"placed")=0,"",SUMIFS(counts!$F$2:$F$701,counts!$C$2:$C$701,$A40,counts!$D$2:$D$701,$B40,counts!$E$2:$E$701,"placed")))</f>
        <v/>
      </c>
      <c r="AA40" s="30" t="str">
        <f aca="false">IF($A40="","",IF($Y40="",0,N($Z40)))</f>
        <v/>
      </c>
      <c r="AB40" s="30" t="str">
        <f aca="false">IF($A40="","",IF(OR($Y40="",$I40=""),"N",IF($Y40&lt;=WORKDAY(N($I40),1,calendar!$A$2:$A$80),"Y","N")))</f>
        <v/>
      </c>
      <c r="AC40" s="33" t="str">
        <f aca="false">IF(OR($A40="",$V40="",$Y40=""),"",ROUND(($Y40+N(IFERROR(IF(INDEX(photos!$F$2:$F$701,MATCH($A40&amp;"|"&amp;$B40&amp;"|placement|Y",photos!$R$2:$R$701,0))="","",INDEX(photos!$F$2:$F$701,MATCH($A40&amp;"|"&amp;$B40&amp;"|placement|Y",photos!$R$2:$R$701,0))),""))-$V40)*24,1))</f>
        <v/>
      </c>
      <c r="AD40" s="30" t="str">
        <f aca="false">IF($A40="","",SUMIFS(inventory!$G$2:$G$801,inventory!$C$2:$C$801,$A40,inventory!$D$2:$D$801,$B40,inventory!$E$2:$E$801,"topped_up"))</f>
        <v/>
      </c>
      <c r="AE40" s="30" t="str">
        <f aca="false">IF($A40="","",IF(COUNTIFS(counts!$C$2:$C$701,$A40,counts!$D$2:$D$701,$B40,counts!$E$2:$E$701,"remaining_day3")=0,"",SUMIFS(counts!$F$2:$F$701,counts!$C$2:$C$701,$A40,counts!$D$2:$D$701,$B40,counts!$E$2:$E$701,"remaining_day3")))</f>
        <v/>
      </c>
      <c r="AF40" s="30" t="str">
        <f aca="false">IF($A40="","",IF(COUNTIFS(counts!$C$2:$C$701,$A40,counts!$D$2:$D$701,$B40,counts!$E$2:$E$701,"remaining_day5")=0,"",SUMIFS(counts!$F$2:$F$701,counts!$C$2:$C$701,$A40,counts!$D$2:$D$701,$B40,counts!$E$2:$E$701,"remaining_day5")))</f>
        <v/>
      </c>
      <c r="AG40" s="30" t="str">
        <f aca="false">IF(OR($A40="",$AF40=""),"",MAX(0,$AA40+$AD40-$AF40))</f>
        <v/>
      </c>
      <c r="AH40" s="30" t="str">
        <f aca="false">IF(OR($A40="",$AI40=""),"",IFERROR(IF(INDEX(photos!$H$2:$H$701,MATCH($A40&amp;"|"&amp;$B40&amp;"|later|Y|"&amp;$AI40,photos!$S$2:$S$701,0))="","",INDEX(photos!$H$2:$H$701,MATCH($A40&amp;"|"&amp;$B40&amp;"|later|Y|"&amp;$AI40,photos!$S$2:$S$701,0))),""))</f>
        <v/>
      </c>
      <c r="AI40" s="31" t="str">
        <f aca="false">IF($A40="","",IFERROR(1/(1/SUMPRODUCT(MAX((photos!$B$2:$B$701=$A40)*(photos!$C$2:$C$701=$B40)*(photos!$D$2:$D$701="later")*(photos!$O$2:$O$701="Y")*photos!$E$2:$E$701))),""))</f>
        <v/>
      </c>
      <c r="AJ40" s="30" t="str">
        <f aca="false">IF(OR($A40="",$AI40="",$I40=""),"",NETWORKDAYS($I40,$AI40,calendar!$A$2:$A$80))</f>
        <v/>
      </c>
      <c r="AK40" s="30" t="str">
        <f aca="false">IF($A40="","",IF(AND($X40&lt;&gt;"",$AH40&lt;&gt;""),"Y","N"))</f>
        <v/>
      </c>
      <c r="AL40" s="30" t="str">
        <f aca="true">IF(OR($A40="",$I40=""),"",IF($BC40="Y",SUMIFS(survey_frozen!$C$2:$C$251,survey_frozen!$P$2:$P$251,$A40&amp;"|"&amp;$B40),IFERROR(COUNTIFS(INDIRECT("'"&amp;$A40&amp;"'!$B$2:$B$501"),$T40,INDIRECT("'"&amp;$A40&amp;"'!$A$2:$A$501"),"&gt;="&amp;$I40,INDIRECT("'"&amp;$A40&amp;"'!$A$2:$A$501"),"&lt;"&amp;($BA40+1)),0)))</f>
        <v/>
      </c>
      <c r="AM40" s="30" t="str">
        <f aca="true">IF(OR($A40="",$I40=""),"",IF($BC40="Y",SUMIFS(survey_frozen!$D$2:$D$251,survey_frozen!$P$2:$P$251,$A40&amp;"|"&amp;$B40),IFERROR(COUNTIFS(INDIRECT("'"&amp;$A40&amp;"'!$B$2:$B$501"),$T40,INDIRECT("'"&amp;$A40&amp;"'!$A$2:$A$501"),"&gt;="&amp;$I40,INDIRECT("'"&amp;$A40&amp;"'!$A$2:$A$501"),"&lt;"&amp;($BA40+1),INDIRECT("'"&amp;$A40&amp;"'!$C$2:$C$501"),"Yes"),0)))</f>
        <v/>
      </c>
      <c r="AN40" s="30" t="str">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30" t="str">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str">
        <f aca="true">IF(OR($A40="",$I40=""),"",IF($BC40="Y",SUMIFS(survey_frozen!$E$2:$E$251,survey_frozen!$P$2:$P$251,$A40&amp;"|"&amp;$B40),IFERROR(COUNTIFS(INDIRECT("'"&amp;$A40&amp;"'!$B$2:$B$501"),$T40,INDIRECT("'"&amp;$A40&amp;"'!$A$2:$A$501"),"&gt;="&amp;$I40,INDIRECT("'"&amp;$A40&amp;"'!$A$2:$A$501"),"&lt;"&amp;($BA40+1),INDIRECT("'"&amp;$A40&amp;"'!$F$2:$F$501"),"Didn't see it"),0)))</f>
        <v/>
      </c>
      <c r="AR40" s="30" t="str">
        <f aca="true">IF(OR($A40="",$I40=""),"",IF($BC40="Y",SUMIFS(survey_frozen!$F$2:$F$251,survey_frozen!$P$2:$P$251,$A40&amp;"|"&amp;$B40),IFERROR(COUNTIFS(INDIRECT("'"&amp;$A40&amp;"'!$B$2:$B$501"),$T40,INDIRECT("'"&amp;$A40&amp;"'!$A$2:$A$501"),"&gt;="&amp;$I40,INDIRECT("'"&amp;$A40&amp;"'!$A$2:$A$501"),"&lt;"&amp;($BA40+1),INDIRECT("'"&amp;$A40&amp;"'!$F$2:$F$501"),"Not for me"),0)))</f>
        <v/>
      </c>
      <c r="AS40" s="30" t="str">
        <f aca="true">IF(OR($A40="",$I40=""),"",IF($BC40="Y",SUMIFS(survey_frozen!$G$2:$G$251,survey_frozen!$P$2:$P$251,$A40&amp;"|"&amp;$B40),IFERROR(COUNTIFS(INDIRECT("'"&amp;$A40&amp;"'!$B$2:$B$501"),$T40,INDIRECT("'"&amp;$A40&amp;"'!$A$2:$A$501"),"&gt;="&amp;$I40,INDIRECT("'"&amp;$A40&amp;"'!$A$2:$A$501"),"&lt;"&amp;($BA40+1),INDIRECT("'"&amp;$A40&amp;"'!$F$2:$F$501"),"Gone by the time I looked"),0)))</f>
        <v/>
      </c>
      <c r="AT40" s="30" t="str">
        <f aca="true">IF(OR($A40="",$I40=""),"",IF($BC40="Y",SUMIFS(survey_frozen!$H$2:$H$251,survey_frozen!$P$2:$P$251,$A40&amp;"|"&amp;$B40),IFERROR(COUNTIFS(INDIRECT("'"&amp;$A40&amp;"'!$B$2:$B$501"),$T40,INDIRECT("'"&amp;$A40&amp;"'!$A$2:$A$501"),"&gt;="&amp;$I40,INDIRECT("'"&amp;$A40&amp;"'!$A$2:$A$501"),"&lt;"&amp;($BA40+1),INDIRECT("'"&amp;$A40&amp;"'!$D$2:$D$501"),"&gt;=1"),0)))</f>
        <v/>
      </c>
      <c r="AU40" s="30" t="str">
        <f aca="true">IF(OR($A40="",$I40=""),"",IF($BC40="Y",SUMIFS(survey_frozen!$I$2:$I$251,survey_frozen!$P$2:$P$251,$A40&amp;"|"&amp;$B40),IFERROR(SUMIFS(INDIRECT("'"&amp;$A40&amp;"'!$D$2:$D$501"),INDIRECT("'"&amp;$A40&amp;"'!$B$2:$B$501"),$T40,INDIRECT("'"&amp;$A40&amp;"'!$A$2:$A$501"),"&gt;="&amp;$I40,INDIRECT("'"&amp;$A40&amp;"'!$A$2:$A$501"),"&lt;"&amp;($BA40+1)),0)))</f>
        <v/>
      </c>
      <c r="AV40" s="30" t="str">
        <f aca="true">IF(OR($A40="",$I40=""),"",IF($BC40="Y",SUMIFS(survey_frozen!$J$2:$J$251,survey_frozen!$P$2:$P$251,$A40&amp;"|"&amp;$B40),IFERROR(COUNTIFS(INDIRECT("'"&amp;$A40&amp;"'!$B$2:$B$501"),$T40,INDIRECT("'"&amp;$A40&amp;"'!$A$2:$A$501"),"&gt;="&amp;$I40,INDIRECT("'"&amp;$A40&amp;"'!$A$2:$A$501"),"&lt;"&amp;($BA40+1),INDIRECT("'"&amp;$A40&amp;"'!$E$2:$E$501"),"Yes"),0)))</f>
        <v/>
      </c>
      <c r="AW40" s="30" t="str">
        <f aca="true">IF(OR($A40="",$I40=""),"",IF($BC40="Y",SUMIFS(survey_frozen!$K$2:$K$251,survey_frozen!$P$2:$P$251,$A40&amp;"|"&amp;$B40),IFERROR(COUNTIFS(INDIRECT("'"&amp;$A40&amp;"'!$B$2:$B$501"),$T40,INDIRECT("'"&amp;$A40&amp;"'!$A$2:$A$501"),"&gt;="&amp;$I40,INDIRECT("'"&amp;$A40&amp;"'!$A$2:$A$501"),"&lt;"&amp;($BA40+1),INDIRECT("'"&amp;$A40&amp;"'!$E$2:$E$501"),"Maybe"),0)))</f>
        <v/>
      </c>
      <c r="AX40" s="30" t="str">
        <f aca="true">IF(OR($A40="",$I40=""),"",IF($BC40="Y",SUMIFS(survey_frozen!$L$2:$L$251,survey_frozen!$P$2:$P$251,$A40&amp;"|"&amp;$B40),IFERROR(COUNTIFS(INDIRECT("'"&amp;$A40&amp;"'!$B$2:$B$501"),$T40,INDIRECT("'"&amp;$A40&amp;"'!$A$2:$A$501"),"&gt;="&amp;$I40,INDIRECT("'"&amp;$A40&amp;"'!$A$2:$A$501"),"&lt;"&amp;($BA40+1),INDIRECT("'"&amp;$A40&amp;"'!$E$2:$E$501"),"No"),0)))</f>
        <v/>
      </c>
      <c r="AY40" s="30" t="str">
        <f aca="true">IF(OR($A40="",$I40=""),"",IF($BC40="Y",SUMIFS(survey_frozen!$M$2:$M$251,survey_frozen!$P$2:$P$251,$A40&amp;"|"&amp;$B40),IFERROR(COUNTIFS(INDIRECT("'"&amp;$A40&amp;"'!$B$2:$B$501"),$T40,INDIRECT("'"&amp;$A40&amp;"'!$A$2:$A$501"),"&gt;="&amp;$I40,INDIRECT("'"&amp;$A40&amp;"'!$A$2:$A$501"),"&lt;"&amp;($BA40+1),INDIRECT("'"&amp;$A40&amp;"'!$G$2:$G$501"),"&lt;&gt;"),0)))</f>
        <v/>
      </c>
      <c r="AZ40" s="30" t="str">
        <f aca="false">IF($A40="","",$A40&amp;"|"&amp;$L40)</f>
        <v/>
      </c>
      <c r="BA40" s="31" t="str">
        <f aca="false">IF($A40="","",IFERROR(IF(INDEX(drops!$R$2:$R$21,MATCH($H40,drops!$A$2:$A$21,0))="","",INDEX(drops!$R$2:$R$21,MATCH($H40,drops!$A$2:$A$21,0))),""))</f>
        <v/>
      </c>
      <c r="BB40" s="30" t="n">
        <f aca="false">IF(OR($A40="",$Q40&lt;&gt;"Y"),1000000,N($AL40))</f>
        <v>1000000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C41" s="11"/>
      <c r="D41" s="10"/>
      <c r="E41" s="11"/>
      <c r="H41" s="30" t="str">
        <f aca="false">IF($A41="","",IFERROR(IF(INDEX(campaigns!$B$2:$B$51,MATCH($A41,campaigns!$A$2:$A$51,0))="","",INDEX(campaigns!$B$2:$B$51,MATCH($A41,campaigns!$A$2:$A$51,0))),""))</f>
        <v/>
      </c>
      <c r="I41" s="31" t="str">
        <f aca="false">IF($A41="","",IFERROR(IF(INDEX(campaigns!$BG$2:$BG$51,MATCH($A41,campaigns!$A$2:$A$51,0))="","",INDEX(campaigns!$BG$2:$BG$51,MATCH($A41,campaigns!$A$2:$A$51,0))),""))</f>
        <v/>
      </c>
      <c r="J41" s="30" t="str">
        <f aca="false">IF($A41="","",IFERROR(IF(INDEX(campaigns!$BE$2:$BE$51,MATCH($A41,campaigns!$A$2:$A$51,0))="","",INDEX(campaigns!$BE$2:$BE$51,MATCH($A41,campaigns!$A$2:$A$51,0))),""))</f>
        <v/>
      </c>
      <c r="K41" s="30" t="str">
        <f aca="false">IF($B41="","",IFERROR(IF(INDEX(offices!$O$2:$O$61,MATCH($B41,offices!$A$2:$A$61,0))="","",INDEX(offices!$O$2:$O$61,MATCH($B41,offices!$A$2:$A$61,0))),""))</f>
        <v/>
      </c>
      <c r="L41" s="30" t="str">
        <f aca="false">IF($A41="","",IF($Q41="N","",COUNTIFS($A$2:$A41,$A41,$Q$2:$Q41,"&lt;&gt;N")))</f>
        <v/>
      </c>
      <c r="M41" s="30" t="str">
        <f aca="false">IF(OR($A41="",$L41=""),"",IF(AND(config!$B$34="names_if_public",IFERROR(IF(INDEX(offices!$AG$2:$AG$61,MATCH($B41,offices!$A$2:$A$61,0))="","",INDEX(offices!$AG$2:$AG$61,MATCH($B41,offices!$A$2:$A$61,0))),"")="Y"),$K41,CHAR(64+$L41)))</f>
        <v/>
      </c>
      <c r="N41" s="30" t="str">
        <f aca="false">IF(OR($A41="",$I41=""),"",COUNTIFS(stops!$B$2:$B$151,$B41,stops!$P$2:$P$151,"&lt;"&amp;$I41,stops!$L$2:$L$151,"&lt;&gt;not_delivered")+1)</f>
        <v/>
      </c>
      <c r="O41" s="30" t="str">
        <f aca="false">IF($A41="","",IF(N($N41)&lt;=config!$B$29,"explicit","opt-out"))</f>
        <v/>
      </c>
      <c r="P41" s="30" t="str">
        <f aca="false">IF($A41="","",IF($O41="explicit",IF($D41="yes","Y",IF($D41="no","N","pending")),IF($D41="no","N",IF(AND($C41&lt;&gt;"",$I41&lt;&gt;"",$C41&lt;=WORKDAY(N($I41),-5,calendar!$A$2:$A$80)),"Y","pending"))))</f>
        <v/>
      </c>
      <c r="Q41" s="30" t="str">
        <f aca="false">IF($A41="","",IF($P41="N","N",IF($P41&lt;&gt;"Y","pending",IF(AND((COUNTIFS(stops!$A$2:$A$151,$H41,stops!$B$2:$B$151,$B41,stops!$L$2:$L$151,"declined")+COUNTIFS(stops!$A$2:$A$151,$H41,stops!$B$2:$B$151,$B41,stops!$L$2:$L$151,"building_refused")+COUNTIFS(stops!$A$2:$A$151,$H41,stops!$B$2:$B$151,$B41,stops!$L$2:$L$151,"not_delivered"))&gt;0,N($U41)=0),"N","Y"))))</f>
        <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str">
        <f aca="false">IF($A41="","",IF($G41&lt;&gt;"",$G41,IFERROR(IF(INDEX(offices!$AM$2:$AM$61,MATCH($B41,offices!$A$2:$A$61,0))="","",INDEX(offices!$AM$2:$AM$61,MATCH($B41,offices!$A$2:$A$61,0))),"")))</f>
        <v/>
      </c>
      <c r="T41" s="30" t="str">
        <f aca="false">IF($A41="","",$A41&amp;"."&amp;$B41)</f>
        <v/>
      </c>
      <c r="U41" s="30" t="str">
        <f aca="false">IF($A41="","",SUMIFS(inventory!$G$2:$G$801,inventory!$C$2:$C$801,$A41,inventory!$D$2:$D$801,$B41,inventory!$E$2:$E$801,"delivered"))</f>
        <v/>
      </c>
      <c r="V41" s="37" t="str">
        <f aca="false">IF($A41="","",IFERROR(1/(1/SUMPRODUCT(MAX((inventory!$C$2:$C$801=$A41)*(inventory!$D$2:$D$801=$B41)*(inventory!$E$2:$E$801="delivered")*(inventory!$A$2:$A$801+inventory!$B$2:$B$801)))),""))</f>
        <v/>
      </c>
      <c r="W41" s="30" t="str">
        <f aca="false">IF($A41="","",IFERROR(IF(INDEX(inventory!$J$2:$J$801,MATCH($A41&amp;"|"&amp;$B41&amp;"|delivered",inventory!$R$2:$R$801,0))="","",INDEX(inventory!$J$2:$J$801,MATCH($A41&amp;"|"&amp;$B41&amp;"|delivered",inventory!$R$2:$R$801,0))),""))</f>
        <v/>
      </c>
      <c r="X41" s="30" t="str">
        <f aca="false">IF($A41="","",IFERROR(IF(INDEX(photos!$H$2:$H$701,MATCH($A41&amp;"|"&amp;$B41&amp;"|placement|Y",photos!$R$2:$R$701,0))="","",INDEX(photos!$H$2:$H$701,MATCH($A41&amp;"|"&amp;$B41&amp;"|placement|Y",photos!$R$2:$R$701,0))),""))</f>
        <v/>
      </c>
      <c r="Y41" s="31" t="str">
        <f aca="false">IF($A41="","",IFERROR(IF(INDEX(photos!$E$2:$E$701,MATCH($A41&amp;"|"&amp;$B41&amp;"|placement|Y",photos!$R$2:$R$701,0))="","",INDEX(photos!$E$2:$E$701,MATCH($A41&amp;"|"&amp;$B41&amp;"|placement|Y",photos!$R$2:$R$701,0))),""))</f>
        <v/>
      </c>
      <c r="Z41" s="30" t="str">
        <f aca="false">IF($A41="","",IF(COUNTIFS(counts!$C$2:$C$701,$A41,counts!$D$2:$D$701,$B41,counts!$E$2:$E$701,"placed")=0,"",SUMIFS(counts!$F$2:$F$701,counts!$C$2:$C$701,$A41,counts!$D$2:$D$701,$B41,counts!$E$2:$E$701,"placed")))</f>
        <v/>
      </c>
      <c r="AA41" s="30" t="str">
        <f aca="false">IF($A41="","",IF($Y41="",0,N($Z41)))</f>
        <v/>
      </c>
      <c r="AB41" s="30" t="str">
        <f aca="false">IF($A41="","",IF(OR($Y41="",$I41=""),"N",IF($Y41&lt;=WORKDAY(N($I41),1,calendar!$A$2:$A$80),"Y","N")))</f>
        <v/>
      </c>
      <c r="AC41" s="33" t="str">
        <f aca="false">IF(OR($A41="",$V41="",$Y41=""),"",ROUND(($Y41+N(IFERROR(IF(INDEX(photos!$F$2:$F$701,MATCH($A41&amp;"|"&amp;$B41&amp;"|placement|Y",photos!$R$2:$R$701,0))="","",INDEX(photos!$F$2:$F$701,MATCH($A41&amp;"|"&amp;$B41&amp;"|placement|Y",photos!$R$2:$R$701,0))),""))-$V41)*24,1))</f>
        <v/>
      </c>
      <c r="AD41" s="30" t="str">
        <f aca="false">IF($A41="","",SUMIFS(inventory!$G$2:$G$801,inventory!$C$2:$C$801,$A41,inventory!$D$2:$D$801,$B41,inventory!$E$2:$E$801,"topped_up"))</f>
        <v/>
      </c>
      <c r="AE41" s="30" t="str">
        <f aca="false">IF($A41="","",IF(COUNTIFS(counts!$C$2:$C$701,$A41,counts!$D$2:$D$701,$B41,counts!$E$2:$E$701,"remaining_day3")=0,"",SUMIFS(counts!$F$2:$F$701,counts!$C$2:$C$701,$A41,counts!$D$2:$D$701,$B41,counts!$E$2:$E$701,"remaining_day3")))</f>
        <v/>
      </c>
      <c r="AF41" s="30" t="str">
        <f aca="false">IF($A41="","",IF(COUNTIFS(counts!$C$2:$C$701,$A41,counts!$D$2:$D$701,$B41,counts!$E$2:$E$701,"remaining_day5")=0,"",SUMIFS(counts!$F$2:$F$701,counts!$C$2:$C$701,$A41,counts!$D$2:$D$701,$B41,counts!$E$2:$E$701,"remaining_day5")))</f>
        <v/>
      </c>
      <c r="AG41" s="30" t="str">
        <f aca="false">IF(OR($A41="",$AF41=""),"",MAX(0,$AA41+$AD41-$AF41))</f>
        <v/>
      </c>
      <c r="AH41" s="30" t="str">
        <f aca="false">IF(OR($A41="",$AI41=""),"",IFERROR(IF(INDEX(photos!$H$2:$H$701,MATCH($A41&amp;"|"&amp;$B41&amp;"|later|Y|"&amp;$AI41,photos!$S$2:$S$701,0))="","",INDEX(photos!$H$2:$H$701,MATCH($A41&amp;"|"&amp;$B41&amp;"|later|Y|"&amp;$AI41,photos!$S$2:$S$701,0))),""))</f>
        <v/>
      </c>
      <c r="AI41" s="31" t="str">
        <f aca="false">IF($A41="","",IFERROR(1/(1/SUMPRODUCT(MAX((photos!$B$2:$B$701=$A41)*(photos!$C$2:$C$701=$B41)*(photos!$D$2:$D$701="later")*(photos!$O$2:$O$701="Y")*photos!$E$2:$E$701))),""))</f>
        <v/>
      </c>
      <c r="AJ41" s="30" t="str">
        <f aca="false">IF(OR($A41="",$AI41="",$I41=""),"",NETWORKDAYS($I41,$AI41,calendar!$A$2:$A$80))</f>
        <v/>
      </c>
      <c r="AK41" s="30" t="str">
        <f aca="false">IF($A41="","",IF(AND($X41&lt;&gt;"",$AH41&lt;&gt;""),"Y","N"))</f>
        <v/>
      </c>
      <c r="AL41" s="30" t="str">
        <f aca="true">IF(OR($A41="",$I41=""),"",IF($BC41="Y",SUMIFS(survey_frozen!$C$2:$C$251,survey_frozen!$P$2:$P$251,$A41&amp;"|"&amp;$B41),IFERROR(COUNTIFS(INDIRECT("'"&amp;$A41&amp;"'!$B$2:$B$501"),$T41,INDIRECT("'"&amp;$A41&amp;"'!$A$2:$A$501"),"&gt;="&amp;$I41,INDIRECT("'"&amp;$A41&amp;"'!$A$2:$A$501"),"&lt;"&amp;($BA41+1)),0)))</f>
        <v/>
      </c>
      <c r="AM41" s="30" t="str">
        <f aca="true">IF(OR($A41="",$I41=""),"",IF($BC41="Y",SUMIFS(survey_frozen!$D$2:$D$251,survey_frozen!$P$2:$P$251,$A41&amp;"|"&amp;$B41),IFERROR(COUNTIFS(INDIRECT("'"&amp;$A41&amp;"'!$B$2:$B$501"),$T41,INDIRECT("'"&amp;$A41&amp;"'!$A$2:$A$501"),"&gt;="&amp;$I41,INDIRECT("'"&amp;$A41&amp;"'!$A$2:$A$501"),"&lt;"&amp;($BA41+1),INDIRECT("'"&amp;$A41&amp;"'!$C$2:$C$501"),"Yes"),0)))</f>
        <v/>
      </c>
      <c r="AN41" s="30" t="str">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30" t="str">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30" t="str">
        <f aca="true">IF(OR($A41="",$I41=""),"",IF($BC41="Y",SUMIFS(survey_frozen!$E$2:$E$251,survey_frozen!$P$2:$P$251,$A41&amp;"|"&amp;$B41),IFERROR(COUNTIFS(INDIRECT("'"&amp;$A41&amp;"'!$B$2:$B$501"),$T41,INDIRECT("'"&amp;$A41&amp;"'!$A$2:$A$501"),"&gt;="&amp;$I41,INDIRECT("'"&amp;$A41&amp;"'!$A$2:$A$501"),"&lt;"&amp;($BA41+1),INDIRECT("'"&amp;$A41&amp;"'!$F$2:$F$501"),"Didn't see it"),0)))</f>
        <v/>
      </c>
      <c r="AR41" s="30" t="str">
        <f aca="true">IF(OR($A41="",$I41=""),"",IF($BC41="Y",SUMIFS(survey_frozen!$F$2:$F$251,survey_frozen!$P$2:$P$251,$A41&amp;"|"&amp;$B41),IFERROR(COUNTIFS(INDIRECT("'"&amp;$A41&amp;"'!$B$2:$B$501"),$T41,INDIRECT("'"&amp;$A41&amp;"'!$A$2:$A$501"),"&gt;="&amp;$I41,INDIRECT("'"&amp;$A41&amp;"'!$A$2:$A$501"),"&lt;"&amp;($BA41+1),INDIRECT("'"&amp;$A41&amp;"'!$F$2:$F$501"),"Not for me"),0)))</f>
        <v/>
      </c>
      <c r="AS41" s="30" t="str">
        <f aca="true">IF(OR($A41="",$I41=""),"",IF($BC41="Y",SUMIFS(survey_frozen!$G$2:$G$251,survey_frozen!$P$2:$P$251,$A41&amp;"|"&amp;$B41),IFERROR(COUNTIFS(INDIRECT("'"&amp;$A41&amp;"'!$B$2:$B$501"),$T41,INDIRECT("'"&amp;$A41&amp;"'!$A$2:$A$501"),"&gt;="&amp;$I41,INDIRECT("'"&amp;$A41&amp;"'!$A$2:$A$501"),"&lt;"&amp;($BA41+1),INDIRECT("'"&amp;$A41&amp;"'!$F$2:$F$501"),"Gone by the time I looked"),0)))</f>
        <v/>
      </c>
      <c r="AT41" s="30" t="str">
        <f aca="true">IF(OR($A41="",$I41=""),"",IF($BC41="Y",SUMIFS(survey_frozen!$H$2:$H$251,survey_frozen!$P$2:$P$251,$A41&amp;"|"&amp;$B41),IFERROR(COUNTIFS(INDIRECT("'"&amp;$A41&amp;"'!$B$2:$B$501"),$T41,INDIRECT("'"&amp;$A41&amp;"'!$A$2:$A$501"),"&gt;="&amp;$I41,INDIRECT("'"&amp;$A41&amp;"'!$A$2:$A$501"),"&lt;"&amp;($BA41+1),INDIRECT("'"&amp;$A41&amp;"'!$D$2:$D$501"),"&gt;=1"),0)))</f>
        <v/>
      </c>
      <c r="AU41" s="30" t="str">
        <f aca="true">IF(OR($A41="",$I41=""),"",IF($BC41="Y",SUMIFS(survey_frozen!$I$2:$I$251,survey_frozen!$P$2:$P$251,$A41&amp;"|"&amp;$B41),IFERROR(SUMIFS(INDIRECT("'"&amp;$A41&amp;"'!$D$2:$D$501"),INDIRECT("'"&amp;$A41&amp;"'!$B$2:$B$501"),$T41,INDIRECT("'"&amp;$A41&amp;"'!$A$2:$A$501"),"&gt;="&amp;$I41,INDIRECT("'"&amp;$A41&amp;"'!$A$2:$A$501"),"&lt;"&amp;($BA41+1)),0)))</f>
        <v/>
      </c>
      <c r="AV41" s="30" t="str">
        <f aca="true">IF(OR($A41="",$I41=""),"",IF($BC41="Y",SUMIFS(survey_frozen!$J$2:$J$251,survey_frozen!$P$2:$P$251,$A41&amp;"|"&amp;$B41),IFERROR(COUNTIFS(INDIRECT("'"&amp;$A41&amp;"'!$B$2:$B$501"),$T41,INDIRECT("'"&amp;$A41&amp;"'!$A$2:$A$501"),"&gt;="&amp;$I41,INDIRECT("'"&amp;$A41&amp;"'!$A$2:$A$501"),"&lt;"&amp;($BA41+1),INDIRECT("'"&amp;$A41&amp;"'!$E$2:$E$501"),"Yes"),0)))</f>
        <v/>
      </c>
      <c r="AW41" s="30" t="str">
        <f aca="true">IF(OR($A41="",$I41=""),"",IF($BC41="Y",SUMIFS(survey_frozen!$K$2:$K$251,survey_frozen!$P$2:$P$251,$A41&amp;"|"&amp;$B41),IFERROR(COUNTIFS(INDIRECT("'"&amp;$A41&amp;"'!$B$2:$B$501"),$T41,INDIRECT("'"&amp;$A41&amp;"'!$A$2:$A$501"),"&gt;="&amp;$I41,INDIRECT("'"&amp;$A41&amp;"'!$A$2:$A$501"),"&lt;"&amp;($BA41+1),INDIRECT("'"&amp;$A41&amp;"'!$E$2:$E$501"),"Maybe"),0)))</f>
        <v/>
      </c>
      <c r="AX41" s="30" t="str">
        <f aca="true">IF(OR($A41="",$I41=""),"",IF($BC41="Y",SUMIFS(survey_frozen!$L$2:$L$251,survey_frozen!$P$2:$P$251,$A41&amp;"|"&amp;$B41),IFERROR(COUNTIFS(INDIRECT("'"&amp;$A41&amp;"'!$B$2:$B$501"),$T41,INDIRECT("'"&amp;$A41&amp;"'!$A$2:$A$501"),"&gt;="&amp;$I41,INDIRECT("'"&amp;$A41&amp;"'!$A$2:$A$501"),"&lt;"&amp;($BA41+1),INDIRECT("'"&amp;$A41&amp;"'!$E$2:$E$501"),"No"),0)))</f>
        <v/>
      </c>
      <c r="AY41" s="30" t="str">
        <f aca="true">IF(OR($A41="",$I41=""),"",IF($BC41="Y",SUMIFS(survey_frozen!$M$2:$M$251,survey_frozen!$P$2:$P$251,$A41&amp;"|"&amp;$B41),IFERROR(COUNTIFS(INDIRECT("'"&amp;$A41&amp;"'!$B$2:$B$501"),$T41,INDIRECT("'"&amp;$A41&amp;"'!$A$2:$A$501"),"&gt;="&amp;$I41,INDIRECT("'"&amp;$A41&amp;"'!$A$2:$A$501"),"&lt;"&amp;($BA41+1),INDIRECT("'"&amp;$A41&amp;"'!$G$2:$G$501"),"&lt;&gt;"),0)))</f>
        <v/>
      </c>
      <c r="AZ41" s="30" t="str">
        <f aca="false">IF($A41="","",$A41&amp;"|"&amp;$L41)</f>
        <v/>
      </c>
      <c r="BA41" s="31" t="str">
        <f aca="false">IF($A41="","",IFERROR(IF(INDEX(drops!$R$2:$R$21,MATCH($H41,drops!$A$2:$A$21,0))="","",INDEX(drops!$R$2:$R$21,MATCH($H41,drops!$A$2:$A$21,0))),""))</f>
        <v/>
      </c>
      <c r="BB41" s="30" t="n">
        <f aca="false">IF(OR($A41="",$Q41&lt;&gt;"Y"),1000000,N($AL41))</f>
        <v>1000000</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C42" s="11"/>
      <c r="D42" s="10"/>
      <c r="E42" s="11"/>
      <c r="H42" s="30" t="str">
        <f aca="false">IF($A42="","",IFERROR(IF(INDEX(campaigns!$B$2:$B$51,MATCH($A42,campaigns!$A$2:$A$51,0))="","",INDEX(campaigns!$B$2:$B$51,MATCH($A42,campaigns!$A$2:$A$51,0))),""))</f>
        <v/>
      </c>
      <c r="I42" s="31" t="str">
        <f aca="false">IF($A42="","",IFERROR(IF(INDEX(campaigns!$BG$2:$BG$51,MATCH($A42,campaigns!$A$2:$A$51,0))="","",INDEX(campaigns!$BG$2:$BG$51,MATCH($A42,campaigns!$A$2:$A$51,0))),""))</f>
        <v/>
      </c>
      <c r="J42" s="30" t="str">
        <f aca="false">IF($A42="","",IFERROR(IF(INDEX(campaigns!$BE$2:$BE$51,MATCH($A42,campaigns!$A$2:$A$51,0))="","",INDEX(campaigns!$BE$2:$BE$51,MATCH($A42,campaigns!$A$2:$A$51,0))),""))</f>
        <v/>
      </c>
      <c r="K42" s="30" t="str">
        <f aca="false">IF($B42="","",IFERROR(IF(INDEX(offices!$O$2:$O$61,MATCH($B42,offices!$A$2:$A$61,0))="","",INDEX(offices!$O$2:$O$61,MATCH($B42,offices!$A$2:$A$61,0))),""))</f>
        <v/>
      </c>
      <c r="L42" s="30" t="str">
        <f aca="false">IF($A42="","",IF($Q42="N","",COUNTIFS($A$2:$A42,$A42,$Q$2:$Q42,"&lt;&gt;N")))</f>
        <v/>
      </c>
      <c r="M42" s="30" t="str">
        <f aca="false">IF(OR($A42="",$L42=""),"",IF(AND(config!$B$34="names_if_public",IFERROR(IF(INDEX(offices!$AG$2:$AG$61,MATCH($B42,offices!$A$2:$A$61,0))="","",INDEX(offices!$AG$2:$AG$61,MATCH($B42,offices!$A$2:$A$61,0))),"")="Y"),$K42,CHAR(64+$L42)))</f>
        <v/>
      </c>
      <c r="N42" s="30" t="str">
        <f aca="false">IF(OR($A42="",$I42=""),"",COUNTIFS(stops!$B$2:$B$151,$B42,stops!$P$2:$P$151,"&lt;"&amp;$I42,stops!$L$2:$L$151,"&lt;&gt;not_delivered")+1)</f>
        <v/>
      </c>
      <c r="O42" s="30" t="str">
        <f aca="false">IF($A42="","",IF(N($N42)&lt;=config!$B$29,"explicit","opt-out"))</f>
        <v/>
      </c>
      <c r="P42" s="30" t="str">
        <f aca="false">IF($A42="","",IF($O42="explicit",IF($D42="yes","Y",IF($D42="no","N","pending")),IF($D42="no","N",IF(AND($C42&lt;&gt;"",$I42&lt;&gt;"",$C42&lt;=WORKDAY(N($I42),-5,calendar!$A$2:$A$80)),"Y","pending"))))</f>
        <v/>
      </c>
      <c r="Q42" s="30" t="str">
        <f aca="false">IF($A42="","",IF($P42="N","N",IF($P42&lt;&gt;"Y","pending",IF(AND((COUNTIFS(stops!$A$2:$A$151,$H42,stops!$B$2:$B$151,$B42,stops!$L$2:$L$151,"declined")+COUNTIFS(stops!$A$2:$A$151,$H42,stops!$B$2:$B$151,$B42,stops!$L$2:$L$151,"building_refused")+COUNTIFS(stops!$A$2:$A$151,$H42,stops!$B$2:$B$151,$B42,stops!$L$2:$L$151,"not_delivered"))&gt;0,N($U42)=0),"N","Y"))))</f>
        <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str">
        <f aca="false">IF($A42="","",IF($G42&lt;&gt;"",$G42,IFERROR(IF(INDEX(offices!$AM$2:$AM$61,MATCH($B42,offices!$A$2:$A$61,0))="","",INDEX(offices!$AM$2:$AM$61,MATCH($B42,offices!$A$2:$A$61,0))),"")))</f>
        <v/>
      </c>
      <c r="T42" s="30" t="str">
        <f aca="false">IF($A42="","",$A42&amp;"."&amp;$B42)</f>
        <v/>
      </c>
      <c r="U42" s="30" t="str">
        <f aca="false">IF($A42="","",SUMIFS(inventory!$G$2:$G$801,inventory!$C$2:$C$801,$A42,inventory!$D$2:$D$801,$B42,inventory!$E$2:$E$801,"delivered"))</f>
        <v/>
      </c>
      <c r="V42" s="37" t="str">
        <f aca="false">IF($A42="","",IFERROR(1/(1/SUMPRODUCT(MAX((inventory!$C$2:$C$801=$A42)*(inventory!$D$2:$D$801=$B42)*(inventory!$E$2:$E$801="delivered")*(inventory!$A$2:$A$801+inventory!$B$2:$B$801)))),""))</f>
        <v/>
      </c>
      <c r="W42" s="30" t="str">
        <f aca="false">IF($A42="","",IFERROR(IF(INDEX(inventory!$J$2:$J$801,MATCH($A42&amp;"|"&amp;$B42&amp;"|delivered",inventory!$R$2:$R$801,0))="","",INDEX(inventory!$J$2:$J$801,MATCH($A42&amp;"|"&amp;$B42&amp;"|delivered",inventory!$R$2:$R$801,0))),""))</f>
        <v/>
      </c>
      <c r="X42" s="30" t="str">
        <f aca="false">IF($A42="","",IFERROR(IF(INDEX(photos!$H$2:$H$701,MATCH($A42&amp;"|"&amp;$B42&amp;"|placement|Y",photos!$R$2:$R$701,0))="","",INDEX(photos!$H$2:$H$701,MATCH($A42&amp;"|"&amp;$B42&amp;"|placement|Y",photos!$R$2:$R$701,0))),""))</f>
        <v/>
      </c>
      <c r="Y42" s="31" t="str">
        <f aca="false">IF($A42="","",IFERROR(IF(INDEX(photos!$E$2:$E$701,MATCH($A42&amp;"|"&amp;$B42&amp;"|placement|Y",photos!$R$2:$R$701,0))="","",INDEX(photos!$E$2:$E$701,MATCH($A42&amp;"|"&amp;$B42&amp;"|placement|Y",photos!$R$2:$R$701,0))),""))</f>
        <v/>
      </c>
      <c r="Z42" s="30" t="str">
        <f aca="false">IF($A42="","",IF(COUNTIFS(counts!$C$2:$C$701,$A42,counts!$D$2:$D$701,$B42,counts!$E$2:$E$701,"placed")=0,"",SUMIFS(counts!$F$2:$F$701,counts!$C$2:$C$701,$A42,counts!$D$2:$D$701,$B42,counts!$E$2:$E$701,"placed")))</f>
        <v/>
      </c>
      <c r="AA42" s="30" t="str">
        <f aca="false">IF($A42="","",IF($Y42="",0,N($Z42)))</f>
        <v/>
      </c>
      <c r="AB42" s="30" t="str">
        <f aca="false">IF($A42="","",IF(OR($Y42="",$I42=""),"N",IF($Y42&lt;=WORKDAY(N($I42),1,calendar!$A$2:$A$80),"Y","N")))</f>
        <v/>
      </c>
      <c r="AC42" s="33" t="str">
        <f aca="false">IF(OR($A42="",$V42="",$Y42=""),"",ROUND(($Y42+N(IFERROR(IF(INDEX(photos!$F$2:$F$701,MATCH($A42&amp;"|"&amp;$B42&amp;"|placement|Y",photos!$R$2:$R$701,0))="","",INDEX(photos!$F$2:$F$701,MATCH($A42&amp;"|"&amp;$B42&amp;"|placement|Y",photos!$R$2:$R$701,0))),""))-$V42)*24,1))</f>
        <v/>
      </c>
      <c r="AD42" s="30" t="str">
        <f aca="false">IF($A42="","",SUMIFS(inventory!$G$2:$G$801,inventory!$C$2:$C$801,$A42,inventory!$D$2:$D$801,$B42,inventory!$E$2:$E$801,"topped_up"))</f>
        <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
      </c>
      <c r="AL42" s="30" t="str">
        <f aca="true">IF(OR($A42="",$I42=""),"",IF($BC42="Y",SUMIFS(survey_frozen!$C$2:$C$251,survey_frozen!$P$2:$P$251,$A42&amp;"|"&amp;$B42),IFERROR(COUNTIFS(INDIRECT("'"&amp;$A42&amp;"'!$B$2:$B$501"),$T42,INDIRECT("'"&amp;$A42&amp;"'!$A$2:$A$501"),"&gt;="&amp;$I42,INDIRECT("'"&amp;$A42&amp;"'!$A$2:$A$501"),"&lt;"&amp;($BA42+1)),0)))</f>
        <v/>
      </c>
      <c r="AM42" s="30" t="str">
        <f aca="true">IF(OR($A42="",$I42=""),"",IF($BC42="Y",SUMIFS(survey_frozen!$D$2:$D$251,survey_frozen!$P$2:$P$251,$A42&amp;"|"&amp;$B42),IFERROR(COUNTIFS(INDIRECT("'"&amp;$A42&amp;"'!$B$2:$B$501"),$T42,INDIRECT("'"&amp;$A42&amp;"'!$A$2:$A$501"),"&gt;="&amp;$I42,INDIRECT("'"&amp;$A42&amp;"'!$A$2:$A$501"),"&lt;"&amp;($BA42+1),INDIRECT("'"&amp;$A42&amp;"'!$C$2:$C$501"),"Yes"),0)))</f>
        <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str">
        <f aca="true">IF(OR($A42="",$I42=""),"",IF($BC42="Y",SUMIFS(survey_frozen!$E$2:$E$251,survey_frozen!$P$2:$P$251,$A42&amp;"|"&amp;$B42),IFERROR(COUNTIFS(INDIRECT("'"&amp;$A42&amp;"'!$B$2:$B$501"),$T42,INDIRECT("'"&amp;$A42&amp;"'!$A$2:$A$501"),"&gt;="&amp;$I42,INDIRECT("'"&amp;$A42&amp;"'!$A$2:$A$501"),"&lt;"&amp;($BA42+1),INDIRECT("'"&amp;$A42&amp;"'!$F$2:$F$501"),"Didn't see it"),0)))</f>
        <v/>
      </c>
      <c r="AR42" s="30" t="str">
        <f aca="true">IF(OR($A42="",$I42=""),"",IF($BC42="Y",SUMIFS(survey_frozen!$F$2:$F$251,survey_frozen!$P$2:$P$251,$A42&amp;"|"&amp;$B42),IFERROR(COUNTIFS(INDIRECT("'"&amp;$A42&amp;"'!$B$2:$B$501"),$T42,INDIRECT("'"&amp;$A42&amp;"'!$A$2:$A$501"),"&gt;="&amp;$I42,INDIRECT("'"&amp;$A42&amp;"'!$A$2:$A$501"),"&lt;"&amp;($BA42+1),INDIRECT("'"&amp;$A42&amp;"'!$F$2:$F$501"),"Not for me"),0)))</f>
        <v/>
      </c>
      <c r="AS42" s="30" t="str">
        <f aca="true">IF(OR($A42="",$I42=""),"",IF($BC42="Y",SUMIFS(survey_frozen!$G$2:$G$251,survey_frozen!$P$2:$P$251,$A42&amp;"|"&amp;$B42),IFERROR(COUNTIFS(INDIRECT("'"&amp;$A42&amp;"'!$B$2:$B$501"),$T42,INDIRECT("'"&amp;$A42&amp;"'!$A$2:$A$501"),"&gt;="&amp;$I42,INDIRECT("'"&amp;$A42&amp;"'!$A$2:$A$501"),"&lt;"&amp;($BA42+1),INDIRECT("'"&amp;$A42&amp;"'!$F$2:$F$501"),"Gone by the time I looked"),0)))</f>
        <v/>
      </c>
      <c r="AT42" s="30" t="str">
        <f aca="true">IF(OR($A42="",$I42=""),"",IF($BC42="Y",SUMIFS(survey_frozen!$H$2:$H$251,survey_frozen!$P$2:$P$251,$A42&amp;"|"&amp;$B42),IFERROR(COUNTIFS(INDIRECT("'"&amp;$A42&amp;"'!$B$2:$B$501"),$T42,INDIRECT("'"&amp;$A42&amp;"'!$A$2:$A$501"),"&gt;="&amp;$I42,INDIRECT("'"&amp;$A42&amp;"'!$A$2:$A$501"),"&lt;"&amp;($BA42+1),INDIRECT("'"&amp;$A42&amp;"'!$D$2:$D$501"),"&gt;=1"),0)))</f>
        <v/>
      </c>
      <c r="AU42" s="30" t="str">
        <f aca="true">IF(OR($A42="",$I42=""),"",IF($BC42="Y",SUMIFS(survey_frozen!$I$2:$I$251,survey_frozen!$P$2:$P$251,$A42&amp;"|"&amp;$B42),IFERROR(SUMIFS(INDIRECT("'"&amp;$A42&amp;"'!$D$2:$D$501"),INDIRECT("'"&amp;$A42&amp;"'!$B$2:$B$501"),$T42,INDIRECT("'"&amp;$A42&amp;"'!$A$2:$A$501"),"&gt;="&amp;$I42,INDIRECT("'"&amp;$A42&amp;"'!$A$2:$A$501"),"&lt;"&amp;($BA42+1)),0)))</f>
        <v/>
      </c>
      <c r="AV42" s="30" t="str">
        <f aca="true">IF(OR($A42="",$I42=""),"",IF($BC42="Y",SUMIFS(survey_frozen!$J$2:$J$251,survey_frozen!$P$2:$P$251,$A42&amp;"|"&amp;$B42),IFERROR(COUNTIFS(INDIRECT("'"&amp;$A42&amp;"'!$B$2:$B$501"),$T42,INDIRECT("'"&amp;$A42&amp;"'!$A$2:$A$501"),"&gt;="&amp;$I42,INDIRECT("'"&amp;$A42&amp;"'!$A$2:$A$501"),"&lt;"&amp;($BA42+1),INDIRECT("'"&amp;$A42&amp;"'!$E$2:$E$501"),"Yes"),0)))</f>
        <v/>
      </c>
      <c r="AW42" s="30" t="str">
        <f aca="true">IF(OR($A42="",$I42=""),"",IF($BC42="Y",SUMIFS(survey_frozen!$K$2:$K$251,survey_frozen!$P$2:$P$251,$A42&amp;"|"&amp;$B42),IFERROR(COUNTIFS(INDIRECT("'"&amp;$A42&amp;"'!$B$2:$B$501"),$T42,INDIRECT("'"&amp;$A42&amp;"'!$A$2:$A$501"),"&gt;="&amp;$I42,INDIRECT("'"&amp;$A42&amp;"'!$A$2:$A$501"),"&lt;"&amp;($BA42+1),INDIRECT("'"&amp;$A42&amp;"'!$E$2:$E$501"),"Maybe"),0)))</f>
        <v/>
      </c>
      <c r="AX42" s="30" t="str">
        <f aca="true">IF(OR($A42="",$I42=""),"",IF($BC42="Y",SUMIFS(survey_frozen!$L$2:$L$251,survey_frozen!$P$2:$P$251,$A42&amp;"|"&amp;$B42),IFERROR(COUNTIFS(INDIRECT("'"&amp;$A42&amp;"'!$B$2:$B$501"),$T42,INDIRECT("'"&amp;$A42&amp;"'!$A$2:$A$501"),"&gt;="&amp;$I42,INDIRECT("'"&amp;$A42&amp;"'!$A$2:$A$501"),"&lt;"&amp;($BA42+1),INDIRECT("'"&amp;$A42&amp;"'!$E$2:$E$501"),"No"),0)))</f>
        <v/>
      </c>
      <c r="AY42" s="30" t="str">
        <f aca="true">IF(OR($A42="",$I42=""),"",IF($BC42="Y",SUMIFS(survey_frozen!$M$2:$M$251,survey_frozen!$P$2:$P$251,$A42&amp;"|"&amp;$B42),IFERROR(COUNTIFS(INDIRECT("'"&amp;$A42&amp;"'!$B$2:$B$501"),$T42,INDIRECT("'"&amp;$A42&amp;"'!$A$2:$A$501"),"&gt;="&amp;$I42,INDIRECT("'"&amp;$A42&amp;"'!$A$2:$A$501"),"&lt;"&amp;($BA42+1),INDIRECT("'"&amp;$A42&amp;"'!$G$2:$G$501"),"&lt;&gt;"),0)))</f>
        <v/>
      </c>
      <c r="AZ42" s="30" t="str">
        <f aca="false">IF($A42="","",$A42&amp;"|"&amp;$L42)</f>
        <v/>
      </c>
      <c r="BA42" s="31" t="str">
        <f aca="false">IF($A42="","",IFERROR(IF(INDEX(drops!$R$2:$R$21,MATCH($H42,drops!$A$2:$A$21,0))="","",INDEX(drops!$R$2:$R$21,MATCH($H42,drops!$A$2:$A$21,0))),""))</f>
        <v/>
      </c>
      <c r="BB42" s="30" t="n">
        <f aca="false">IF(OR($A42="",$Q42&lt;&gt;"Y"),1000000,N($AL42))</f>
        <v>1000000</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C43" s="11"/>
      <c r="D43" s="10"/>
      <c r="E43" s="11"/>
      <c r="H43" s="30" t="str">
        <f aca="false">IF($A43="","",IFERROR(IF(INDEX(campaigns!$B$2:$B$51,MATCH($A43,campaigns!$A$2:$A$51,0))="","",INDEX(campaigns!$B$2:$B$51,MATCH($A43,campaigns!$A$2:$A$51,0))),""))</f>
        <v/>
      </c>
      <c r="I43" s="31" t="str">
        <f aca="false">IF($A43="","",IFERROR(IF(INDEX(campaigns!$BG$2:$BG$51,MATCH($A43,campaigns!$A$2:$A$51,0))="","",INDEX(campaigns!$BG$2:$BG$51,MATCH($A43,campaigns!$A$2:$A$51,0))),""))</f>
        <v/>
      </c>
      <c r="J43" s="30" t="str">
        <f aca="false">IF($A43="","",IFERROR(IF(INDEX(campaigns!$BE$2:$BE$51,MATCH($A43,campaigns!$A$2:$A$51,0))="","",INDEX(campaigns!$BE$2:$BE$51,MATCH($A43,campaigns!$A$2:$A$51,0))),""))</f>
        <v/>
      </c>
      <c r="K43" s="30" t="str">
        <f aca="false">IF($B43="","",IFERROR(IF(INDEX(offices!$O$2:$O$61,MATCH($B43,offices!$A$2:$A$61,0))="","",INDEX(offices!$O$2:$O$61,MATCH($B43,offices!$A$2:$A$61,0))),""))</f>
        <v/>
      </c>
      <c r="L43" s="30" t="str">
        <f aca="false">IF($A43="","",IF($Q43="N","",COUNTIFS($A$2:$A43,$A43,$Q$2:$Q43,"&lt;&gt;N")))</f>
        <v/>
      </c>
      <c r="M43" s="30" t="str">
        <f aca="false">IF(OR($A43="",$L43=""),"",IF(AND(config!$B$34="names_if_public",IFERROR(IF(INDEX(offices!$AG$2:$AG$61,MATCH($B43,offices!$A$2:$A$61,0))="","",INDEX(offices!$AG$2:$AG$61,MATCH($B43,offices!$A$2:$A$61,0))),"")="Y"),$K43,CHAR(64+$L43)))</f>
        <v/>
      </c>
      <c r="N43" s="30" t="str">
        <f aca="false">IF(OR($A43="",$I43=""),"",COUNTIFS(stops!$B$2:$B$151,$B43,stops!$P$2:$P$151,"&lt;"&amp;$I43,stops!$L$2:$L$151,"&lt;&gt;not_delivered")+1)</f>
        <v/>
      </c>
      <c r="O43" s="30" t="str">
        <f aca="false">IF($A43="","",IF(N($N43)&lt;=config!$B$29,"explicit","opt-out"))</f>
        <v/>
      </c>
      <c r="P43" s="30" t="str">
        <f aca="false">IF($A43="","",IF($O43="explicit",IF($D43="yes","Y",IF($D43="no","N","pending")),IF($D43="no","N",IF(AND($C43&lt;&gt;"",$I43&lt;&gt;"",$C43&lt;=WORKDAY(N($I43),-5,calendar!$A$2:$A$80)),"Y","pending"))))</f>
        <v/>
      </c>
      <c r="Q43" s="30" t="str">
        <f aca="false">IF($A43="","",IF($P43="N","N",IF($P43&lt;&gt;"Y","pending",IF(AND((COUNTIFS(stops!$A$2:$A$151,$H43,stops!$B$2:$B$151,$B43,stops!$L$2:$L$151,"declined")+COUNTIFS(stops!$A$2:$A$151,$H43,stops!$B$2:$B$151,$B43,stops!$L$2:$L$151,"building_refused")+COUNTIFS(stops!$A$2:$A$151,$H43,stops!$B$2:$B$151,$B43,stops!$L$2:$L$151,"not_delivered"))&gt;0,N($U43)=0),"N","Y"))))</f>
        <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str">
        <f aca="false">IF($A43="","",IF($G43&lt;&gt;"",$G43,IFERROR(IF(INDEX(offices!$AM$2:$AM$61,MATCH($B43,offices!$A$2:$A$61,0))="","",INDEX(offices!$AM$2:$AM$61,MATCH($B43,offices!$A$2:$A$61,0))),"")))</f>
        <v/>
      </c>
      <c r="T43" s="30" t="str">
        <f aca="false">IF($A43="","",$A43&amp;"."&amp;$B43)</f>
        <v/>
      </c>
      <c r="U43" s="30" t="str">
        <f aca="false">IF($A43="","",SUMIFS(inventory!$G$2:$G$801,inventory!$C$2:$C$801,$A43,inventory!$D$2:$D$801,$B43,inventory!$E$2:$E$801,"delivered"))</f>
        <v/>
      </c>
      <c r="V43" s="37" t="str">
        <f aca="false">IF($A43="","",IFERROR(1/(1/SUMPRODUCT(MAX((inventory!$C$2:$C$801=$A43)*(inventory!$D$2:$D$801=$B43)*(inventory!$E$2:$E$801="delivered")*(inventory!$A$2:$A$801+inventory!$B$2:$B$801)))),""))</f>
        <v/>
      </c>
      <c r="W43" s="30" t="str">
        <f aca="false">IF($A43="","",IFERROR(IF(INDEX(inventory!$J$2:$J$801,MATCH($A43&amp;"|"&amp;$B43&amp;"|delivered",inventory!$R$2:$R$801,0))="","",INDEX(inventory!$J$2:$J$801,MATCH($A43&amp;"|"&amp;$B43&amp;"|delivered",inventory!$R$2:$R$801,0))),""))</f>
        <v/>
      </c>
      <c r="X43" s="30" t="str">
        <f aca="false">IF($A43="","",IFERROR(IF(INDEX(photos!$H$2:$H$701,MATCH($A43&amp;"|"&amp;$B43&amp;"|placement|Y",photos!$R$2:$R$701,0))="","",INDEX(photos!$H$2:$H$701,MATCH($A43&amp;"|"&amp;$B43&amp;"|placement|Y",photos!$R$2:$R$701,0))),""))</f>
        <v/>
      </c>
      <c r="Y43" s="31" t="str">
        <f aca="false">IF($A43="","",IFERROR(IF(INDEX(photos!$E$2:$E$701,MATCH($A43&amp;"|"&amp;$B43&amp;"|placement|Y",photos!$R$2:$R$701,0))="","",INDEX(photos!$E$2:$E$701,MATCH($A43&amp;"|"&amp;$B43&amp;"|placement|Y",photos!$R$2:$R$701,0))),""))</f>
        <v/>
      </c>
      <c r="Z43" s="30" t="str">
        <f aca="false">IF($A43="","",IF(COUNTIFS(counts!$C$2:$C$701,$A43,counts!$D$2:$D$701,$B43,counts!$E$2:$E$701,"placed")=0,"",SUMIFS(counts!$F$2:$F$701,counts!$C$2:$C$701,$A43,counts!$D$2:$D$701,$B43,counts!$E$2:$E$701,"placed")))</f>
        <v/>
      </c>
      <c r="AA43" s="30" t="str">
        <f aca="false">IF($A43="","",IF($Y43="",0,N($Z43)))</f>
        <v/>
      </c>
      <c r="AB43" s="30" t="str">
        <f aca="false">IF($A43="","",IF(OR($Y43="",$I43=""),"N",IF($Y43&lt;=WORKDAY(N($I43),1,calendar!$A$2:$A$80),"Y","N")))</f>
        <v/>
      </c>
      <c r="AC43" s="33" t="str">
        <f aca="false">IF(OR($A43="",$V43="",$Y43=""),"",ROUND(($Y43+N(IFERROR(IF(INDEX(photos!$F$2:$F$701,MATCH($A43&amp;"|"&amp;$B43&amp;"|placement|Y",photos!$R$2:$R$701,0))="","",INDEX(photos!$F$2:$F$701,MATCH($A43&amp;"|"&amp;$B43&amp;"|placement|Y",photos!$R$2:$R$701,0))),""))-$V43)*24,1))</f>
        <v/>
      </c>
      <c r="AD43" s="30" t="str">
        <f aca="false">IF($A43="","",SUMIFS(inventory!$G$2:$G$801,inventory!$C$2:$C$801,$A43,inventory!$D$2:$D$801,$B43,inventory!$E$2:$E$801,"topped_up"))</f>
        <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
      </c>
      <c r="AL43" s="30" t="str">
        <f aca="true">IF(OR($A43="",$I43=""),"",IF($BC43="Y",SUMIFS(survey_frozen!$C$2:$C$251,survey_frozen!$P$2:$P$251,$A43&amp;"|"&amp;$B43),IFERROR(COUNTIFS(INDIRECT("'"&amp;$A43&amp;"'!$B$2:$B$501"),$T43,INDIRECT("'"&amp;$A43&amp;"'!$A$2:$A$501"),"&gt;="&amp;$I43,INDIRECT("'"&amp;$A43&amp;"'!$A$2:$A$501"),"&lt;"&amp;($BA43+1)),0)))</f>
        <v/>
      </c>
      <c r="AM43" s="30" t="str">
        <f aca="true">IF(OR($A43="",$I43=""),"",IF($BC43="Y",SUMIFS(survey_frozen!$D$2:$D$251,survey_frozen!$P$2:$P$251,$A43&amp;"|"&amp;$B43),IFERROR(COUNTIFS(INDIRECT("'"&amp;$A43&amp;"'!$B$2:$B$501"),$T43,INDIRECT("'"&amp;$A43&amp;"'!$A$2:$A$501"),"&gt;="&amp;$I43,INDIRECT("'"&amp;$A43&amp;"'!$A$2:$A$501"),"&lt;"&amp;($BA43+1),INDIRECT("'"&amp;$A43&amp;"'!$C$2:$C$501"),"Yes"),0)))</f>
        <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str">
        <f aca="true">IF(OR($A43="",$I43=""),"",IF($BC43="Y",SUMIFS(survey_frozen!$E$2:$E$251,survey_frozen!$P$2:$P$251,$A43&amp;"|"&amp;$B43),IFERROR(COUNTIFS(INDIRECT("'"&amp;$A43&amp;"'!$B$2:$B$501"),$T43,INDIRECT("'"&amp;$A43&amp;"'!$A$2:$A$501"),"&gt;="&amp;$I43,INDIRECT("'"&amp;$A43&amp;"'!$A$2:$A$501"),"&lt;"&amp;($BA43+1),INDIRECT("'"&amp;$A43&amp;"'!$F$2:$F$501"),"Didn't see it"),0)))</f>
        <v/>
      </c>
      <c r="AR43" s="30" t="str">
        <f aca="true">IF(OR($A43="",$I43=""),"",IF($BC43="Y",SUMIFS(survey_frozen!$F$2:$F$251,survey_frozen!$P$2:$P$251,$A43&amp;"|"&amp;$B43),IFERROR(COUNTIFS(INDIRECT("'"&amp;$A43&amp;"'!$B$2:$B$501"),$T43,INDIRECT("'"&amp;$A43&amp;"'!$A$2:$A$501"),"&gt;="&amp;$I43,INDIRECT("'"&amp;$A43&amp;"'!$A$2:$A$501"),"&lt;"&amp;($BA43+1),INDIRECT("'"&amp;$A43&amp;"'!$F$2:$F$501"),"Not for me"),0)))</f>
        <v/>
      </c>
      <c r="AS43" s="30" t="str">
        <f aca="true">IF(OR($A43="",$I43=""),"",IF($BC43="Y",SUMIFS(survey_frozen!$G$2:$G$251,survey_frozen!$P$2:$P$251,$A43&amp;"|"&amp;$B43),IFERROR(COUNTIFS(INDIRECT("'"&amp;$A43&amp;"'!$B$2:$B$501"),$T43,INDIRECT("'"&amp;$A43&amp;"'!$A$2:$A$501"),"&gt;="&amp;$I43,INDIRECT("'"&amp;$A43&amp;"'!$A$2:$A$501"),"&lt;"&amp;($BA43+1),INDIRECT("'"&amp;$A43&amp;"'!$F$2:$F$501"),"Gone by the time I looked"),0)))</f>
        <v/>
      </c>
      <c r="AT43" s="30" t="str">
        <f aca="true">IF(OR($A43="",$I43=""),"",IF($BC43="Y",SUMIFS(survey_frozen!$H$2:$H$251,survey_frozen!$P$2:$P$251,$A43&amp;"|"&amp;$B43),IFERROR(COUNTIFS(INDIRECT("'"&amp;$A43&amp;"'!$B$2:$B$501"),$T43,INDIRECT("'"&amp;$A43&amp;"'!$A$2:$A$501"),"&gt;="&amp;$I43,INDIRECT("'"&amp;$A43&amp;"'!$A$2:$A$501"),"&lt;"&amp;($BA43+1),INDIRECT("'"&amp;$A43&amp;"'!$D$2:$D$501"),"&gt;=1"),0)))</f>
        <v/>
      </c>
      <c r="AU43" s="30" t="str">
        <f aca="true">IF(OR($A43="",$I43=""),"",IF($BC43="Y",SUMIFS(survey_frozen!$I$2:$I$251,survey_frozen!$P$2:$P$251,$A43&amp;"|"&amp;$B43),IFERROR(SUMIFS(INDIRECT("'"&amp;$A43&amp;"'!$D$2:$D$501"),INDIRECT("'"&amp;$A43&amp;"'!$B$2:$B$501"),$T43,INDIRECT("'"&amp;$A43&amp;"'!$A$2:$A$501"),"&gt;="&amp;$I43,INDIRECT("'"&amp;$A43&amp;"'!$A$2:$A$501"),"&lt;"&amp;($BA43+1)),0)))</f>
        <v/>
      </c>
      <c r="AV43" s="30" t="str">
        <f aca="true">IF(OR($A43="",$I43=""),"",IF($BC43="Y",SUMIFS(survey_frozen!$J$2:$J$251,survey_frozen!$P$2:$P$251,$A43&amp;"|"&amp;$B43),IFERROR(COUNTIFS(INDIRECT("'"&amp;$A43&amp;"'!$B$2:$B$501"),$T43,INDIRECT("'"&amp;$A43&amp;"'!$A$2:$A$501"),"&gt;="&amp;$I43,INDIRECT("'"&amp;$A43&amp;"'!$A$2:$A$501"),"&lt;"&amp;($BA43+1),INDIRECT("'"&amp;$A43&amp;"'!$E$2:$E$501"),"Yes"),0)))</f>
        <v/>
      </c>
      <c r="AW43" s="30" t="str">
        <f aca="true">IF(OR($A43="",$I43=""),"",IF($BC43="Y",SUMIFS(survey_frozen!$K$2:$K$251,survey_frozen!$P$2:$P$251,$A43&amp;"|"&amp;$B43),IFERROR(COUNTIFS(INDIRECT("'"&amp;$A43&amp;"'!$B$2:$B$501"),$T43,INDIRECT("'"&amp;$A43&amp;"'!$A$2:$A$501"),"&gt;="&amp;$I43,INDIRECT("'"&amp;$A43&amp;"'!$A$2:$A$501"),"&lt;"&amp;($BA43+1),INDIRECT("'"&amp;$A43&amp;"'!$E$2:$E$501"),"Maybe"),0)))</f>
        <v/>
      </c>
      <c r="AX43" s="30" t="str">
        <f aca="true">IF(OR($A43="",$I43=""),"",IF($BC43="Y",SUMIFS(survey_frozen!$L$2:$L$251,survey_frozen!$P$2:$P$251,$A43&amp;"|"&amp;$B43),IFERROR(COUNTIFS(INDIRECT("'"&amp;$A43&amp;"'!$B$2:$B$501"),$T43,INDIRECT("'"&amp;$A43&amp;"'!$A$2:$A$501"),"&gt;="&amp;$I43,INDIRECT("'"&amp;$A43&amp;"'!$A$2:$A$501"),"&lt;"&amp;($BA43+1),INDIRECT("'"&amp;$A43&amp;"'!$E$2:$E$501"),"No"),0)))</f>
        <v/>
      </c>
      <c r="AY43" s="30" t="str">
        <f aca="true">IF(OR($A43="",$I43=""),"",IF($BC43="Y",SUMIFS(survey_frozen!$M$2:$M$251,survey_frozen!$P$2:$P$251,$A43&amp;"|"&amp;$B43),IFERROR(COUNTIFS(INDIRECT("'"&amp;$A43&amp;"'!$B$2:$B$501"),$T43,INDIRECT("'"&amp;$A43&amp;"'!$A$2:$A$501"),"&gt;="&amp;$I43,INDIRECT("'"&amp;$A43&amp;"'!$A$2:$A$501"),"&lt;"&amp;($BA43+1),INDIRECT("'"&amp;$A43&amp;"'!$G$2:$G$501"),"&lt;&gt;"),0)))</f>
        <v/>
      </c>
      <c r="AZ43" s="30" t="str">
        <f aca="false">IF($A43="","",$A43&amp;"|"&amp;$L43)</f>
        <v/>
      </c>
      <c r="BA43" s="31" t="str">
        <f aca="false">IF($A43="","",IFERROR(IF(INDEX(drops!$R$2:$R$21,MATCH($H43,drops!$A$2:$A$21,0))="","",INDEX(drops!$R$2:$R$21,MATCH($H43,drops!$A$2:$A$21,0))),""))</f>
        <v/>
      </c>
      <c r="BB43" s="30" t="n">
        <f aca="false">IF(OR($A43="",$Q43&lt;&gt;"Y"),1000000,N($AL43))</f>
        <v>1000000</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C44" s="11"/>
      <c r="D44" s="10"/>
      <c r="E44" s="11"/>
      <c r="H44" s="30" t="str">
        <f aca="false">IF($A44="","",IFERROR(IF(INDEX(campaigns!$B$2:$B$51,MATCH($A44,campaigns!$A$2:$A$51,0))="","",INDEX(campaigns!$B$2:$B$51,MATCH($A44,campaigns!$A$2:$A$51,0))),""))</f>
        <v/>
      </c>
      <c r="I44" s="31" t="str">
        <f aca="false">IF($A44="","",IFERROR(IF(INDEX(campaigns!$BG$2:$BG$51,MATCH($A44,campaigns!$A$2:$A$51,0))="","",INDEX(campaigns!$BG$2:$BG$51,MATCH($A44,campaigns!$A$2:$A$51,0))),""))</f>
        <v/>
      </c>
      <c r="J44" s="30" t="str">
        <f aca="false">IF($A44="","",IFERROR(IF(INDEX(campaigns!$BE$2:$BE$51,MATCH($A44,campaigns!$A$2:$A$51,0))="","",INDEX(campaigns!$BE$2:$BE$51,MATCH($A44,campaigns!$A$2:$A$51,0))),""))</f>
        <v/>
      </c>
      <c r="K44" s="30" t="str">
        <f aca="false">IF($B44="","",IFERROR(IF(INDEX(offices!$O$2:$O$61,MATCH($B44,offices!$A$2:$A$61,0))="","",INDEX(offices!$O$2:$O$61,MATCH($B44,offices!$A$2:$A$61,0))),""))</f>
        <v/>
      </c>
      <c r="L44" s="30" t="str">
        <f aca="false">IF($A44="","",IF($Q44="N","",COUNTIFS($A$2:$A44,$A44,$Q$2:$Q44,"&lt;&gt;N")))</f>
        <v/>
      </c>
      <c r="M44" s="30" t="str">
        <f aca="false">IF(OR($A44="",$L44=""),"",IF(AND(config!$B$34="names_if_public",IFERROR(IF(INDEX(offices!$AG$2:$AG$61,MATCH($B44,offices!$A$2:$A$61,0))="","",INDEX(offices!$AG$2:$AG$61,MATCH($B44,offices!$A$2:$A$61,0))),"")="Y"),$K44,CHAR(64+$L44)))</f>
        <v/>
      </c>
      <c r="N44" s="30" t="str">
        <f aca="false">IF(OR($A44="",$I44=""),"",COUNTIFS(stops!$B$2:$B$151,$B44,stops!$P$2:$P$151,"&lt;"&amp;$I44,stops!$L$2:$L$151,"&lt;&gt;not_delivered")+1)</f>
        <v/>
      </c>
      <c r="O44" s="30" t="str">
        <f aca="false">IF($A44="","",IF(N($N44)&lt;=config!$B$29,"explicit","opt-out"))</f>
        <v/>
      </c>
      <c r="P44" s="30" t="str">
        <f aca="false">IF($A44="","",IF($O44="explicit",IF($D44="yes","Y",IF($D44="no","N","pending")),IF($D44="no","N",IF(AND($C44&lt;&gt;"",$I44&lt;&gt;"",$C44&lt;=WORKDAY(N($I44),-5,calendar!$A$2:$A$80)),"Y","pending"))))</f>
        <v/>
      </c>
      <c r="Q44" s="30" t="str">
        <f aca="false">IF($A44="","",IF($P44="N","N",IF($P44&lt;&gt;"Y","pending",IF(AND((COUNTIFS(stops!$A$2:$A$151,$H44,stops!$B$2:$B$151,$B44,stops!$L$2:$L$151,"declined")+COUNTIFS(stops!$A$2:$A$151,$H44,stops!$B$2:$B$151,$B44,stops!$L$2:$L$151,"building_refused")+COUNTIFS(stops!$A$2:$A$151,$H44,stops!$B$2:$B$151,$B44,stops!$L$2:$L$151,"not_delivered"))&gt;0,N($U44)=0),"N","Y"))))</f>
        <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str">
        <f aca="false">IF($A44="","",IF($G44&lt;&gt;"",$G44,IFERROR(IF(INDEX(offices!$AM$2:$AM$61,MATCH($B44,offices!$A$2:$A$61,0))="","",INDEX(offices!$AM$2:$AM$61,MATCH($B44,offices!$A$2:$A$61,0))),"")))</f>
        <v/>
      </c>
      <c r="T44" s="30" t="str">
        <f aca="false">IF($A44="","",$A44&amp;"."&amp;$B44)</f>
        <v/>
      </c>
      <c r="U44" s="30" t="str">
        <f aca="false">IF($A44="","",SUMIFS(inventory!$G$2:$G$801,inventory!$C$2:$C$801,$A44,inventory!$D$2:$D$801,$B44,inventory!$E$2:$E$801,"delivered"))</f>
        <v/>
      </c>
      <c r="V44" s="37" t="str">
        <f aca="false">IF($A44="","",IFERROR(1/(1/SUMPRODUCT(MAX((inventory!$C$2:$C$801=$A44)*(inventory!$D$2:$D$801=$B44)*(inventory!$E$2:$E$801="delivered")*(inventory!$A$2:$A$801+inventory!$B$2:$B$801)))),""))</f>
        <v/>
      </c>
      <c r="W44" s="30" t="str">
        <f aca="false">IF($A44="","",IFERROR(IF(INDEX(inventory!$J$2:$J$801,MATCH($A44&amp;"|"&amp;$B44&amp;"|delivered",inventory!$R$2:$R$801,0))="","",INDEX(inventory!$J$2:$J$801,MATCH($A44&amp;"|"&amp;$B44&amp;"|delivered",inventory!$R$2:$R$801,0))),""))</f>
        <v/>
      </c>
      <c r="X44" s="30" t="str">
        <f aca="false">IF($A44="","",IFERROR(IF(INDEX(photos!$H$2:$H$701,MATCH($A44&amp;"|"&amp;$B44&amp;"|placement|Y",photos!$R$2:$R$701,0))="","",INDEX(photos!$H$2:$H$701,MATCH($A44&amp;"|"&amp;$B44&amp;"|placement|Y",photos!$R$2:$R$701,0))),""))</f>
        <v/>
      </c>
      <c r="Y44" s="31" t="str">
        <f aca="false">IF($A44="","",IFERROR(IF(INDEX(photos!$E$2:$E$701,MATCH($A44&amp;"|"&amp;$B44&amp;"|placement|Y",photos!$R$2:$R$701,0))="","",INDEX(photos!$E$2:$E$701,MATCH($A44&amp;"|"&amp;$B44&amp;"|placement|Y",photos!$R$2:$R$701,0))),""))</f>
        <v/>
      </c>
      <c r="Z44" s="30" t="str">
        <f aca="false">IF($A44="","",IF(COUNTIFS(counts!$C$2:$C$701,$A44,counts!$D$2:$D$701,$B44,counts!$E$2:$E$701,"placed")=0,"",SUMIFS(counts!$F$2:$F$701,counts!$C$2:$C$701,$A44,counts!$D$2:$D$701,$B44,counts!$E$2:$E$701,"placed")))</f>
        <v/>
      </c>
      <c r="AA44" s="30" t="str">
        <f aca="false">IF($A44="","",IF($Y44="",0,N($Z44)))</f>
        <v/>
      </c>
      <c r="AB44" s="30" t="str">
        <f aca="false">IF($A44="","",IF(OR($Y44="",$I44=""),"N",IF($Y44&lt;=WORKDAY(N($I44),1,calendar!$A$2:$A$80),"Y","N")))</f>
        <v/>
      </c>
      <c r="AC44" s="33" t="str">
        <f aca="false">IF(OR($A44="",$V44="",$Y44=""),"",ROUND(($Y44+N(IFERROR(IF(INDEX(photos!$F$2:$F$701,MATCH($A44&amp;"|"&amp;$B44&amp;"|placement|Y",photos!$R$2:$R$701,0))="","",INDEX(photos!$F$2:$F$701,MATCH($A44&amp;"|"&amp;$B44&amp;"|placement|Y",photos!$R$2:$R$701,0))),""))-$V44)*24,1))</f>
        <v/>
      </c>
      <c r="AD44" s="30" t="str">
        <f aca="false">IF($A44="","",SUMIFS(inventory!$G$2:$G$801,inventory!$C$2:$C$801,$A44,inventory!$D$2:$D$801,$B44,inventory!$E$2:$E$801,"topped_up"))</f>
        <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
      </c>
      <c r="AL44" s="30" t="str">
        <f aca="true">IF(OR($A44="",$I44=""),"",IF($BC44="Y",SUMIFS(survey_frozen!$C$2:$C$251,survey_frozen!$P$2:$P$251,$A44&amp;"|"&amp;$B44),IFERROR(COUNTIFS(INDIRECT("'"&amp;$A44&amp;"'!$B$2:$B$501"),$T44,INDIRECT("'"&amp;$A44&amp;"'!$A$2:$A$501"),"&gt;="&amp;$I44,INDIRECT("'"&amp;$A44&amp;"'!$A$2:$A$501"),"&lt;"&amp;($BA44+1)),0)))</f>
        <v/>
      </c>
      <c r="AM44" s="30" t="str">
        <f aca="true">IF(OR($A44="",$I44=""),"",IF($BC44="Y",SUMIFS(survey_frozen!$D$2:$D$251,survey_frozen!$P$2:$P$251,$A44&amp;"|"&amp;$B44),IFERROR(COUNTIFS(INDIRECT("'"&amp;$A44&amp;"'!$B$2:$B$501"),$T44,INDIRECT("'"&amp;$A44&amp;"'!$A$2:$A$501"),"&gt;="&amp;$I44,INDIRECT("'"&amp;$A44&amp;"'!$A$2:$A$501"),"&lt;"&amp;($BA44+1),INDIRECT("'"&amp;$A44&amp;"'!$C$2:$C$501"),"Yes"),0)))</f>
        <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str">
        <f aca="true">IF(OR($A44="",$I44=""),"",IF($BC44="Y",SUMIFS(survey_frozen!$E$2:$E$251,survey_frozen!$P$2:$P$251,$A44&amp;"|"&amp;$B44),IFERROR(COUNTIFS(INDIRECT("'"&amp;$A44&amp;"'!$B$2:$B$501"),$T44,INDIRECT("'"&amp;$A44&amp;"'!$A$2:$A$501"),"&gt;="&amp;$I44,INDIRECT("'"&amp;$A44&amp;"'!$A$2:$A$501"),"&lt;"&amp;($BA44+1),INDIRECT("'"&amp;$A44&amp;"'!$F$2:$F$501"),"Didn't see it"),0)))</f>
        <v/>
      </c>
      <c r="AR44" s="30" t="str">
        <f aca="true">IF(OR($A44="",$I44=""),"",IF($BC44="Y",SUMIFS(survey_frozen!$F$2:$F$251,survey_frozen!$P$2:$P$251,$A44&amp;"|"&amp;$B44),IFERROR(COUNTIFS(INDIRECT("'"&amp;$A44&amp;"'!$B$2:$B$501"),$T44,INDIRECT("'"&amp;$A44&amp;"'!$A$2:$A$501"),"&gt;="&amp;$I44,INDIRECT("'"&amp;$A44&amp;"'!$A$2:$A$501"),"&lt;"&amp;($BA44+1),INDIRECT("'"&amp;$A44&amp;"'!$F$2:$F$501"),"Not for me"),0)))</f>
        <v/>
      </c>
      <c r="AS44" s="30" t="str">
        <f aca="true">IF(OR($A44="",$I44=""),"",IF($BC44="Y",SUMIFS(survey_frozen!$G$2:$G$251,survey_frozen!$P$2:$P$251,$A44&amp;"|"&amp;$B44),IFERROR(COUNTIFS(INDIRECT("'"&amp;$A44&amp;"'!$B$2:$B$501"),$T44,INDIRECT("'"&amp;$A44&amp;"'!$A$2:$A$501"),"&gt;="&amp;$I44,INDIRECT("'"&amp;$A44&amp;"'!$A$2:$A$501"),"&lt;"&amp;($BA44+1),INDIRECT("'"&amp;$A44&amp;"'!$F$2:$F$501"),"Gone by the time I looked"),0)))</f>
        <v/>
      </c>
      <c r="AT44" s="30" t="str">
        <f aca="true">IF(OR($A44="",$I44=""),"",IF($BC44="Y",SUMIFS(survey_frozen!$H$2:$H$251,survey_frozen!$P$2:$P$251,$A44&amp;"|"&amp;$B44),IFERROR(COUNTIFS(INDIRECT("'"&amp;$A44&amp;"'!$B$2:$B$501"),$T44,INDIRECT("'"&amp;$A44&amp;"'!$A$2:$A$501"),"&gt;="&amp;$I44,INDIRECT("'"&amp;$A44&amp;"'!$A$2:$A$501"),"&lt;"&amp;($BA44+1),INDIRECT("'"&amp;$A44&amp;"'!$D$2:$D$501"),"&gt;=1"),0)))</f>
        <v/>
      </c>
      <c r="AU44" s="30" t="str">
        <f aca="true">IF(OR($A44="",$I44=""),"",IF($BC44="Y",SUMIFS(survey_frozen!$I$2:$I$251,survey_frozen!$P$2:$P$251,$A44&amp;"|"&amp;$B44),IFERROR(SUMIFS(INDIRECT("'"&amp;$A44&amp;"'!$D$2:$D$501"),INDIRECT("'"&amp;$A44&amp;"'!$B$2:$B$501"),$T44,INDIRECT("'"&amp;$A44&amp;"'!$A$2:$A$501"),"&gt;="&amp;$I44,INDIRECT("'"&amp;$A44&amp;"'!$A$2:$A$501"),"&lt;"&amp;($BA44+1)),0)))</f>
        <v/>
      </c>
      <c r="AV44" s="30" t="str">
        <f aca="true">IF(OR($A44="",$I44=""),"",IF($BC44="Y",SUMIFS(survey_frozen!$J$2:$J$251,survey_frozen!$P$2:$P$251,$A44&amp;"|"&amp;$B44),IFERROR(COUNTIFS(INDIRECT("'"&amp;$A44&amp;"'!$B$2:$B$501"),$T44,INDIRECT("'"&amp;$A44&amp;"'!$A$2:$A$501"),"&gt;="&amp;$I44,INDIRECT("'"&amp;$A44&amp;"'!$A$2:$A$501"),"&lt;"&amp;($BA44+1),INDIRECT("'"&amp;$A44&amp;"'!$E$2:$E$501"),"Yes"),0)))</f>
        <v/>
      </c>
      <c r="AW44" s="30" t="str">
        <f aca="true">IF(OR($A44="",$I44=""),"",IF($BC44="Y",SUMIFS(survey_frozen!$K$2:$K$251,survey_frozen!$P$2:$P$251,$A44&amp;"|"&amp;$B44),IFERROR(COUNTIFS(INDIRECT("'"&amp;$A44&amp;"'!$B$2:$B$501"),$T44,INDIRECT("'"&amp;$A44&amp;"'!$A$2:$A$501"),"&gt;="&amp;$I44,INDIRECT("'"&amp;$A44&amp;"'!$A$2:$A$501"),"&lt;"&amp;($BA44+1),INDIRECT("'"&amp;$A44&amp;"'!$E$2:$E$501"),"Maybe"),0)))</f>
        <v/>
      </c>
      <c r="AX44" s="30" t="str">
        <f aca="true">IF(OR($A44="",$I44=""),"",IF($BC44="Y",SUMIFS(survey_frozen!$L$2:$L$251,survey_frozen!$P$2:$P$251,$A44&amp;"|"&amp;$B44),IFERROR(COUNTIFS(INDIRECT("'"&amp;$A44&amp;"'!$B$2:$B$501"),$T44,INDIRECT("'"&amp;$A44&amp;"'!$A$2:$A$501"),"&gt;="&amp;$I44,INDIRECT("'"&amp;$A44&amp;"'!$A$2:$A$501"),"&lt;"&amp;($BA44+1),INDIRECT("'"&amp;$A44&amp;"'!$E$2:$E$501"),"No"),0)))</f>
        <v/>
      </c>
      <c r="AY44" s="30" t="str">
        <f aca="true">IF(OR($A44="",$I44=""),"",IF($BC44="Y",SUMIFS(survey_frozen!$M$2:$M$251,survey_frozen!$P$2:$P$251,$A44&amp;"|"&amp;$B44),IFERROR(COUNTIFS(INDIRECT("'"&amp;$A44&amp;"'!$B$2:$B$501"),$T44,INDIRECT("'"&amp;$A44&amp;"'!$A$2:$A$501"),"&gt;="&amp;$I44,INDIRECT("'"&amp;$A44&amp;"'!$A$2:$A$501"),"&lt;"&amp;($BA44+1),INDIRECT("'"&amp;$A44&amp;"'!$G$2:$G$501"),"&lt;&gt;"),0)))</f>
        <v/>
      </c>
      <c r="AZ44" s="30" t="str">
        <f aca="false">IF($A44="","",$A44&amp;"|"&amp;$L44)</f>
        <v/>
      </c>
      <c r="BA44" s="31" t="str">
        <f aca="false">IF($A44="","",IFERROR(IF(INDEX(drops!$R$2:$R$21,MATCH($H44,drops!$A$2:$A$21,0))="","",INDEX(drops!$R$2:$R$21,MATCH($H44,drops!$A$2:$A$21,0))),""))</f>
        <v/>
      </c>
      <c r="BB44" s="30" t="n">
        <f aca="false">IF(OR($A44="",$Q44&lt;&gt;"Y"),1000000,N($AL44))</f>
        <v>1000000</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C45" s="11"/>
      <c r="D45" s="10"/>
      <c r="E45" s="11"/>
      <c r="H45" s="30" t="str">
        <f aca="false">IF($A45="","",IFERROR(IF(INDEX(campaigns!$B$2:$B$51,MATCH($A45,campaigns!$A$2:$A$51,0))="","",INDEX(campaigns!$B$2:$B$51,MATCH($A45,campaigns!$A$2:$A$51,0))),""))</f>
        <v/>
      </c>
      <c r="I45" s="31" t="str">
        <f aca="false">IF($A45="","",IFERROR(IF(INDEX(campaigns!$BG$2:$BG$51,MATCH($A45,campaigns!$A$2:$A$51,0))="","",INDEX(campaigns!$BG$2:$BG$51,MATCH($A45,campaigns!$A$2:$A$51,0))),""))</f>
        <v/>
      </c>
      <c r="J45" s="30" t="str">
        <f aca="false">IF($A45="","",IFERROR(IF(INDEX(campaigns!$BE$2:$BE$51,MATCH($A45,campaigns!$A$2:$A$51,0))="","",INDEX(campaigns!$BE$2:$BE$51,MATCH($A45,campaigns!$A$2:$A$51,0))),""))</f>
        <v/>
      </c>
      <c r="K45" s="30" t="str">
        <f aca="false">IF($B45="","",IFERROR(IF(INDEX(offices!$O$2:$O$61,MATCH($B45,offices!$A$2:$A$61,0))="","",INDEX(offices!$O$2:$O$61,MATCH($B45,offices!$A$2:$A$61,0))),""))</f>
        <v/>
      </c>
      <c r="L45" s="30" t="str">
        <f aca="false">IF($A45="","",IF($Q45="N","",COUNTIFS($A$2:$A45,$A45,$Q$2:$Q45,"&lt;&gt;N")))</f>
        <v/>
      </c>
      <c r="M45" s="30" t="str">
        <f aca="false">IF(OR($A45="",$L45=""),"",IF(AND(config!$B$34="names_if_public",IFERROR(IF(INDEX(offices!$AG$2:$AG$61,MATCH($B45,offices!$A$2:$A$61,0))="","",INDEX(offices!$AG$2:$AG$61,MATCH($B45,offices!$A$2:$A$61,0))),"")="Y"),$K45,CHAR(64+$L45)))</f>
        <v/>
      </c>
      <c r="N45" s="30" t="str">
        <f aca="false">IF(OR($A45="",$I45=""),"",COUNTIFS(stops!$B$2:$B$151,$B45,stops!$P$2:$P$151,"&lt;"&amp;$I45,stops!$L$2:$L$151,"&lt;&gt;not_delivered")+1)</f>
        <v/>
      </c>
      <c r="O45" s="30" t="str">
        <f aca="false">IF($A45="","",IF(N($N45)&lt;=config!$B$29,"explicit","opt-out"))</f>
        <v/>
      </c>
      <c r="P45" s="30" t="str">
        <f aca="false">IF($A45="","",IF($O45="explicit",IF($D45="yes","Y",IF($D45="no","N","pending")),IF($D45="no","N",IF(AND($C45&lt;&gt;"",$I45&lt;&gt;"",$C45&lt;=WORKDAY(N($I45),-5,calendar!$A$2:$A$80)),"Y","pending"))))</f>
        <v/>
      </c>
      <c r="Q45" s="30" t="str">
        <f aca="false">IF($A45="","",IF($P45="N","N",IF($P45&lt;&gt;"Y","pending",IF(AND((COUNTIFS(stops!$A$2:$A$151,$H45,stops!$B$2:$B$151,$B45,stops!$L$2:$L$151,"declined")+COUNTIFS(stops!$A$2:$A$151,$H45,stops!$B$2:$B$151,$B45,stops!$L$2:$L$151,"building_refused")+COUNTIFS(stops!$A$2:$A$151,$H45,stops!$B$2:$B$151,$B45,stops!$L$2:$L$151,"not_delivered"))&gt;0,N($U45)=0),"N","Y"))))</f>
        <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str">
        <f aca="false">IF($A45="","",IF($G45&lt;&gt;"",$G45,IFERROR(IF(INDEX(offices!$AM$2:$AM$61,MATCH($B45,offices!$A$2:$A$61,0))="","",INDEX(offices!$AM$2:$AM$61,MATCH($B45,offices!$A$2:$A$61,0))),"")))</f>
        <v/>
      </c>
      <c r="T45" s="30" t="str">
        <f aca="false">IF($A45="","",$A45&amp;"."&amp;$B45)</f>
        <v/>
      </c>
      <c r="U45" s="30" t="str">
        <f aca="false">IF($A45="","",SUMIFS(inventory!$G$2:$G$801,inventory!$C$2:$C$801,$A45,inventory!$D$2:$D$801,$B45,inventory!$E$2:$E$801,"delivered"))</f>
        <v/>
      </c>
      <c r="V45" s="37" t="str">
        <f aca="false">IF($A45="","",IFERROR(1/(1/SUMPRODUCT(MAX((inventory!$C$2:$C$801=$A45)*(inventory!$D$2:$D$801=$B45)*(inventory!$E$2:$E$801="delivered")*(inventory!$A$2:$A$801+inventory!$B$2:$B$801)))),""))</f>
        <v/>
      </c>
      <c r="W45" s="30" t="str">
        <f aca="false">IF($A45="","",IFERROR(IF(INDEX(inventory!$J$2:$J$801,MATCH($A45&amp;"|"&amp;$B45&amp;"|delivered",inventory!$R$2:$R$801,0))="","",INDEX(inventory!$J$2:$J$801,MATCH($A45&amp;"|"&amp;$B45&amp;"|delivered",inventory!$R$2:$R$801,0))),""))</f>
        <v/>
      </c>
      <c r="X45" s="30" t="str">
        <f aca="false">IF($A45="","",IFERROR(IF(INDEX(photos!$H$2:$H$701,MATCH($A45&amp;"|"&amp;$B45&amp;"|placement|Y",photos!$R$2:$R$701,0))="","",INDEX(photos!$H$2:$H$701,MATCH($A45&amp;"|"&amp;$B45&amp;"|placement|Y",photos!$R$2:$R$701,0))),""))</f>
        <v/>
      </c>
      <c r="Y45" s="31" t="str">
        <f aca="false">IF($A45="","",IFERROR(IF(INDEX(photos!$E$2:$E$701,MATCH($A45&amp;"|"&amp;$B45&amp;"|placement|Y",photos!$R$2:$R$701,0))="","",INDEX(photos!$E$2:$E$701,MATCH($A45&amp;"|"&amp;$B45&amp;"|placement|Y",photos!$R$2:$R$701,0))),""))</f>
        <v/>
      </c>
      <c r="Z45" s="30" t="str">
        <f aca="false">IF($A45="","",IF(COUNTIFS(counts!$C$2:$C$701,$A45,counts!$D$2:$D$701,$B45,counts!$E$2:$E$701,"placed")=0,"",SUMIFS(counts!$F$2:$F$701,counts!$C$2:$C$701,$A45,counts!$D$2:$D$701,$B45,counts!$E$2:$E$701,"placed")))</f>
        <v/>
      </c>
      <c r="AA45" s="30" t="str">
        <f aca="false">IF($A45="","",IF($Y45="",0,N($Z45)))</f>
        <v/>
      </c>
      <c r="AB45" s="30" t="str">
        <f aca="false">IF($A45="","",IF(OR($Y45="",$I45=""),"N",IF($Y45&lt;=WORKDAY(N($I45),1,calendar!$A$2:$A$80),"Y","N")))</f>
        <v/>
      </c>
      <c r="AC45" s="33" t="str">
        <f aca="false">IF(OR($A45="",$V45="",$Y45=""),"",ROUND(($Y45+N(IFERROR(IF(INDEX(photos!$F$2:$F$701,MATCH($A45&amp;"|"&amp;$B45&amp;"|placement|Y",photos!$R$2:$R$701,0))="","",INDEX(photos!$F$2:$F$701,MATCH($A45&amp;"|"&amp;$B45&amp;"|placement|Y",photos!$R$2:$R$701,0))),""))-$V45)*24,1))</f>
        <v/>
      </c>
      <c r="AD45" s="30" t="str">
        <f aca="false">IF($A45="","",SUMIFS(inventory!$G$2:$G$801,inventory!$C$2:$C$801,$A45,inventory!$D$2:$D$801,$B45,inventory!$E$2:$E$801,"topped_up"))</f>
        <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
      </c>
      <c r="AL45" s="30" t="str">
        <f aca="true">IF(OR($A45="",$I45=""),"",IF($BC45="Y",SUMIFS(survey_frozen!$C$2:$C$251,survey_frozen!$P$2:$P$251,$A45&amp;"|"&amp;$B45),IFERROR(COUNTIFS(INDIRECT("'"&amp;$A45&amp;"'!$B$2:$B$501"),$T45,INDIRECT("'"&amp;$A45&amp;"'!$A$2:$A$501"),"&gt;="&amp;$I45,INDIRECT("'"&amp;$A45&amp;"'!$A$2:$A$501"),"&lt;"&amp;($BA45+1)),0)))</f>
        <v/>
      </c>
      <c r="AM45" s="30" t="str">
        <f aca="true">IF(OR($A45="",$I45=""),"",IF($BC45="Y",SUMIFS(survey_frozen!$D$2:$D$251,survey_frozen!$P$2:$P$251,$A45&amp;"|"&amp;$B45),IFERROR(COUNTIFS(INDIRECT("'"&amp;$A45&amp;"'!$B$2:$B$501"),$T45,INDIRECT("'"&amp;$A45&amp;"'!$A$2:$A$501"),"&gt;="&amp;$I45,INDIRECT("'"&amp;$A45&amp;"'!$A$2:$A$501"),"&lt;"&amp;($BA45+1),INDIRECT("'"&amp;$A45&amp;"'!$C$2:$C$501"),"Yes"),0)))</f>
        <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str">
        <f aca="true">IF(OR($A45="",$I45=""),"",IF($BC45="Y",SUMIFS(survey_frozen!$E$2:$E$251,survey_frozen!$P$2:$P$251,$A45&amp;"|"&amp;$B45),IFERROR(COUNTIFS(INDIRECT("'"&amp;$A45&amp;"'!$B$2:$B$501"),$T45,INDIRECT("'"&amp;$A45&amp;"'!$A$2:$A$501"),"&gt;="&amp;$I45,INDIRECT("'"&amp;$A45&amp;"'!$A$2:$A$501"),"&lt;"&amp;($BA45+1),INDIRECT("'"&amp;$A45&amp;"'!$F$2:$F$501"),"Didn't see it"),0)))</f>
        <v/>
      </c>
      <c r="AR45" s="30" t="str">
        <f aca="true">IF(OR($A45="",$I45=""),"",IF($BC45="Y",SUMIFS(survey_frozen!$F$2:$F$251,survey_frozen!$P$2:$P$251,$A45&amp;"|"&amp;$B45),IFERROR(COUNTIFS(INDIRECT("'"&amp;$A45&amp;"'!$B$2:$B$501"),$T45,INDIRECT("'"&amp;$A45&amp;"'!$A$2:$A$501"),"&gt;="&amp;$I45,INDIRECT("'"&amp;$A45&amp;"'!$A$2:$A$501"),"&lt;"&amp;($BA45+1),INDIRECT("'"&amp;$A45&amp;"'!$F$2:$F$501"),"Not for me"),0)))</f>
        <v/>
      </c>
      <c r="AS45" s="30" t="str">
        <f aca="true">IF(OR($A45="",$I45=""),"",IF($BC45="Y",SUMIFS(survey_frozen!$G$2:$G$251,survey_frozen!$P$2:$P$251,$A45&amp;"|"&amp;$B45),IFERROR(COUNTIFS(INDIRECT("'"&amp;$A45&amp;"'!$B$2:$B$501"),$T45,INDIRECT("'"&amp;$A45&amp;"'!$A$2:$A$501"),"&gt;="&amp;$I45,INDIRECT("'"&amp;$A45&amp;"'!$A$2:$A$501"),"&lt;"&amp;($BA45+1),INDIRECT("'"&amp;$A45&amp;"'!$F$2:$F$501"),"Gone by the time I looked"),0)))</f>
        <v/>
      </c>
      <c r="AT45" s="30" t="str">
        <f aca="true">IF(OR($A45="",$I45=""),"",IF($BC45="Y",SUMIFS(survey_frozen!$H$2:$H$251,survey_frozen!$P$2:$P$251,$A45&amp;"|"&amp;$B45),IFERROR(COUNTIFS(INDIRECT("'"&amp;$A45&amp;"'!$B$2:$B$501"),$T45,INDIRECT("'"&amp;$A45&amp;"'!$A$2:$A$501"),"&gt;="&amp;$I45,INDIRECT("'"&amp;$A45&amp;"'!$A$2:$A$501"),"&lt;"&amp;($BA45+1),INDIRECT("'"&amp;$A45&amp;"'!$D$2:$D$501"),"&gt;=1"),0)))</f>
        <v/>
      </c>
      <c r="AU45" s="30" t="str">
        <f aca="true">IF(OR($A45="",$I45=""),"",IF($BC45="Y",SUMIFS(survey_frozen!$I$2:$I$251,survey_frozen!$P$2:$P$251,$A45&amp;"|"&amp;$B45),IFERROR(SUMIFS(INDIRECT("'"&amp;$A45&amp;"'!$D$2:$D$501"),INDIRECT("'"&amp;$A45&amp;"'!$B$2:$B$501"),$T45,INDIRECT("'"&amp;$A45&amp;"'!$A$2:$A$501"),"&gt;="&amp;$I45,INDIRECT("'"&amp;$A45&amp;"'!$A$2:$A$501"),"&lt;"&amp;($BA45+1)),0)))</f>
        <v/>
      </c>
      <c r="AV45" s="30" t="str">
        <f aca="true">IF(OR($A45="",$I45=""),"",IF($BC45="Y",SUMIFS(survey_frozen!$J$2:$J$251,survey_frozen!$P$2:$P$251,$A45&amp;"|"&amp;$B45),IFERROR(COUNTIFS(INDIRECT("'"&amp;$A45&amp;"'!$B$2:$B$501"),$T45,INDIRECT("'"&amp;$A45&amp;"'!$A$2:$A$501"),"&gt;="&amp;$I45,INDIRECT("'"&amp;$A45&amp;"'!$A$2:$A$501"),"&lt;"&amp;($BA45+1),INDIRECT("'"&amp;$A45&amp;"'!$E$2:$E$501"),"Yes"),0)))</f>
        <v/>
      </c>
      <c r="AW45" s="30" t="str">
        <f aca="true">IF(OR($A45="",$I45=""),"",IF($BC45="Y",SUMIFS(survey_frozen!$K$2:$K$251,survey_frozen!$P$2:$P$251,$A45&amp;"|"&amp;$B45),IFERROR(COUNTIFS(INDIRECT("'"&amp;$A45&amp;"'!$B$2:$B$501"),$T45,INDIRECT("'"&amp;$A45&amp;"'!$A$2:$A$501"),"&gt;="&amp;$I45,INDIRECT("'"&amp;$A45&amp;"'!$A$2:$A$501"),"&lt;"&amp;($BA45+1),INDIRECT("'"&amp;$A45&amp;"'!$E$2:$E$501"),"Maybe"),0)))</f>
        <v/>
      </c>
      <c r="AX45" s="30" t="str">
        <f aca="true">IF(OR($A45="",$I45=""),"",IF($BC45="Y",SUMIFS(survey_frozen!$L$2:$L$251,survey_frozen!$P$2:$P$251,$A45&amp;"|"&amp;$B45),IFERROR(COUNTIFS(INDIRECT("'"&amp;$A45&amp;"'!$B$2:$B$501"),$T45,INDIRECT("'"&amp;$A45&amp;"'!$A$2:$A$501"),"&gt;="&amp;$I45,INDIRECT("'"&amp;$A45&amp;"'!$A$2:$A$501"),"&lt;"&amp;($BA45+1),INDIRECT("'"&amp;$A45&amp;"'!$E$2:$E$501"),"No"),0)))</f>
        <v/>
      </c>
      <c r="AY45" s="30" t="str">
        <f aca="true">IF(OR($A45="",$I45=""),"",IF($BC45="Y",SUMIFS(survey_frozen!$M$2:$M$251,survey_frozen!$P$2:$P$251,$A45&amp;"|"&amp;$B45),IFERROR(COUNTIFS(INDIRECT("'"&amp;$A45&amp;"'!$B$2:$B$501"),$T45,INDIRECT("'"&amp;$A45&amp;"'!$A$2:$A$501"),"&gt;="&amp;$I45,INDIRECT("'"&amp;$A45&amp;"'!$A$2:$A$501"),"&lt;"&amp;($BA45+1),INDIRECT("'"&amp;$A45&amp;"'!$G$2:$G$501"),"&lt;&gt;"),0)))</f>
        <v/>
      </c>
      <c r="AZ45" s="30" t="str">
        <f aca="false">IF($A45="","",$A45&amp;"|"&amp;$L45)</f>
        <v/>
      </c>
      <c r="BA45" s="31" t="str">
        <f aca="false">IF($A45="","",IFERROR(IF(INDEX(drops!$R$2:$R$21,MATCH($H45,drops!$A$2:$A$21,0))="","",INDEX(drops!$R$2:$R$21,MATCH($H45,drops!$A$2:$A$21,0))),""))</f>
        <v/>
      </c>
      <c r="BB45" s="30" t="n">
        <f aca="false">IF(OR($A45="",$Q45&lt;&gt;"Y"),1000000,N($AL45))</f>
        <v>1000000</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C46" s="11"/>
      <c r="D46" s="10"/>
      <c r="E46" s="11"/>
      <c r="H46" s="30" t="str">
        <f aca="false">IF($A46="","",IFERROR(IF(INDEX(campaigns!$B$2:$B$51,MATCH($A46,campaigns!$A$2:$A$51,0))="","",INDEX(campaigns!$B$2:$B$51,MATCH($A46,campaigns!$A$2:$A$51,0))),""))</f>
        <v/>
      </c>
      <c r="I46" s="31" t="str">
        <f aca="false">IF($A46="","",IFERROR(IF(INDEX(campaigns!$BG$2:$BG$51,MATCH($A46,campaigns!$A$2:$A$51,0))="","",INDEX(campaigns!$BG$2:$BG$51,MATCH($A46,campaigns!$A$2:$A$51,0))),""))</f>
        <v/>
      </c>
      <c r="J46" s="30" t="str">
        <f aca="false">IF($A46="","",IFERROR(IF(INDEX(campaigns!$BE$2:$BE$51,MATCH($A46,campaigns!$A$2:$A$51,0))="","",INDEX(campaigns!$BE$2:$BE$51,MATCH($A46,campaigns!$A$2:$A$51,0))),""))</f>
        <v/>
      </c>
      <c r="K46" s="30" t="str">
        <f aca="false">IF($B46="","",IFERROR(IF(INDEX(offices!$O$2:$O$61,MATCH($B46,offices!$A$2:$A$61,0))="","",INDEX(offices!$O$2:$O$61,MATCH($B46,offices!$A$2:$A$61,0))),""))</f>
        <v/>
      </c>
      <c r="L46" s="30" t="str">
        <f aca="false">IF($A46="","",IF($Q46="N","",COUNTIFS($A$2:$A46,$A46,$Q$2:$Q46,"&lt;&gt;N")))</f>
        <v/>
      </c>
      <c r="M46" s="30" t="str">
        <f aca="false">IF(OR($A46="",$L46=""),"",IF(AND(config!$B$34="names_if_public",IFERROR(IF(INDEX(offices!$AG$2:$AG$61,MATCH($B46,offices!$A$2:$A$61,0))="","",INDEX(offices!$AG$2:$AG$61,MATCH($B46,offices!$A$2:$A$61,0))),"")="Y"),$K46,CHAR(64+$L46)))</f>
        <v/>
      </c>
      <c r="N46" s="30" t="str">
        <f aca="false">IF(OR($A46="",$I46=""),"",COUNTIFS(stops!$B$2:$B$151,$B46,stops!$P$2:$P$151,"&lt;"&amp;$I46,stops!$L$2:$L$151,"&lt;&gt;not_delivered")+1)</f>
        <v/>
      </c>
      <c r="O46" s="30" t="str">
        <f aca="false">IF($A46="","",IF(N($N46)&lt;=config!$B$29,"explicit","opt-out"))</f>
        <v/>
      </c>
      <c r="P46" s="30" t="str">
        <f aca="false">IF($A46="","",IF($O46="explicit",IF($D46="yes","Y",IF($D46="no","N","pending")),IF($D46="no","N",IF(AND($C46&lt;&gt;"",$I46&lt;&gt;"",$C46&lt;=WORKDAY(N($I46),-5,calendar!$A$2:$A$80)),"Y","pending"))))</f>
        <v/>
      </c>
      <c r="Q46" s="30" t="str">
        <f aca="false">IF($A46="","",IF($P46="N","N",IF($P46&lt;&gt;"Y","pending",IF(AND((COUNTIFS(stops!$A$2:$A$151,$H46,stops!$B$2:$B$151,$B46,stops!$L$2:$L$151,"declined")+COUNTIFS(stops!$A$2:$A$151,$H46,stops!$B$2:$B$151,$B46,stops!$L$2:$L$151,"building_refused")+COUNTIFS(stops!$A$2:$A$151,$H46,stops!$B$2:$B$151,$B46,stops!$L$2:$L$151,"not_delivered"))&gt;0,N($U46)=0),"N","Y"))))</f>
        <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str">
        <f aca="false">IF($A46="","",IF($G46&lt;&gt;"",$G46,IFERROR(IF(INDEX(offices!$AM$2:$AM$61,MATCH($B46,offices!$A$2:$A$61,0))="","",INDEX(offices!$AM$2:$AM$61,MATCH($B46,offices!$A$2:$A$61,0))),"")))</f>
        <v/>
      </c>
      <c r="T46" s="30" t="str">
        <f aca="false">IF($A46="","",$A46&amp;"."&amp;$B46)</f>
        <v/>
      </c>
      <c r="U46" s="30" t="str">
        <f aca="false">IF($A46="","",SUMIFS(inventory!$G$2:$G$801,inventory!$C$2:$C$801,$A46,inventory!$D$2:$D$801,$B46,inventory!$E$2:$E$801,"delivered"))</f>
        <v/>
      </c>
      <c r="V46" s="37" t="str">
        <f aca="false">IF($A46="","",IFERROR(1/(1/SUMPRODUCT(MAX((inventory!$C$2:$C$801=$A46)*(inventory!$D$2:$D$801=$B46)*(inventory!$E$2:$E$801="delivered")*(inventory!$A$2:$A$801+inventory!$B$2:$B$801)))),""))</f>
        <v/>
      </c>
      <c r="W46" s="30" t="str">
        <f aca="false">IF($A46="","",IFERROR(IF(INDEX(inventory!$J$2:$J$801,MATCH($A46&amp;"|"&amp;$B46&amp;"|delivered",inventory!$R$2:$R$801,0))="","",INDEX(inventory!$J$2:$J$801,MATCH($A46&amp;"|"&amp;$B46&amp;"|delivered",inventory!$R$2:$R$801,0))),""))</f>
        <v/>
      </c>
      <c r="X46" s="30" t="str">
        <f aca="false">IF($A46="","",IFERROR(IF(INDEX(photos!$H$2:$H$701,MATCH($A46&amp;"|"&amp;$B46&amp;"|placement|Y",photos!$R$2:$R$701,0))="","",INDEX(photos!$H$2:$H$701,MATCH($A46&amp;"|"&amp;$B46&amp;"|placement|Y",photos!$R$2:$R$701,0))),""))</f>
        <v/>
      </c>
      <c r="Y46" s="31" t="str">
        <f aca="false">IF($A46="","",IFERROR(IF(INDEX(photos!$E$2:$E$701,MATCH($A46&amp;"|"&amp;$B46&amp;"|placement|Y",photos!$R$2:$R$701,0))="","",INDEX(photos!$E$2:$E$701,MATCH($A46&amp;"|"&amp;$B46&amp;"|placement|Y",photos!$R$2:$R$701,0))),""))</f>
        <v/>
      </c>
      <c r="Z46" s="30" t="str">
        <f aca="false">IF($A46="","",IF(COUNTIFS(counts!$C$2:$C$701,$A46,counts!$D$2:$D$701,$B46,counts!$E$2:$E$701,"placed")=0,"",SUMIFS(counts!$F$2:$F$701,counts!$C$2:$C$701,$A46,counts!$D$2:$D$701,$B46,counts!$E$2:$E$701,"placed")))</f>
        <v/>
      </c>
      <c r="AA46" s="30" t="str">
        <f aca="false">IF($A46="","",IF($Y46="",0,N($Z46)))</f>
        <v/>
      </c>
      <c r="AB46" s="30" t="str">
        <f aca="false">IF($A46="","",IF(OR($Y46="",$I46=""),"N",IF($Y46&lt;=WORKDAY(N($I46),1,calendar!$A$2:$A$80),"Y","N")))</f>
        <v/>
      </c>
      <c r="AC46" s="33" t="str">
        <f aca="false">IF(OR($A46="",$V46="",$Y46=""),"",ROUND(($Y46+N(IFERROR(IF(INDEX(photos!$F$2:$F$701,MATCH($A46&amp;"|"&amp;$B46&amp;"|placement|Y",photos!$R$2:$R$701,0))="","",INDEX(photos!$F$2:$F$701,MATCH($A46&amp;"|"&amp;$B46&amp;"|placement|Y",photos!$R$2:$R$701,0))),""))-$V46)*24,1))</f>
        <v/>
      </c>
      <c r="AD46" s="30" t="str">
        <f aca="false">IF($A46="","",SUMIFS(inventory!$G$2:$G$801,inventory!$C$2:$C$801,$A46,inventory!$D$2:$D$801,$B46,inventory!$E$2:$E$801,"topped_up"))</f>
        <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
      </c>
      <c r="AL46" s="30" t="str">
        <f aca="true">IF(OR($A46="",$I46=""),"",IF($BC46="Y",SUMIFS(survey_frozen!$C$2:$C$251,survey_frozen!$P$2:$P$251,$A46&amp;"|"&amp;$B46),IFERROR(COUNTIFS(INDIRECT("'"&amp;$A46&amp;"'!$B$2:$B$501"),$T46,INDIRECT("'"&amp;$A46&amp;"'!$A$2:$A$501"),"&gt;="&amp;$I46,INDIRECT("'"&amp;$A46&amp;"'!$A$2:$A$501"),"&lt;"&amp;($BA46+1)),0)))</f>
        <v/>
      </c>
      <c r="AM46" s="30" t="str">
        <f aca="true">IF(OR($A46="",$I46=""),"",IF($BC46="Y",SUMIFS(survey_frozen!$D$2:$D$251,survey_frozen!$P$2:$P$251,$A46&amp;"|"&amp;$B46),IFERROR(COUNTIFS(INDIRECT("'"&amp;$A46&amp;"'!$B$2:$B$501"),$T46,INDIRECT("'"&amp;$A46&amp;"'!$A$2:$A$501"),"&gt;="&amp;$I46,INDIRECT("'"&amp;$A46&amp;"'!$A$2:$A$501"),"&lt;"&amp;($BA46+1),INDIRECT("'"&amp;$A46&amp;"'!$C$2:$C$501"),"Yes"),0)))</f>
        <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str">
        <f aca="true">IF(OR($A46="",$I46=""),"",IF($BC46="Y",SUMIFS(survey_frozen!$E$2:$E$251,survey_frozen!$P$2:$P$251,$A46&amp;"|"&amp;$B46),IFERROR(COUNTIFS(INDIRECT("'"&amp;$A46&amp;"'!$B$2:$B$501"),$T46,INDIRECT("'"&amp;$A46&amp;"'!$A$2:$A$501"),"&gt;="&amp;$I46,INDIRECT("'"&amp;$A46&amp;"'!$A$2:$A$501"),"&lt;"&amp;($BA46+1),INDIRECT("'"&amp;$A46&amp;"'!$F$2:$F$501"),"Didn't see it"),0)))</f>
        <v/>
      </c>
      <c r="AR46" s="30" t="str">
        <f aca="true">IF(OR($A46="",$I46=""),"",IF($BC46="Y",SUMIFS(survey_frozen!$F$2:$F$251,survey_frozen!$P$2:$P$251,$A46&amp;"|"&amp;$B46),IFERROR(COUNTIFS(INDIRECT("'"&amp;$A46&amp;"'!$B$2:$B$501"),$T46,INDIRECT("'"&amp;$A46&amp;"'!$A$2:$A$501"),"&gt;="&amp;$I46,INDIRECT("'"&amp;$A46&amp;"'!$A$2:$A$501"),"&lt;"&amp;($BA46+1),INDIRECT("'"&amp;$A46&amp;"'!$F$2:$F$501"),"Not for me"),0)))</f>
        <v/>
      </c>
      <c r="AS46" s="30" t="str">
        <f aca="true">IF(OR($A46="",$I46=""),"",IF($BC46="Y",SUMIFS(survey_frozen!$G$2:$G$251,survey_frozen!$P$2:$P$251,$A46&amp;"|"&amp;$B46),IFERROR(COUNTIFS(INDIRECT("'"&amp;$A46&amp;"'!$B$2:$B$501"),$T46,INDIRECT("'"&amp;$A46&amp;"'!$A$2:$A$501"),"&gt;="&amp;$I46,INDIRECT("'"&amp;$A46&amp;"'!$A$2:$A$501"),"&lt;"&amp;($BA46+1),INDIRECT("'"&amp;$A46&amp;"'!$F$2:$F$501"),"Gone by the time I looked"),0)))</f>
        <v/>
      </c>
      <c r="AT46" s="30" t="str">
        <f aca="true">IF(OR($A46="",$I46=""),"",IF($BC46="Y",SUMIFS(survey_frozen!$H$2:$H$251,survey_frozen!$P$2:$P$251,$A46&amp;"|"&amp;$B46),IFERROR(COUNTIFS(INDIRECT("'"&amp;$A46&amp;"'!$B$2:$B$501"),$T46,INDIRECT("'"&amp;$A46&amp;"'!$A$2:$A$501"),"&gt;="&amp;$I46,INDIRECT("'"&amp;$A46&amp;"'!$A$2:$A$501"),"&lt;"&amp;($BA46+1),INDIRECT("'"&amp;$A46&amp;"'!$D$2:$D$501"),"&gt;=1"),0)))</f>
        <v/>
      </c>
      <c r="AU46" s="30" t="str">
        <f aca="true">IF(OR($A46="",$I46=""),"",IF($BC46="Y",SUMIFS(survey_frozen!$I$2:$I$251,survey_frozen!$P$2:$P$251,$A46&amp;"|"&amp;$B46),IFERROR(SUMIFS(INDIRECT("'"&amp;$A46&amp;"'!$D$2:$D$501"),INDIRECT("'"&amp;$A46&amp;"'!$B$2:$B$501"),$T46,INDIRECT("'"&amp;$A46&amp;"'!$A$2:$A$501"),"&gt;="&amp;$I46,INDIRECT("'"&amp;$A46&amp;"'!$A$2:$A$501"),"&lt;"&amp;($BA46+1)),0)))</f>
        <v/>
      </c>
      <c r="AV46" s="30" t="str">
        <f aca="true">IF(OR($A46="",$I46=""),"",IF($BC46="Y",SUMIFS(survey_frozen!$J$2:$J$251,survey_frozen!$P$2:$P$251,$A46&amp;"|"&amp;$B46),IFERROR(COUNTIFS(INDIRECT("'"&amp;$A46&amp;"'!$B$2:$B$501"),$T46,INDIRECT("'"&amp;$A46&amp;"'!$A$2:$A$501"),"&gt;="&amp;$I46,INDIRECT("'"&amp;$A46&amp;"'!$A$2:$A$501"),"&lt;"&amp;($BA46+1),INDIRECT("'"&amp;$A46&amp;"'!$E$2:$E$501"),"Yes"),0)))</f>
        <v/>
      </c>
      <c r="AW46" s="30" t="str">
        <f aca="true">IF(OR($A46="",$I46=""),"",IF($BC46="Y",SUMIFS(survey_frozen!$K$2:$K$251,survey_frozen!$P$2:$P$251,$A46&amp;"|"&amp;$B46),IFERROR(COUNTIFS(INDIRECT("'"&amp;$A46&amp;"'!$B$2:$B$501"),$T46,INDIRECT("'"&amp;$A46&amp;"'!$A$2:$A$501"),"&gt;="&amp;$I46,INDIRECT("'"&amp;$A46&amp;"'!$A$2:$A$501"),"&lt;"&amp;($BA46+1),INDIRECT("'"&amp;$A46&amp;"'!$E$2:$E$501"),"Maybe"),0)))</f>
        <v/>
      </c>
      <c r="AX46" s="30" t="str">
        <f aca="true">IF(OR($A46="",$I46=""),"",IF($BC46="Y",SUMIFS(survey_frozen!$L$2:$L$251,survey_frozen!$P$2:$P$251,$A46&amp;"|"&amp;$B46),IFERROR(COUNTIFS(INDIRECT("'"&amp;$A46&amp;"'!$B$2:$B$501"),$T46,INDIRECT("'"&amp;$A46&amp;"'!$A$2:$A$501"),"&gt;="&amp;$I46,INDIRECT("'"&amp;$A46&amp;"'!$A$2:$A$501"),"&lt;"&amp;($BA46+1),INDIRECT("'"&amp;$A46&amp;"'!$E$2:$E$501"),"No"),0)))</f>
        <v/>
      </c>
      <c r="AY46" s="30" t="str">
        <f aca="true">IF(OR($A46="",$I46=""),"",IF($BC46="Y",SUMIFS(survey_frozen!$M$2:$M$251,survey_frozen!$P$2:$P$251,$A46&amp;"|"&amp;$B46),IFERROR(COUNTIFS(INDIRECT("'"&amp;$A46&amp;"'!$B$2:$B$501"),$T46,INDIRECT("'"&amp;$A46&amp;"'!$A$2:$A$501"),"&gt;="&amp;$I46,INDIRECT("'"&amp;$A46&amp;"'!$A$2:$A$501"),"&lt;"&amp;($BA46+1),INDIRECT("'"&amp;$A46&amp;"'!$G$2:$G$501"),"&lt;&gt;"),0)))</f>
        <v/>
      </c>
      <c r="AZ46" s="30" t="str">
        <f aca="false">IF($A46="","",$A46&amp;"|"&amp;$L46)</f>
        <v/>
      </c>
      <c r="BA46" s="31" t="str">
        <f aca="false">IF($A46="","",IFERROR(IF(INDEX(drops!$R$2:$R$21,MATCH($H46,drops!$A$2:$A$21,0))="","",INDEX(drops!$R$2:$R$21,MATCH($H46,drops!$A$2:$A$21,0))),""))</f>
        <v/>
      </c>
      <c r="BB46" s="30" t="n">
        <f aca="false">IF(OR($A46="",$Q46&lt;&gt;"Y"),1000000,N($AL46))</f>
        <v>1000000</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C47" s="11"/>
      <c r="D47" s="10"/>
      <c r="E47" s="11"/>
      <c r="H47" s="30" t="str">
        <f aca="false">IF($A47="","",IFERROR(IF(INDEX(campaigns!$B$2:$B$51,MATCH($A47,campaigns!$A$2:$A$51,0))="","",INDEX(campaigns!$B$2:$B$51,MATCH($A47,campaigns!$A$2:$A$51,0))),""))</f>
        <v/>
      </c>
      <c r="I47" s="31" t="str">
        <f aca="false">IF($A47="","",IFERROR(IF(INDEX(campaigns!$BG$2:$BG$51,MATCH($A47,campaigns!$A$2:$A$51,0))="","",INDEX(campaigns!$BG$2:$BG$51,MATCH($A47,campaigns!$A$2:$A$51,0))),""))</f>
        <v/>
      </c>
      <c r="J47" s="30" t="str">
        <f aca="false">IF($A47="","",IFERROR(IF(INDEX(campaigns!$BE$2:$BE$51,MATCH($A47,campaigns!$A$2:$A$51,0))="","",INDEX(campaigns!$BE$2:$BE$51,MATCH($A47,campaigns!$A$2:$A$51,0))),""))</f>
        <v/>
      </c>
      <c r="K47" s="30" t="str">
        <f aca="false">IF($B47="","",IFERROR(IF(INDEX(offices!$O$2:$O$61,MATCH($B47,offices!$A$2:$A$61,0))="","",INDEX(offices!$O$2:$O$61,MATCH($B47,offices!$A$2:$A$61,0))),""))</f>
        <v/>
      </c>
      <c r="L47" s="30" t="str">
        <f aca="false">IF($A47="","",IF($Q47="N","",COUNTIFS($A$2:$A47,$A47,$Q$2:$Q47,"&lt;&gt;N")))</f>
        <v/>
      </c>
      <c r="M47" s="30" t="str">
        <f aca="false">IF(OR($A47="",$L47=""),"",IF(AND(config!$B$34="names_if_public",IFERROR(IF(INDEX(offices!$AG$2:$AG$61,MATCH($B47,offices!$A$2:$A$61,0))="","",INDEX(offices!$AG$2:$AG$61,MATCH($B47,offices!$A$2:$A$61,0))),"")="Y"),$K47,CHAR(64+$L47)))</f>
        <v/>
      </c>
      <c r="N47" s="30" t="str">
        <f aca="false">IF(OR($A47="",$I47=""),"",COUNTIFS(stops!$B$2:$B$151,$B47,stops!$P$2:$P$151,"&lt;"&amp;$I47,stops!$L$2:$L$151,"&lt;&gt;not_delivered")+1)</f>
        <v/>
      </c>
      <c r="O47" s="30" t="str">
        <f aca="false">IF($A47="","",IF(N($N47)&lt;=config!$B$29,"explicit","opt-out"))</f>
        <v/>
      </c>
      <c r="P47" s="30" t="str">
        <f aca="false">IF($A47="","",IF($O47="explicit",IF($D47="yes","Y",IF($D47="no","N","pending")),IF($D47="no","N",IF(AND($C47&lt;&gt;"",$I47&lt;&gt;"",$C47&lt;=WORKDAY(N($I47),-5,calendar!$A$2:$A$80)),"Y","pending"))))</f>
        <v/>
      </c>
      <c r="Q47" s="30" t="str">
        <f aca="false">IF($A47="","",IF($P47="N","N",IF($P47&lt;&gt;"Y","pending",IF(AND((COUNTIFS(stops!$A$2:$A$151,$H47,stops!$B$2:$B$151,$B47,stops!$L$2:$L$151,"declined")+COUNTIFS(stops!$A$2:$A$151,$H47,stops!$B$2:$B$151,$B47,stops!$L$2:$L$151,"building_refused")+COUNTIFS(stops!$A$2:$A$151,$H47,stops!$B$2:$B$151,$B47,stops!$L$2:$L$151,"not_delivered"))&gt;0,N($U47)=0),"N","Y"))))</f>
        <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str">
        <f aca="false">IF($A47="","",IF($G47&lt;&gt;"",$G47,IFERROR(IF(INDEX(offices!$AM$2:$AM$61,MATCH($B47,offices!$A$2:$A$61,0))="","",INDEX(offices!$AM$2:$AM$61,MATCH($B47,offices!$A$2:$A$61,0))),"")))</f>
        <v/>
      </c>
      <c r="T47" s="30" t="str">
        <f aca="false">IF($A47="","",$A47&amp;"."&amp;$B47)</f>
        <v/>
      </c>
      <c r="U47" s="30" t="str">
        <f aca="false">IF($A47="","",SUMIFS(inventory!$G$2:$G$801,inventory!$C$2:$C$801,$A47,inventory!$D$2:$D$801,$B47,inventory!$E$2:$E$801,"delivered"))</f>
        <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str">
        <f aca="false">IF($A47="","",IF($Y47="",0,N($Z47)))</f>
        <v/>
      </c>
      <c r="AB47" s="30" t="str">
        <f aca="false">IF($A47="","",IF(OR($Y47="",$I47=""),"N",IF($Y47&lt;=WORKDAY(N($I47),1,calendar!$A$2:$A$80),"Y","N")))</f>
        <v/>
      </c>
      <c r="AC47" s="33" t="str">
        <f aca="false">IF(OR($A47="",$V47="",$Y47=""),"",ROUND(($Y47+N(IFERROR(IF(INDEX(photos!$F$2:$F$701,MATCH($A47&amp;"|"&amp;$B47&amp;"|placement|Y",photos!$R$2:$R$701,0))="","",INDEX(photos!$F$2:$F$701,MATCH($A47&amp;"|"&amp;$B47&amp;"|placement|Y",photos!$R$2:$R$701,0))),""))-$V47)*24,1))</f>
        <v/>
      </c>
      <c r="AD47" s="30" t="str">
        <f aca="false">IF($A47="","",SUMIFS(inventory!$G$2:$G$801,inventory!$C$2:$C$801,$A47,inventory!$D$2:$D$801,$B47,inventory!$E$2:$E$801,"topped_up"))</f>
        <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
      </c>
      <c r="AL47" s="30" t="str">
        <f aca="true">IF(OR($A47="",$I47=""),"",IF($BC47="Y",SUMIFS(survey_frozen!$C$2:$C$251,survey_frozen!$P$2:$P$251,$A47&amp;"|"&amp;$B47),IFERROR(COUNTIFS(INDIRECT("'"&amp;$A47&amp;"'!$B$2:$B$501"),$T47,INDIRECT("'"&amp;$A47&amp;"'!$A$2:$A$501"),"&gt;="&amp;$I47,INDIRECT("'"&amp;$A47&amp;"'!$A$2:$A$501"),"&lt;"&amp;($BA47+1)),0)))</f>
        <v/>
      </c>
      <c r="AM47" s="30" t="str">
        <f aca="true">IF(OR($A47="",$I47=""),"",IF($BC47="Y",SUMIFS(survey_frozen!$D$2:$D$251,survey_frozen!$P$2:$P$251,$A47&amp;"|"&amp;$B47),IFERROR(COUNTIFS(INDIRECT("'"&amp;$A47&amp;"'!$B$2:$B$501"),$T47,INDIRECT("'"&amp;$A47&amp;"'!$A$2:$A$501"),"&gt;="&amp;$I47,INDIRECT("'"&amp;$A47&amp;"'!$A$2:$A$501"),"&lt;"&amp;($BA47+1),INDIRECT("'"&amp;$A47&amp;"'!$C$2:$C$501"),"Yes"),0)))</f>
        <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30" t="str">
        <f aca="true">IF(OR($A47="",$I47=""),"",IF($BC47="Y",SUMIFS(survey_frozen!$E$2:$E$251,survey_frozen!$P$2:$P$251,$A47&amp;"|"&amp;$B47),IFERROR(COUNTIFS(INDIRECT("'"&amp;$A47&amp;"'!$B$2:$B$501"),$T47,INDIRECT("'"&amp;$A47&amp;"'!$A$2:$A$501"),"&gt;="&amp;$I47,INDIRECT("'"&amp;$A47&amp;"'!$A$2:$A$501"),"&lt;"&amp;($BA47+1),INDIRECT("'"&amp;$A47&amp;"'!$F$2:$F$501"),"Didn't see it"),0)))</f>
        <v/>
      </c>
      <c r="AR47" s="30" t="str">
        <f aca="true">IF(OR($A47="",$I47=""),"",IF($BC47="Y",SUMIFS(survey_frozen!$F$2:$F$251,survey_frozen!$P$2:$P$251,$A47&amp;"|"&amp;$B47),IFERROR(COUNTIFS(INDIRECT("'"&amp;$A47&amp;"'!$B$2:$B$501"),$T47,INDIRECT("'"&amp;$A47&amp;"'!$A$2:$A$501"),"&gt;="&amp;$I47,INDIRECT("'"&amp;$A47&amp;"'!$A$2:$A$501"),"&lt;"&amp;($BA47+1),INDIRECT("'"&amp;$A47&amp;"'!$F$2:$F$501"),"Not for me"),0)))</f>
        <v/>
      </c>
      <c r="AS47" s="30" t="str">
        <f aca="true">IF(OR($A47="",$I47=""),"",IF($BC47="Y",SUMIFS(survey_frozen!$G$2:$G$251,survey_frozen!$P$2:$P$251,$A47&amp;"|"&amp;$B47),IFERROR(COUNTIFS(INDIRECT("'"&amp;$A47&amp;"'!$B$2:$B$501"),$T47,INDIRECT("'"&amp;$A47&amp;"'!$A$2:$A$501"),"&gt;="&amp;$I47,INDIRECT("'"&amp;$A47&amp;"'!$A$2:$A$501"),"&lt;"&amp;($BA47+1),INDIRECT("'"&amp;$A47&amp;"'!$F$2:$F$501"),"Gone by the time I looked"),0)))</f>
        <v/>
      </c>
      <c r="AT47" s="30" t="str">
        <f aca="true">IF(OR($A47="",$I47=""),"",IF($BC47="Y",SUMIFS(survey_frozen!$H$2:$H$251,survey_frozen!$P$2:$P$251,$A47&amp;"|"&amp;$B47),IFERROR(COUNTIFS(INDIRECT("'"&amp;$A47&amp;"'!$B$2:$B$501"),$T47,INDIRECT("'"&amp;$A47&amp;"'!$A$2:$A$501"),"&gt;="&amp;$I47,INDIRECT("'"&amp;$A47&amp;"'!$A$2:$A$501"),"&lt;"&amp;($BA47+1),INDIRECT("'"&amp;$A47&amp;"'!$D$2:$D$501"),"&gt;=1"),0)))</f>
        <v/>
      </c>
      <c r="AU47" s="30" t="str">
        <f aca="true">IF(OR($A47="",$I47=""),"",IF($BC47="Y",SUMIFS(survey_frozen!$I$2:$I$251,survey_frozen!$P$2:$P$251,$A47&amp;"|"&amp;$B47),IFERROR(SUMIFS(INDIRECT("'"&amp;$A47&amp;"'!$D$2:$D$501"),INDIRECT("'"&amp;$A47&amp;"'!$B$2:$B$501"),$T47,INDIRECT("'"&amp;$A47&amp;"'!$A$2:$A$501"),"&gt;="&amp;$I47,INDIRECT("'"&amp;$A47&amp;"'!$A$2:$A$501"),"&lt;"&amp;($BA47+1)),0)))</f>
        <v/>
      </c>
      <c r="AV47" s="30" t="str">
        <f aca="true">IF(OR($A47="",$I47=""),"",IF($BC47="Y",SUMIFS(survey_frozen!$J$2:$J$251,survey_frozen!$P$2:$P$251,$A47&amp;"|"&amp;$B47),IFERROR(COUNTIFS(INDIRECT("'"&amp;$A47&amp;"'!$B$2:$B$501"),$T47,INDIRECT("'"&amp;$A47&amp;"'!$A$2:$A$501"),"&gt;="&amp;$I47,INDIRECT("'"&amp;$A47&amp;"'!$A$2:$A$501"),"&lt;"&amp;($BA47+1),INDIRECT("'"&amp;$A47&amp;"'!$E$2:$E$501"),"Yes"),0)))</f>
        <v/>
      </c>
      <c r="AW47" s="30" t="str">
        <f aca="true">IF(OR($A47="",$I47=""),"",IF($BC47="Y",SUMIFS(survey_frozen!$K$2:$K$251,survey_frozen!$P$2:$P$251,$A47&amp;"|"&amp;$B47),IFERROR(COUNTIFS(INDIRECT("'"&amp;$A47&amp;"'!$B$2:$B$501"),$T47,INDIRECT("'"&amp;$A47&amp;"'!$A$2:$A$501"),"&gt;="&amp;$I47,INDIRECT("'"&amp;$A47&amp;"'!$A$2:$A$501"),"&lt;"&amp;($BA47+1),INDIRECT("'"&amp;$A47&amp;"'!$E$2:$E$501"),"Maybe"),0)))</f>
        <v/>
      </c>
      <c r="AX47" s="30" t="str">
        <f aca="true">IF(OR($A47="",$I47=""),"",IF($BC47="Y",SUMIFS(survey_frozen!$L$2:$L$251,survey_frozen!$P$2:$P$251,$A47&amp;"|"&amp;$B47),IFERROR(COUNTIFS(INDIRECT("'"&amp;$A47&amp;"'!$B$2:$B$501"),$T47,INDIRECT("'"&amp;$A47&amp;"'!$A$2:$A$501"),"&gt;="&amp;$I47,INDIRECT("'"&amp;$A47&amp;"'!$A$2:$A$501"),"&lt;"&amp;($BA47+1),INDIRECT("'"&amp;$A47&amp;"'!$E$2:$E$501"),"No"),0)))</f>
        <v/>
      </c>
      <c r="AY47" s="30" t="str">
        <f aca="true">IF(OR($A47="",$I47=""),"",IF($BC47="Y",SUMIFS(survey_frozen!$M$2:$M$251,survey_frozen!$P$2:$P$251,$A47&amp;"|"&amp;$B47),IFERROR(COUNTIFS(INDIRECT("'"&amp;$A47&amp;"'!$B$2:$B$501"),$T47,INDIRECT("'"&amp;$A47&amp;"'!$A$2:$A$501"),"&gt;="&amp;$I47,INDIRECT("'"&amp;$A47&amp;"'!$A$2:$A$501"),"&lt;"&amp;($BA47+1),INDIRECT("'"&amp;$A47&amp;"'!$G$2:$G$501"),"&lt;&gt;"),0)))</f>
        <v/>
      </c>
      <c r="AZ47" s="30" t="str">
        <f aca="false">IF($A47="","",$A47&amp;"|"&amp;$L47)</f>
        <v/>
      </c>
      <c r="BA47" s="31" t="str">
        <f aca="false">IF($A47="","",IFERROR(IF(INDEX(drops!$R$2:$R$21,MATCH($H47,drops!$A$2:$A$21,0))="","",INDEX(drops!$R$2:$R$21,MATCH($H47,drops!$A$2:$A$21,0))),""))</f>
        <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C48" s="11"/>
      <c r="D48" s="10"/>
      <c r="E48" s="11"/>
      <c r="H48" s="30" t="str">
        <f aca="false">IF($A48="","",IFERROR(IF(INDEX(campaigns!$B$2:$B$51,MATCH($A48,campaigns!$A$2:$A$51,0))="","",INDEX(campaigns!$B$2:$B$51,MATCH($A48,campaigns!$A$2:$A$51,0))),""))</f>
        <v/>
      </c>
      <c r="I48" s="31" t="str">
        <f aca="false">IF($A48="","",IFERROR(IF(INDEX(campaigns!$BG$2:$BG$51,MATCH($A48,campaigns!$A$2:$A$51,0))="","",INDEX(campaigns!$BG$2:$BG$51,MATCH($A48,campaigns!$A$2:$A$51,0))),""))</f>
        <v/>
      </c>
      <c r="J48" s="30" t="str">
        <f aca="false">IF($A48="","",IFERROR(IF(INDEX(campaigns!$BE$2:$BE$51,MATCH($A48,campaigns!$A$2:$A$51,0))="","",INDEX(campaigns!$BE$2:$BE$51,MATCH($A48,campaigns!$A$2:$A$51,0))),""))</f>
        <v/>
      </c>
      <c r="K48" s="30" t="str">
        <f aca="false">IF($B48="","",IFERROR(IF(INDEX(offices!$O$2:$O$61,MATCH($B48,offices!$A$2:$A$61,0))="","",INDEX(offices!$O$2:$O$61,MATCH($B48,offices!$A$2:$A$61,0))),""))</f>
        <v/>
      </c>
      <c r="L48" s="30" t="str">
        <f aca="false">IF($A48="","",IF($Q48="N","",COUNTIFS($A$2:$A48,$A48,$Q$2:$Q48,"&lt;&gt;N")))</f>
        <v/>
      </c>
      <c r="M48" s="30" t="str">
        <f aca="false">IF(OR($A48="",$L48=""),"",IF(AND(config!$B$34="names_if_public",IFERROR(IF(INDEX(offices!$AG$2:$AG$61,MATCH($B48,offices!$A$2:$A$61,0))="","",INDEX(offices!$AG$2:$AG$61,MATCH($B48,offices!$A$2:$A$61,0))),"")="Y"),$K48,CHAR(64+$L48)))</f>
        <v/>
      </c>
      <c r="N48" s="30" t="str">
        <f aca="false">IF(OR($A48="",$I48=""),"",COUNTIFS(stops!$B$2:$B$151,$B48,stops!$P$2:$P$151,"&lt;"&amp;$I48,stops!$L$2:$L$151,"&lt;&gt;not_delivered")+1)</f>
        <v/>
      </c>
      <c r="O48" s="30" t="str">
        <f aca="false">IF($A48="","",IF(N($N48)&lt;=config!$B$29,"explicit","opt-out"))</f>
        <v/>
      </c>
      <c r="P48" s="30" t="str">
        <f aca="false">IF($A48="","",IF($O48="explicit",IF($D48="yes","Y",IF($D48="no","N","pending")),IF($D48="no","N",IF(AND($C48&lt;&gt;"",$I48&lt;&gt;"",$C48&lt;=WORKDAY(N($I48),-5,calendar!$A$2:$A$80)),"Y","pending"))))</f>
        <v/>
      </c>
      <c r="Q48" s="30" t="str">
        <f aca="false">IF($A48="","",IF($P48="N","N",IF($P48&lt;&gt;"Y","pending",IF(AND((COUNTIFS(stops!$A$2:$A$151,$H48,stops!$B$2:$B$151,$B48,stops!$L$2:$L$151,"declined")+COUNTIFS(stops!$A$2:$A$151,$H48,stops!$B$2:$B$151,$B48,stops!$L$2:$L$151,"building_refused")+COUNTIFS(stops!$A$2:$A$151,$H48,stops!$B$2:$B$151,$B48,stops!$L$2:$L$151,"not_delivered"))&gt;0,N($U48)=0),"N","Y"))))</f>
        <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30" t="str">
        <f aca="false">IF($A48="","",IF($G48&lt;&gt;"",$G48,IFERROR(IF(INDEX(offices!$AM$2:$AM$61,MATCH($B48,offices!$A$2:$A$61,0))="","",INDEX(offices!$AM$2:$AM$61,MATCH($B48,offices!$A$2:$A$61,0))),"")))</f>
        <v/>
      </c>
      <c r="T48" s="30" t="str">
        <f aca="false">IF($A48="","",$A48&amp;"."&amp;$B48)</f>
        <v/>
      </c>
      <c r="U48" s="30" t="str">
        <f aca="false">IF($A48="","",SUMIFS(inventory!$G$2:$G$801,inventory!$C$2:$C$801,$A48,inventory!$D$2:$D$801,$B48,inventory!$E$2:$E$801,"delivered"))</f>
        <v/>
      </c>
      <c r="V48" s="37" t="str">
        <f aca="false">IF($A48="","",IFERROR(1/(1/SUMPRODUCT(MAX((inventory!$C$2:$C$801=$A48)*(inventory!$D$2:$D$801=$B48)*(inventory!$E$2:$E$801="delivered")*(inventory!$A$2:$A$801+inventory!$B$2:$B$801)))),""))</f>
        <v/>
      </c>
      <c r="W48" s="30" t="str">
        <f aca="false">IF($A48="","",IFERROR(IF(INDEX(inventory!$J$2:$J$801,MATCH($A48&amp;"|"&amp;$B48&amp;"|delivered",inventory!$R$2:$R$801,0))="","",INDEX(inventory!$J$2:$J$801,MATCH($A48&amp;"|"&amp;$B48&amp;"|delivered",inventory!$R$2:$R$801,0))),""))</f>
        <v/>
      </c>
      <c r="X48" s="30" t="str">
        <f aca="false">IF($A48="","",IFERROR(IF(INDEX(photos!$H$2:$H$701,MATCH($A48&amp;"|"&amp;$B48&amp;"|placement|Y",photos!$R$2:$R$701,0))="","",INDEX(photos!$H$2:$H$701,MATCH($A48&amp;"|"&amp;$B48&amp;"|placement|Y",photos!$R$2:$R$701,0))),""))</f>
        <v/>
      </c>
      <c r="Y48" s="31" t="str">
        <f aca="false">IF($A48="","",IFERROR(IF(INDEX(photos!$E$2:$E$701,MATCH($A48&amp;"|"&amp;$B48&amp;"|placement|Y",photos!$R$2:$R$701,0))="","",INDEX(photos!$E$2:$E$701,MATCH($A48&amp;"|"&amp;$B48&amp;"|placement|Y",photos!$R$2:$R$701,0))),""))</f>
        <v/>
      </c>
      <c r="Z48" s="30" t="str">
        <f aca="false">IF($A48="","",IF(COUNTIFS(counts!$C$2:$C$701,$A48,counts!$D$2:$D$701,$B48,counts!$E$2:$E$701,"placed")=0,"",SUMIFS(counts!$F$2:$F$701,counts!$C$2:$C$701,$A48,counts!$D$2:$D$701,$B48,counts!$E$2:$E$701,"placed")))</f>
        <v/>
      </c>
      <c r="AA48" s="30" t="str">
        <f aca="false">IF($A48="","",IF($Y48="",0,N($Z48)))</f>
        <v/>
      </c>
      <c r="AB48" s="30" t="str">
        <f aca="false">IF($A48="","",IF(OR($Y48="",$I48=""),"N",IF($Y48&lt;=WORKDAY(N($I48),1,calendar!$A$2:$A$80),"Y","N")))</f>
        <v/>
      </c>
      <c r="AC48" s="33" t="str">
        <f aca="false">IF(OR($A48="",$V48="",$Y48=""),"",ROUND(($Y48+N(IFERROR(IF(INDEX(photos!$F$2:$F$701,MATCH($A48&amp;"|"&amp;$B48&amp;"|placement|Y",photos!$R$2:$R$701,0))="","",INDEX(photos!$F$2:$F$701,MATCH($A48&amp;"|"&amp;$B48&amp;"|placement|Y",photos!$R$2:$R$701,0))),""))-$V48)*24,1))</f>
        <v/>
      </c>
      <c r="AD48" s="30" t="str">
        <f aca="false">IF($A48="","",SUMIFS(inventory!$G$2:$G$801,inventory!$C$2:$C$801,$A48,inventory!$D$2:$D$801,$B48,inventory!$E$2:$E$801,"topped_up"))</f>
        <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
      </c>
      <c r="AL48" s="30" t="str">
        <f aca="true">IF(OR($A48="",$I48=""),"",IF($BC48="Y",SUMIFS(survey_frozen!$C$2:$C$251,survey_frozen!$P$2:$P$251,$A48&amp;"|"&amp;$B48),IFERROR(COUNTIFS(INDIRECT("'"&amp;$A48&amp;"'!$B$2:$B$501"),$T48,INDIRECT("'"&amp;$A48&amp;"'!$A$2:$A$501"),"&gt;="&amp;$I48,INDIRECT("'"&amp;$A48&amp;"'!$A$2:$A$501"),"&lt;"&amp;($BA48+1)),0)))</f>
        <v/>
      </c>
      <c r="AM48" s="30" t="str">
        <f aca="true">IF(OR($A48="",$I48=""),"",IF($BC48="Y",SUMIFS(survey_frozen!$D$2:$D$251,survey_frozen!$P$2:$P$251,$A48&amp;"|"&amp;$B48),IFERROR(COUNTIFS(INDIRECT("'"&amp;$A48&amp;"'!$B$2:$B$501"),$T48,INDIRECT("'"&amp;$A48&amp;"'!$A$2:$A$501"),"&gt;="&amp;$I48,INDIRECT("'"&amp;$A48&amp;"'!$A$2:$A$501"),"&lt;"&amp;($BA48+1),INDIRECT("'"&amp;$A48&amp;"'!$C$2:$C$501"),"Yes"),0)))</f>
        <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30" t="str">
        <f aca="true">IF(OR($A48="",$I48=""),"",IF($BC48="Y",SUMIFS(survey_frozen!$E$2:$E$251,survey_frozen!$P$2:$P$251,$A48&amp;"|"&amp;$B48),IFERROR(COUNTIFS(INDIRECT("'"&amp;$A48&amp;"'!$B$2:$B$501"),$T48,INDIRECT("'"&amp;$A48&amp;"'!$A$2:$A$501"),"&gt;="&amp;$I48,INDIRECT("'"&amp;$A48&amp;"'!$A$2:$A$501"),"&lt;"&amp;($BA48+1),INDIRECT("'"&amp;$A48&amp;"'!$F$2:$F$501"),"Didn't see it"),0)))</f>
        <v/>
      </c>
      <c r="AR48" s="30" t="str">
        <f aca="true">IF(OR($A48="",$I48=""),"",IF($BC48="Y",SUMIFS(survey_frozen!$F$2:$F$251,survey_frozen!$P$2:$P$251,$A48&amp;"|"&amp;$B48),IFERROR(COUNTIFS(INDIRECT("'"&amp;$A48&amp;"'!$B$2:$B$501"),$T48,INDIRECT("'"&amp;$A48&amp;"'!$A$2:$A$501"),"&gt;="&amp;$I48,INDIRECT("'"&amp;$A48&amp;"'!$A$2:$A$501"),"&lt;"&amp;($BA48+1),INDIRECT("'"&amp;$A48&amp;"'!$F$2:$F$501"),"Not for me"),0)))</f>
        <v/>
      </c>
      <c r="AS48" s="30" t="str">
        <f aca="true">IF(OR($A48="",$I48=""),"",IF($BC48="Y",SUMIFS(survey_frozen!$G$2:$G$251,survey_frozen!$P$2:$P$251,$A48&amp;"|"&amp;$B48),IFERROR(COUNTIFS(INDIRECT("'"&amp;$A48&amp;"'!$B$2:$B$501"),$T48,INDIRECT("'"&amp;$A48&amp;"'!$A$2:$A$501"),"&gt;="&amp;$I48,INDIRECT("'"&amp;$A48&amp;"'!$A$2:$A$501"),"&lt;"&amp;($BA48+1),INDIRECT("'"&amp;$A48&amp;"'!$F$2:$F$501"),"Gone by the time I looked"),0)))</f>
        <v/>
      </c>
      <c r="AT48" s="30" t="str">
        <f aca="true">IF(OR($A48="",$I48=""),"",IF($BC48="Y",SUMIFS(survey_frozen!$H$2:$H$251,survey_frozen!$P$2:$P$251,$A48&amp;"|"&amp;$B48),IFERROR(COUNTIFS(INDIRECT("'"&amp;$A48&amp;"'!$B$2:$B$501"),$T48,INDIRECT("'"&amp;$A48&amp;"'!$A$2:$A$501"),"&gt;="&amp;$I48,INDIRECT("'"&amp;$A48&amp;"'!$A$2:$A$501"),"&lt;"&amp;($BA48+1),INDIRECT("'"&amp;$A48&amp;"'!$D$2:$D$501"),"&gt;=1"),0)))</f>
        <v/>
      </c>
      <c r="AU48" s="30" t="str">
        <f aca="true">IF(OR($A48="",$I48=""),"",IF($BC48="Y",SUMIFS(survey_frozen!$I$2:$I$251,survey_frozen!$P$2:$P$251,$A48&amp;"|"&amp;$B48),IFERROR(SUMIFS(INDIRECT("'"&amp;$A48&amp;"'!$D$2:$D$501"),INDIRECT("'"&amp;$A48&amp;"'!$B$2:$B$501"),$T48,INDIRECT("'"&amp;$A48&amp;"'!$A$2:$A$501"),"&gt;="&amp;$I48,INDIRECT("'"&amp;$A48&amp;"'!$A$2:$A$501"),"&lt;"&amp;($BA48+1)),0)))</f>
        <v/>
      </c>
      <c r="AV48" s="30" t="str">
        <f aca="true">IF(OR($A48="",$I48=""),"",IF($BC48="Y",SUMIFS(survey_frozen!$J$2:$J$251,survey_frozen!$P$2:$P$251,$A48&amp;"|"&amp;$B48),IFERROR(COUNTIFS(INDIRECT("'"&amp;$A48&amp;"'!$B$2:$B$501"),$T48,INDIRECT("'"&amp;$A48&amp;"'!$A$2:$A$501"),"&gt;="&amp;$I48,INDIRECT("'"&amp;$A48&amp;"'!$A$2:$A$501"),"&lt;"&amp;($BA48+1),INDIRECT("'"&amp;$A48&amp;"'!$E$2:$E$501"),"Yes"),0)))</f>
        <v/>
      </c>
      <c r="AW48" s="30" t="str">
        <f aca="true">IF(OR($A48="",$I48=""),"",IF($BC48="Y",SUMIFS(survey_frozen!$K$2:$K$251,survey_frozen!$P$2:$P$251,$A48&amp;"|"&amp;$B48),IFERROR(COUNTIFS(INDIRECT("'"&amp;$A48&amp;"'!$B$2:$B$501"),$T48,INDIRECT("'"&amp;$A48&amp;"'!$A$2:$A$501"),"&gt;="&amp;$I48,INDIRECT("'"&amp;$A48&amp;"'!$A$2:$A$501"),"&lt;"&amp;($BA48+1),INDIRECT("'"&amp;$A48&amp;"'!$E$2:$E$501"),"Maybe"),0)))</f>
        <v/>
      </c>
      <c r="AX48" s="30" t="str">
        <f aca="true">IF(OR($A48="",$I48=""),"",IF($BC48="Y",SUMIFS(survey_frozen!$L$2:$L$251,survey_frozen!$P$2:$P$251,$A48&amp;"|"&amp;$B48),IFERROR(COUNTIFS(INDIRECT("'"&amp;$A48&amp;"'!$B$2:$B$501"),$T48,INDIRECT("'"&amp;$A48&amp;"'!$A$2:$A$501"),"&gt;="&amp;$I48,INDIRECT("'"&amp;$A48&amp;"'!$A$2:$A$501"),"&lt;"&amp;($BA48+1),INDIRECT("'"&amp;$A48&amp;"'!$E$2:$E$501"),"No"),0)))</f>
        <v/>
      </c>
      <c r="AY48" s="30" t="str">
        <f aca="true">IF(OR($A48="",$I48=""),"",IF($BC48="Y",SUMIFS(survey_frozen!$M$2:$M$251,survey_frozen!$P$2:$P$251,$A48&amp;"|"&amp;$B48),IFERROR(COUNTIFS(INDIRECT("'"&amp;$A48&amp;"'!$B$2:$B$501"),$T48,INDIRECT("'"&amp;$A48&amp;"'!$A$2:$A$501"),"&gt;="&amp;$I48,INDIRECT("'"&amp;$A48&amp;"'!$A$2:$A$501"),"&lt;"&amp;($BA48+1),INDIRECT("'"&amp;$A48&amp;"'!$G$2:$G$501"),"&lt;&gt;"),0)))</f>
        <v/>
      </c>
      <c r="AZ48" s="30" t="str">
        <f aca="false">IF($A48="","",$A48&amp;"|"&amp;$L48)</f>
        <v/>
      </c>
      <c r="BA48" s="31" t="str">
        <f aca="false">IF($A48="","",IFERROR(IF(INDEX(drops!$R$2:$R$21,MATCH($H48,drops!$A$2:$A$21,0))="","",INDEX(drops!$R$2:$R$21,MATCH($H48,drops!$A$2:$A$21,0))),""))</f>
        <v/>
      </c>
      <c r="BB48" s="30" t="n">
        <f aca="false">IF(OR($A48="",$Q48&lt;&gt;"Y"),1000000,N($AL48))</f>
        <v>1000000</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C49" s="11"/>
      <c r="D49" s="10"/>
      <c r="E49" s="11"/>
      <c r="H49" s="30" t="str">
        <f aca="false">IF($A49="","",IFERROR(IF(INDEX(campaigns!$B$2:$B$51,MATCH($A49,campaigns!$A$2:$A$51,0))="","",INDEX(campaigns!$B$2:$B$51,MATCH($A49,campaigns!$A$2:$A$51,0))),""))</f>
        <v/>
      </c>
      <c r="I49" s="31" t="str">
        <f aca="false">IF($A49="","",IFERROR(IF(INDEX(campaigns!$BG$2:$BG$51,MATCH($A49,campaigns!$A$2:$A$51,0))="","",INDEX(campaigns!$BG$2:$BG$51,MATCH($A49,campaigns!$A$2:$A$51,0))),""))</f>
        <v/>
      </c>
      <c r="J49" s="30" t="str">
        <f aca="false">IF($A49="","",IFERROR(IF(INDEX(campaigns!$BE$2:$BE$51,MATCH($A49,campaigns!$A$2:$A$51,0))="","",INDEX(campaigns!$BE$2:$BE$51,MATCH($A49,campaigns!$A$2:$A$51,0))),""))</f>
        <v/>
      </c>
      <c r="K49" s="30" t="str">
        <f aca="false">IF($B49="","",IFERROR(IF(INDEX(offices!$O$2:$O$61,MATCH($B49,offices!$A$2:$A$61,0))="","",INDEX(offices!$O$2:$O$61,MATCH($B49,offices!$A$2:$A$61,0))),""))</f>
        <v/>
      </c>
      <c r="L49" s="30" t="str">
        <f aca="false">IF($A49="","",IF($Q49="N","",COUNTIFS($A$2:$A49,$A49,$Q$2:$Q49,"&lt;&gt;N")))</f>
        <v/>
      </c>
      <c r="M49" s="30" t="str">
        <f aca="false">IF(OR($A49="",$L49=""),"",IF(AND(config!$B$34="names_if_public",IFERROR(IF(INDEX(offices!$AG$2:$AG$61,MATCH($B49,offices!$A$2:$A$61,0))="","",INDEX(offices!$AG$2:$AG$61,MATCH($B49,offices!$A$2:$A$61,0))),"")="Y"),$K49,CHAR(64+$L49)))</f>
        <v/>
      </c>
      <c r="N49" s="30" t="str">
        <f aca="false">IF(OR($A49="",$I49=""),"",COUNTIFS(stops!$B$2:$B$151,$B49,stops!$P$2:$P$151,"&lt;"&amp;$I49,stops!$L$2:$L$151,"&lt;&gt;not_delivered")+1)</f>
        <v/>
      </c>
      <c r="O49" s="30" t="str">
        <f aca="false">IF($A49="","",IF(N($N49)&lt;=config!$B$29,"explicit","opt-out"))</f>
        <v/>
      </c>
      <c r="P49" s="30" t="str">
        <f aca="false">IF($A49="","",IF($O49="explicit",IF($D49="yes","Y",IF($D49="no","N","pending")),IF($D49="no","N",IF(AND($C49&lt;&gt;"",$I49&lt;&gt;"",$C49&lt;=WORKDAY(N($I49),-5,calendar!$A$2:$A$80)),"Y","pending"))))</f>
        <v/>
      </c>
      <c r="Q49" s="30" t="str">
        <f aca="false">IF($A49="","",IF($P49="N","N",IF($P49&lt;&gt;"Y","pending",IF(AND((COUNTIFS(stops!$A$2:$A$151,$H49,stops!$B$2:$B$151,$B49,stops!$L$2:$L$151,"declined")+COUNTIFS(stops!$A$2:$A$151,$H49,stops!$B$2:$B$151,$B49,stops!$L$2:$L$151,"building_refused")+COUNTIFS(stops!$A$2:$A$151,$H49,stops!$B$2:$B$151,$B49,stops!$L$2:$L$151,"not_delivered"))&gt;0,N($U49)=0),"N","Y"))))</f>
        <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str">
        <f aca="false">IF($A49="","",IF($G49&lt;&gt;"",$G49,IFERROR(IF(INDEX(offices!$AM$2:$AM$61,MATCH($B49,offices!$A$2:$A$61,0))="","",INDEX(offices!$AM$2:$AM$61,MATCH($B49,offices!$A$2:$A$61,0))),"")))</f>
        <v/>
      </c>
      <c r="T49" s="30" t="str">
        <f aca="false">IF($A49="","",$A49&amp;"."&amp;$B49)</f>
        <v/>
      </c>
      <c r="U49" s="30" t="str">
        <f aca="false">IF($A49="","",SUMIFS(inventory!$G$2:$G$801,inventory!$C$2:$C$801,$A49,inventory!$D$2:$D$801,$B49,inventory!$E$2:$E$801,"delivered"))</f>
        <v/>
      </c>
      <c r="V49" s="37" t="str">
        <f aca="false">IF($A49="","",IFERROR(1/(1/SUMPRODUCT(MAX((inventory!$C$2:$C$801=$A49)*(inventory!$D$2:$D$801=$B49)*(inventory!$E$2:$E$801="delivered")*(inventory!$A$2:$A$801+inventory!$B$2:$B$801)))),""))</f>
        <v/>
      </c>
      <c r="W49" s="30" t="str">
        <f aca="false">IF($A49="","",IFERROR(IF(INDEX(inventory!$J$2:$J$801,MATCH($A49&amp;"|"&amp;$B49&amp;"|delivered",inventory!$R$2:$R$801,0))="","",INDEX(inventory!$J$2:$J$801,MATCH($A49&amp;"|"&amp;$B49&amp;"|delivered",inventory!$R$2:$R$801,0))),""))</f>
        <v/>
      </c>
      <c r="X49" s="30" t="str">
        <f aca="false">IF($A49="","",IFERROR(IF(INDEX(photos!$H$2:$H$701,MATCH($A49&amp;"|"&amp;$B49&amp;"|placement|Y",photos!$R$2:$R$701,0))="","",INDEX(photos!$H$2:$H$701,MATCH($A49&amp;"|"&amp;$B49&amp;"|placement|Y",photos!$R$2:$R$701,0))),""))</f>
        <v/>
      </c>
      <c r="Y49" s="31" t="str">
        <f aca="false">IF($A49="","",IFERROR(IF(INDEX(photos!$E$2:$E$701,MATCH($A49&amp;"|"&amp;$B49&amp;"|placement|Y",photos!$R$2:$R$701,0))="","",INDEX(photos!$E$2:$E$701,MATCH($A49&amp;"|"&amp;$B49&amp;"|placement|Y",photos!$R$2:$R$701,0))),""))</f>
        <v/>
      </c>
      <c r="Z49" s="30" t="str">
        <f aca="false">IF($A49="","",IF(COUNTIFS(counts!$C$2:$C$701,$A49,counts!$D$2:$D$701,$B49,counts!$E$2:$E$701,"placed")=0,"",SUMIFS(counts!$F$2:$F$701,counts!$C$2:$C$701,$A49,counts!$D$2:$D$701,$B49,counts!$E$2:$E$701,"placed")))</f>
        <v/>
      </c>
      <c r="AA49" s="30" t="str">
        <f aca="false">IF($A49="","",IF($Y49="",0,N($Z49)))</f>
        <v/>
      </c>
      <c r="AB49" s="30" t="str">
        <f aca="false">IF($A49="","",IF(OR($Y49="",$I49=""),"N",IF($Y49&lt;=WORKDAY(N($I49),1,calendar!$A$2:$A$80),"Y","N")))</f>
        <v/>
      </c>
      <c r="AC49" s="33" t="str">
        <f aca="false">IF(OR($A49="",$V49="",$Y49=""),"",ROUND(($Y49+N(IFERROR(IF(INDEX(photos!$F$2:$F$701,MATCH($A49&amp;"|"&amp;$B49&amp;"|placement|Y",photos!$R$2:$R$701,0))="","",INDEX(photos!$F$2:$F$701,MATCH($A49&amp;"|"&amp;$B49&amp;"|placement|Y",photos!$R$2:$R$701,0))),""))-$V49)*24,1))</f>
        <v/>
      </c>
      <c r="AD49" s="30" t="str">
        <f aca="false">IF($A49="","",SUMIFS(inventory!$G$2:$G$801,inventory!$C$2:$C$801,$A49,inventory!$D$2:$D$801,$B49,inventory!$E$2:$E$801,"topped_up"))</f>
        <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
      </c>
      <c r="AL49" s="30" t="str">
        <f aca="true">IF(OR($A49="",$I49=""),"",IF($BC49="Y",SUMIFS(survey_frozen!$C$2:$C$251,survey_frozen!$P$2:$P$251,$A49&amp;"|"&amp;$B49),IFERROR(COUNTIFS(INDIRECT("'"&amp;$A49&amp;"'!$B$2:$B$501"),$T49,INDIRECT("'"&amp;$A49&amp;"'!$A$2:$A$501"),"&gt;="&amp;$I49,INDIRECT("'"&amp;$A49&amp;"'!$A$2:$A$501"),"&lt;"&amp;($BA49+1)),0)))</f>
        <v/>
      </c>
      <c r="AM49" s="30" t="str">
        <f aca="true">IF(OR($A49="",$I49=""),"",IF($BC49="Y",SUMIFS(survey_frozen!$D$2:$D$251,survey_frozen!$P$2:$P$251,$A49&amp;"|"&amp;$B49),IFERROR(COUNTIFS(INDIRECT("'"&amp;$A49&amp;"'!$B$2:$B$501"),$T49,INDIRECT("'"&amp;$A49&amp;"'!$A$2:$A$501"),"&gt;="&amp;$I49,INDIRECT("'"&amp;$A49&amp;"'!$A$2:$A$501"),"&lt;"&amp;($BA49+1),INDIRECT("'"&amp;$A49&amp;"'!$C$2:$C$501"),"Yes"),0)))</f>
        <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str">
        <f aca="true">IF(OR($A49="",$I49=""),"",IF($BC49="Y",SUMIFS(survey_frozen!$E$2:$E$251,survey_frozen!$P$2:$P$251,$A49&amp;"|"&amp;$B49),IFERROR(COUNTIFS(INDIRECT("'"&amp;$A49&amp;"'!$B$2:$B$501"),$T49,INDIRECT("'"&amp;$A49&amp;"'!$A$2:$A$501"),"&gt;="&amp;$I49,INDIRECT("'"&amp;$A49&amp;"'!$A$2:$A$501"),"&lt;"&amp;($BA49+1),INDIRECT("'"&amp;$A49&amp;"'!$F$2:$F$501"),"Didn't see it"),0)))</f>
        <v/>
      </c>
      <c r="AR49" s="30" t="str">
        <f aca="true">IF(OR($A49="",$I49=""),"",IF($BC49="Y",SUMIFS(survey_frozen!$F$2:$F$251,survey_frozen!$P$2:$P$251,$A49&amp;"|"&amp;$B49),IFERROR(COUNTIFS(INDIRECT("'"&amp;$A49&amp;"'!$B$2:$B$501"),$T49,INDIRECT("'"&amp;$A49&amp;"'!$A$2:$A$501"),"&gt;="&amp;$I49,INDIRECT("'"&amp;$A49&amp;"'!$A$2:$A$501"),"&lt;"&amp;($BA49+1),INDIRECT("'"&amp;$A49&amp;"'!$F$2:$F$501"),"Not for me"),0)))</f>
        <v/>
      </c>
      <c r="AS49" s="30" t="str">
        <f aca="true">IF(OR($A49="",$I49=""),"",IF($BC49="Y",SUMIFS(survey_frozen!$G$2:$G$251,survey_frozen!$P$2:$P$251,$A49&amp;"|"&amp;$B49),IFERROR(COUNTIFS(INDIRECT("'"&amp;$A49&amp;"'!$B$2:$B$501"),$T49,INDIRECT("'"&amp;$A49&amp;"'!$A$2:$A$501"),"&gt;="&amp;$I49,INDIRECT("'"&amp;$A49&amp;"'!$A$2:$A$501"),"&lt;"&amp;($BA49+1),INDIRECT("'"&amp;$A49&amp;"'!$F$2:$F$501"),"Gone by the time I looked"),0)))</f>
        <v/>
      </c>
      <c r="AT49" s="30" t="str">
        <f aca="true">IF(OR($A49="",$I49=""),"",IF($BC49="Y",SUMIFS(survey_frozen!$H$2:$H$251,survey_frozen!$P$2:$P$251,$A49&amp;"|"&amp;$B49),IFERROR(COUNTIFS(INDIRECT("'"&amp;$A49&amp;"'!$B$2:$B$501"),$T49,INDIRECT("'"&amp;$A49&amp;"'!$A$2:$A$501"),"&gt;="&amp;$I49,INDIRECT("'"&amp;$A49&amp;"'!$A$2:$A$501"),"&lt;"&amp;($BA49+1),INDIRECT("'"&amp;$A49&amp;"'!$D$2:$D$501"),"&gt;=1"),0)))</f>
        <v/>
      </c>
      <c r="AU49" s="30" t="str">
        <f aca="true">IF(OR($A49="",$I49=""),"",IF($BC49="Y",SUMIFS(survey_frozen!$I$2:$I$251,survey_frozen!$P$2:$P$251,$A49&amp;"|"&amp;$B49),IFERROR(SUMIFS(INDIRECT("'"&amp;$A49&amp;"'!$D$2:$D$501"),INDIRECT("'"&amp;$A49&amp;"'!$B$2:$B$501"),$T49,INDIRECT("'"&amp;$A49&amp;"'!$A$2:$A$501"),"&gt;="&amp;$I49,INDIRECT("'"&amp;$A49&amp;"'!$A$2:$A$501"),"&lt;"&amp;($BA49+1)),0)))</f>
        <v/>
      </c>
      <c r="AV49" s="30" t="str">
        <f aca="true">IF(OR($A49="",$I49=""),"",IF($BC49="Y",SUMIFS(survey_frozen!$J$2:$J$251,survey_frozen!$P$2:$P$251,$A49&amp;"|"&amp;$B49),IFERROR(COUNTIFS(INDIRECT("'"&amp;$A49&amp;"'!$B$2:$B$501"),$T49,INDIRECT("'"&amp;$A49&amp;"'!$A$2:$A$501"),"&gt;="&amp;$I49,INDIRECT("'"&amp;$A49&amp;"'!$A$2:$A$501"),"&lt;"&amp;($BA49+1),INDIRECT("'"&amp;$A49&amp;"'!$E$2:$E$501"),"Yes"),0)))</f>
        <v/>
      </c>
      <c r="AW49" s="30" t="str">
        <f aca="true">IF(OR($A49="",$I49=""),"",IF($BC49="Y",SUMIFS(survey_frozen!$K$2:$K$251,survey_frozen!$P$2:$P$251,$A49&amp;"|"&amp;$B49),IFERROR(COUNTIFS(INDIRECT("'"&amp;$A49&amp;"'!$B$2:$B$501"),$T49,INDIRECT("'"&amp;$A49&amp;"'!$A$2:$A$501"),"&gt;="&amp;$I49,INDIRECT("'"&amp;$A49&amp;"'!$A$2:$A$501"),"&lt;"&amp;($BA49+1),INDIRECT("'"&amp;$A49&amp;"'!$E$2:$E$501"),"Maybe"),0)))</f>
        <v/>
      </c>
      <c r="AX49" s="30" t="str">
        <f aca="true">IF(OR($A49="",$I49=""),"",IF($BC49="Y",SUMIFS(survey_frozen!$L$2:$L$251,survey_frozen!$P$2:$P$251,$A49&amp;"|"&amp;$B49),IFERROR(COUNTIFS(INDIRECT("'"&amp;$A49&amp;"'!$B$2:$B$501"),$T49,INDIRECT("'"&amp;$A49&amp;"'!$A$2:$A$501"),"&gt;="&amp;$I49,INDIRECT("'"&amp;$A49&amp;"'!$A$2:$A$501"),"&lt;"&amp;($BA49+1),INDIRECT("'"&amp;$A49&amp;"'!$E$2:$E$501"),"No"),0)))</f>
        <v/>
      </c>
      <c r="AY49" s="30" t="str">
        <f aca="true">IF(OR($A49="",$I49=""),"",IF($BC49="Y",SUMIFS(survey_frozen!$M$2:$M$251,survey_frozen!$P$2:$P$251,$A49&amp;"|"&amp;$B49),IFERROR(COUNTIFS(INDIRECT("'"&amp;$A49&amp;"'!$B$2:$B$501"),$T49,INDIRECT("'"&amp;$A49&amp;"'!$A$2:$A$501"),"&gt;="&amp;$I49,INDIRECT("'"&amp;$A49&amp;"'!$A$2:$A$501"),"&lt;"&amp;($BA49+1),INDIRECT("'"&amp;$A49&amp;"'!$G$2:$G$501"),"&lt;&gt;"),0)))</f>
        <v/>
      </c>
      <c r="AZ49" s="30" t="str">
        <f aca="false">IF($A49="","",$A49&amp;"|"&amp;$L49)</f>
        <v/>
      </c>
      <c r="BA49" s="31" t="str">
        <f aca="false">IF($A49="","",IFERROR(IF(INDEX(drops!$R$2:$R$21,MATCH($H49,drops!$A$2:$A$21,0))="","",INDEX(drops!$R$2:$R$21,MATCH($H49,drops!$A$2:$A$21,0))),""))</f>
        <v/>
      </c>
      <c r="BB49" s="30" t="n">
        <f aca="false">IF(OR($A49="",$Q49&lt;&gt;"Y"),1000000,N($AL49))</f>
        <v>1000000</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C50" s="11"/>
      <c r="D50" s="10"/>
      <c r="E50" s="11"/>
      <c r="H50" s="30" t="str">
        <f aca="false">IF($A50="","",IFERROR(IF(INDEX(campaigns!$B$2:$B$51,MATCH($A50,campaigns!$A$2:$A$51,0))="","",INDEX(campaigns!$B$2:$B$51,MATCH($A50,campaigns!$A$2:$A$51,0))),""))</f>
        <v/>
      </c>
      <c r="I50" s="31" t="str">
        <f aca="false">IF($A50="","",IFERROR(IF(INDEX(campaigns!$BG$2:$BG$51,MATCH($A50,campaigns!$A$2:$A$51,0))="","",INDEX(campaigns!$BG$2:$BG$51,MATCH($A50,campaigns!$A$2:$A$51,0))),""))</f>
        <v/>
      </c>
      <c r="J50" s="30" t="str">
        <f aca="false">IF($A50="","",IFERROR(IF(INDEX(campaigns!$BE$2:$BE$51,MATCH($A50,campaigns!$A$2:$A$51,0))="","",INDEX(campaigns!$BE$2:$BE$51,MATCH($A50,campaigns!$A$2:$A$51,0))),""))</f>
        <v/>
      </c>
      <c r="K50" s="30" t="str">
        <f aca="false">IF($B50="","",IFERROR(IF(INDEX(offices!$O$2:$O$61,MATCH($B50,offices!$A$2:$A$61,0))="","",INDEX(offices!$O$2:$O$61,MATCH($B50,offices!$A$2:$A$61,0))),""))</f>
        <v/>
      </c>
      <c r="L50" s="30" t="str">
        <f aca="false">IF($A50="","",IF($Q50="N","",COUNTIFS($A$2:$A50,$A50,$Q$2:$Q50,"&lt;&gt;N")))</f>
        <v/>
      </c>
      <c r="M50" s="30" t="str">
        <f aca="false">IF(OR($A50="",$L50=""),"",IF(AND(config!$B$34="names_if_public",IFERROR(IF(INDEX(offices!$AG$2:$AG$61,MATCH($B50,offices!$A$2:$A$61,0))="","",INDEX(offices!$AG$2:$AG$61,MATCH($B50,offices!$A$2:$A$61,0))),"")="Y"),$K50,CHAR(64+$L50)))</f>
        <v/>
      </c>
      <c r="N50" s="30" t="str">
        <f aca="false">IF(OR($A50="",$I50=""),"",COUNTIFS(stops!$B$2:$B$151,$B50,stops!$P$2:$P$151,"&lt;"&amp;$I50,stops!$L$2:$L$151,"&lt;&gt;not_delivered")+1)</f>
        <v/>
      </c>
      <c r="O50" s="30" t="str">
        <f aca="false">IF($A50="","",IF(N($N50)&lt;=config!$B$29,"explicit","opt-out"))</f>
        <v/>
      </c>
      <c r="P50" s="30" t="str">
        <f aca="false">IF($A50="","",IF($O50="explicit",IF($D50="yes","Y",IF($D50="no","N","pending")),IF($D50="no","N",IF(AND($C50&lt;&gt;"",$I50&lt;&gt;"",$C50&lt;=WORKDAY(N($I50),-5,calendar!$A$2:$A$80)),"Y","pending"))))</f>
        <v/>
      </c>
      <c r="Q50" s="30" t="str">
        <f aca="false">IF($A50="","",IF($P50="N","N",IF($P50&lt;&gt;"Y","pending",IF(AND((COUNTIFS(stops!$A$2:$A$151,$H50,stops!$B$2:$B$151,$B50,stops!$L$2:$L$151,"declined")+COUNTIFS(stops!$A$2:$A$151,$H50,stops!$B$2:$B$151,$B50,stops!$L$2:$L$151,"building_refused")+COUNTIFS(stops!$A$2:$A$151,$H50,stops!$B$2:$B$151,$B50,stops!$L$2:$L$151,"not_delivered"))&gt;0,N($U50)=0),"N","Y"))))</f>
        <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str">
        <f aca="false">IF($A50="","",IF($G50&lt;&gt;"",$G50,IFERROR(IF(INDEX(offices!$AM$2:$AM$61,MATCH($B50,offices!$A$2:$A$61,0))="","",INDEX(offices!$AM$2:$AM$61,MATCH($B50,offices!$A$2:$A$61,0))),"")))</f>
        <v/>
      </c>
      <c r="T50" s="30" t="str">
        <f aca="false">IF($A50="","",$A50&amp;"."&amp;$B50)</f>
        <v/>
      </c>
      <c r="U50" s="30" t="str">
        <f aca="false">IF($A50="","",SUMIFS(inventory!$G$2:$G$801,inventory!$C$2:$C$801,$A50,inventory!$D$2:$D$801,$B50,inventory!$E$2:$E$801,"delivered"))</f>
        <v/>
      </c>
      <c r="V50" s="37" t="str">
        <f aca="false">IF($A50="","",IFERROR(1/(1/SUMPRODUCT(MAX((inventory!$C$2:$C$801=$A50)*(inventory!$D$2:$D$801=$B50)*(inventory!$E$2:$E$801="delivered")*(inventory!$A$2:$A$801+inventory!$B$2:$B$801)))),""))</f>
        <v/>
      </c>
      <c r="W50" s="30" t="str">
        <f aca="false">IF($A50="","",IFERROR(IF(INDEX(inventory!$J$2:$J$801,MATCH($A50&amp;"|"&amp;$B50&amp;"|delivered",inventory!$R$2:$R$801,0))="","",INDEX(inventory!$J$2:$J$801,MATCH($A50&amp;"|"&amp;$B50&amp;"|delivered",inventory!$R$2:$R$801,0))),""))</f>
        <v/>
      </c>
      <c r="X50" s="30" t="str">
        <f aca="false">IF($A50="","",IFERROR(IF(INDEX(photos!$H$2:$H$701,MATCH($A50&amp;"|"&amp;$B50&amp;"|placement|Y",photos!$R$2:$R$701,0))="","",INDEX(photos!$H$2:$H$701,MATCH($A50&amp;"|"&amp;$B50&amp;"|placement|Y",photos!$R$2:$R$701,0))),""))</f>
        <v/>
      </c>
      <c r="Y50" s="31" t="str">
        <f aca="false">IF($A50="","",IFERROR(IF(INDEX(photos!$E$2:$E$701,MATCH($A50&amp;"|"&amp;$B50&amp;"|placement|Y",photos!$R$2:$R$701,0))="","",INDEX(photos!$E$2:$E$701,MATCH($A50&amp;"|"&amp;$B50&amp;"|placement|Y",photos!$R$2:$R$701,0))),""))</f>
        <v/>
      </c>
      <c r="Z50" s="30" t="str">
        <f aca="false">IF($A50="","",IF(COUNTIFS(counts!$C$2:$C$701,$A50,counts!$D$2:$D$701,$B50,counts!$E$2:$E$701,"placed")=0,"",SUMIFS(counts!$F$2:$F$701,counts!$C$2:$C$701,$A50,counts!$D$2:$D$701,$B50,counts!$E$2:$E$701,"placed")))</f>
        <v/>
      </c>
      <c r="AA50" s="30" t="str">
        <f aca="false">IF($A50="","",IF($Y50="",0,N($Z50)))</f>
        <v/>
      </c>
      <c r="AB50" s="30" t="str">
        <f aca="false">IF($A50="","",IF(OR($Y50="",$I50=""),"N",IF($Y50&lt;=WORKDAY(N($I50),1,calendar!$A$2:$A$80),"Y","N")))</f>
        <v/>
      </c>
      <c r="AC50" s="33" t="str">
        <f aca="false">IF(OR($A50="",$V50="",$Y50=""),"",ROUND(($Y50+N(IFERROR(IF(INDEX(photos!$F$2:$F$701,MATCH($A50&amp;"|"&amp;$B50&amp;"|placement|Y",photos!$R$2:$R$701,0))="","",INDEX(photos!$F$2:$F$701,MATCH($A50&amp;"|"&amp;$B50&amp;"|placement|Y",photos!$R$2:$R$701,0))),""))-$V50)*24,1))</f>
        <v/>
      </c>
      <c r="AD50" s="30" t="str">
        <f aca="false">IF($A50="","",SUMIFS(inventory!$G$2:$G$801,inventory!$C$2:$C$801,$A50,inventory!$D$2:$D$801,$B50,inventory!$E$2:$E$801,"topped_up"))</f>
        <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
      </c>
      <c r="AL50" s="30" t="str">
        <f aca="true">IF(OR($A50="",$I50=""),"",IF($BC50="Y",SUMIFS(survey_frozen!$C$2:$C$251,survey_frozen!$P$2:$P$251,$A50&amp;"|"&amp;$B50),IFERROR(COUNTIFS(INDIRECT("'"&amp;$A50&amp;"'!$B$2:$B$501"),$T50,INDIRECT("'"&amp;$A50&amp;"'!$A$2:$A$501"),"&gt;="&amp;$I50,INDIRECT("'"&amp;$A50&amp;"'!$A$2:$A$501"),"&lt;"&amp;($BA50+1)),0)))</f>
        <v/>
      </c>
      <c r="AM50" s="30" t="str">
        <f aca="true">IF(OR($A50="",$I50=""),"",IF($BC50="Y",SUMIFS(survey_frozen!$D$2:$D$251,survey_frozen!$P$2:$P$251,$A50&amp;"|"&amp;$B50),IFERROR(COUNTIFS(INDIRECT("'"&amp;$A50&amp;"'!$B$2:$B$501"),$T50,INDIRECT("'"&amp;$A50&amp;"'!$A$2:$A$501"),"&gt;="&amp;$I50,INDIRECT("'"&amp;$A50&amp;"'!$A$2:$A$501"),"&lt;"&amp;($BA50+1),INDIRECT("'"&amp;$A50&amp;"'!$C$2:$C$501"),"Yes"),0)))</f>
        <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str">
        <f aca="true">IF(OR($A50="",$I50=""),"",IF($BC50="Y",SUMIFS(survey_frozen!$E$2:$E$251,survey_frozen!$P$2:$P$251,$A50&amp;"|"&amp;$B50),IFERROR(COUNTIFS(INDIRECT("'"&amp;$A50&amp;"'!$B$2:$B$501"),$T50,INDIRECT("'"&amp;$A50&amp;"'!$A$2:$A$501"),"&gt;="&amp;$I50,INDIRECT("'"&amp;$A50&amp;"'!$A$2:$A$501"),"&lt;"&amp;($BA50+1),INDIRECT("'"&amp;$A50&amp;"'!$F$2:$F$501"),"Didn't see it"),0)))</f>
        <v/>
      </c>
      <c r="AR50" s="30" t="str">
        <f aca="true">IF(OR($A50="",$I50=""),"",IF($BC50="Y",SUMIFS(survey_frozen!$F$2:$F$251,survey_frozen!$P$2:$P$251,$A50&amp;"|"&amp;$B50),IFERROR(COUNTIFS(INDIRECT("'"&amp;$A50&amp;"'!$B$2:$B$501"),$T50,INDIRECT("'"&amp;$A50&amp;"'!$A$2:$A$501"),"&gt;="&amp;$I50,INDIRECT("'"&amp;$A50&amp;"'!$A$2:$A$501"),"&lt;"&amp;($BA50+1),INDIRECT("'"&amp;$A50&amp;"'!$F$2:$F$501"),"Not for me"),0)))</f>
        <v/>
      </c>
      <c r="AS50" s="30" t="str">
        <f aca="true">IF(OR($A50="",$I50=""),"",IF($BC50="Y",SUMIFS(survey_frozen!$G$2:$G$251,survey_frozen!$P$2:$P$251,$A50&amp;"|"&amp;$B50),IFERROR(COUNTIFS(INDIRECT("'"&amp;$A50&amp;"'!$B$2:$B$501"),$T50,INDIRECT("'"&amp;$A50&amp;"'!$A$2:$A$501"),"&gt;="&amp;$I50,INDIRECT("'"&amp;$A50&amp;"'!$A$2:$A$501"),"&lt;"&amp;($BA50+1),INDIRECT("'"&amp;$A50&amp;"'!$F$2:$F$501"),"Gone by the time I looked"),0)))</f>
        <v/>
      </c>
      <c r="AT50" s="30" t="str">
        <f aca="true">IF(OR($A50="",$I50=""),"",IF($BC50="Y",SUMIFS(survey_frozen!$H$2:$H$251,survey_frozen!$P$2:$P$251,$A50&amp;"|"&amp;$B50),IFERROR(COUNTIFS(INDIRECT("'"&amp;$A50&amp;"'!$B$2:$B$501"),$T50,INDIRECT("'"&amp;$A50&amp;"'!$A$2:$A$501"),"&gt;="&amp;$I50,INDIRECT("'"&amp;$A50&amp;"'!$A$2:$A$501"),"&lt;"&amp;($BA50+1),INDIRECT("'"&amp;$A50&amp;"'!$D$2:$D$501"),"&gt;=1"),0)))</f>
        <v/>
      </c>
      <c r="AU50" s="30" t="str">
        <f aca="true">IF(OR($A50="",$I50=""),"",IF($BC50="Y",SUMIFS(survey_frozen!$I$2:$I$251,survey_frozen!$P$2:$P$251,$A50&amp;"|"&amp;$B50),IFERROR(SUMIFS(INDIRECT("'"&amp;$A50&amp;"'!$D$2:$D$501"),INDIRECT("'"&amp;$A50&amp;"'!$B$2:$B$501"),$T50,INDIRECT("'"&amp;$A50&amp;"'!$A$2:$A$501"),"&gt;="&amp;$I50,INDIRECT("'"&amp;$A50&amp;"'!$A$2:$A$501"),"&lt;"&amp;($BA50+1)),0)))</f>
        <v/>
      </c>
      <c r="AV50" s="30" t="str">
        <f aca="true">IF(OR($A50="",$I50=""),"",IF($BC50="Y",SUMIFS(survey_frozen!$J$2:$J$251,survey_frozen!$P$2:$P$251,$A50&amp;"|"&amp;$B50),IFERROR(COUNTIFS(INDIRECT("'"&amp;$A50&amp;"'!$B$2:$B$501"),$T50,INDIRECT("'"&amp;$A50&amp;"'!$A$2:$A$501"),"&gt;="&amp;$I50,INDIRECT("'"&amp;$A50&amp;"'!$A$2:$A$501"),"&lt;"&amp;($BA50+1),INDIRECT("'"&amp;$A50&amp;"'!$E$2:$E$501"),"Yes"),0)))</f>
        <v/>
      </c>
      <c r="AW50" s="30" t="str">
        <f aca="true">IF(OR($A50="",$I50=""),"",IF($BC50="Y",SUMIFS(survey_frozen!$K$2:$K$251,survey_frozen!$P$2:$P$251,$A50&amp;"|"&amp;$B50),IFERROR(COUNTIFS(INDIRECT("'"&amp;$A50&amp;"'!$B$2:$B$501"),$T50,INDIRECT("'"&amp;$A50&amp;"'!$A$2:$A$501"),"&gt;="&amp;$I50,INDIRECT("'"&amp;$A50&amp;"'!$A$2:$A$501"),"&lt;"&amp;($BA50+1),INDIRECT("'"&amp;$A50&amp;"'!$E$2:$E$501"),"Maybe"),0)))</f>
        <v/>
      </c>
      <c r="AX50" s="30" t="str">
        <f aca="true">IF(OR($A50="",$I50=""),"",IF($BC50="Y",SUMIFS(survey_frozen!$L$2:$L$251,survey_frozen!$P$2:$P$251,$A50&amp;"|"&amp;$B50),IFERROR(COUNTIFS(INDIRECT("'"&amp;$A50&amp;"'!$B$2:$B$501"),$T50,INDIRECT("'"&amp;$A50&amp;"'!$A$2:$A$501"),"&gt;="&amp;$I50,INDIRECT("'"&amp;$A50&amp;"'!$A$2:$A$501"),"&lt;"&amp;($BA50+1),INDIRECT("'"&amp;$A50&amp;"'!$E$2:$E$501"),"No"),0)))</f>
        <v/>
      </c>
      <c r="AY50" s="30" t="str">
        <f aca="true">IF(OR($A50="",$I50=""),"",IF($BC50="Y",SUMIFS(survey_frozen!$M$2:$M$251,survey_frozen!$P$2:$P$251,$A50&amp;"|"&amp;$B50),IFERROR(COUNTIFS(INDIRECT("'"&amp;$A50&amp;"'!$B$2:$B$501"),$T50,INDIRECT("'"&amp;$A50&amp;"'!$A$2:$A$501"),"&gt;="&amp;$I50,INDIRECT("'"&amp;$A50&amp;"'!$A$2:$A$501"),"&lt;"&amp;($BA50+1),INDIRECT("'"&amp;$A50&amp;"'!$G$2:$G$501"),"&lt;&gt;"),0)))</f>
        <v/>
      </c>
      <c r="AZ50" s="30" t="str">
        <f aca="false">IF($A50="","",$A50&amp;"|"&amp;$L50)</f>
        <v/>
      </c>
      <c r="BA50" s="31" t="str">
        <f aca="false">IF($A50="","",IFERROR(IF(INDEX(drops!$R$2:$R$21,MATCH($H50,drops!$A$2:$A$21,0))="","",INDEX(drops!$R$2:$R$21,MATCH($H50,drops!$A$2:$A$21,0))),""))</f>
        <v/>
      </c>
      <c r="BB50" s="30" t="n">
        <f aca="false">IF(OR($A50="",$Q50&lt;&gt;"Y"),1000000,N($AL50))</f>
        <v>1000000</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C51" s="11"/>
      <c r="D51" s="10"/>
      <c r="E51" s="11"/>
      <c r="H51" s="30" t="str">
        <f aca="false">IF($A51="","",IFERROR(IF(INDEX(campaigns!$B$2:$B$51,MATCH($A51,campaigns!$A$2:$A$51,0))="","",INDEX(campaigns!$B$2:$B$51,MATCH($A51,campaigns!$A$2:$A$51,0))),""))</f>
        <v/>
      </c>
      <c r="I51" s="31" t="str">
        <f aca="false">IF($A51="","",IFERROR(IF(INDEX(campaigns!$BG$2:$BG$51,MATCH($A51,campaigns!$A$2:$A$51,0))="","",INDEX(campaigns!$BG$2:$BG$51,MATCH($A51,campaigns!$A$2:$A$51,0))),""))</f>
        <v/>
      </c>
      <c r="J51" s="30" t="str">
        <f aca="false">IF($A51="","",IFERROR(IF(INDEX(campaigns!$BE$2:$BE$51,MATCH($A51,campaigns!$A$2:$A$51,0))="","",INDEX(campaigns!$BE$2:$BE$51,MATCH($A51,campaigns!$A$2:$A$51,0))),""))</f>
        <v/>
      </c>
      <c r="K51" s="30" t="str">
        <f aca="false">IF($B51="","",IFERROR(IF(INDEX(offices!$O$2:$O$61,MATCH($B51,offices!$A$2:$A$61,0))="","",INDEX(offices!$O$2:$O$61,MATCH($B51,offices!$A$2:$A$61,0))),""))</f>
        <v/>
      </c>
      <c r="L51" s="30" t="str">
        <f aca="false">IF($A51="","",IF($Q51="N","",COUNTIFS($A$2:$A51,$A51,$Q$2:$Q51,"&lt;&gt;N")))</f>
        <v/>
      </c>
      <c r="M51" s="30" t="str">
        <f aca="false">IF(OR($A51="",$L51=""),"",IF(AND(config!$B$34="names_if_public",IFERROR(IF(INDEX(offices!$AG$2:$AG$61,MATCH($B51,offices!$A$2:$A$61,0))="","",INDEX(offices!$AG$2:$AG$61,MATCH($B51,offices!$A$2:$A$61,0))),"")="Y"),$K51,CHAR(64+$L51)))</f>
        <v/>
      </c>
      <c r="N51" s="30" t="str">
        <f aca="false">IF(OR($A51="",$I51=""),"",COUNTIFS(stops!$B$2:$B$151,$B51,stops!$P$2:$P$151,"&lt;"&amp;$I51,stops!$L$2:$L$151,"&lt;&gt;not_delivered")+1)</f>
        <v/>
      </c>
      <c r="O51" s="30" t="str">
        <f aca="false">IF($A51="","",IF(N($N51)&lt;=config!$B$29,"explicit","opt-out"))</f>
        <v/>
      </c>
      <c r="P51" s="30" t="str">
        <f aca="false">IF($A51="","",IF($O51="explicit",IF($D51="yes","Y",IF($D51="no","N","pending")),IF($D51="no","N",IF(AND($C51&lt;&gt;"",$I51&lt;&gt;"",$C51&lt;=WORKDAY(N($I51),-5,calendar!$A$2:$A$80)),"Y","pending"))))</f>
        <v/>
      </c>
      <c r="Q51" s="30" t="str">
        <f aca="false">IF($A51="","",IF($P51="N","N",IF($P51&lt;&gt;"Y","pending",IF(AND((COUNTIFS(stops!$A$2:$A$151,$H51,stops!$B$2:$B$151,$B51,stops!$L$2:$L$151,"declined")+COUNTIFS(stops!$A$2:$A$151,$H51,stops!$B$2:$B$151,$B51,stops!$L$2:$L$151,"building_refused")+COUNTIFS(stops!$A$2:$A$151,$H51,stops!$B$2:$B$151,$B51,stops!$L$2:$L$151,"not_delivered"))&gt;0,N($U51)=0),"N","Y"))))</f>
        <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str">
        <f aca="false">IF($A51="","",IF($G51&lt;&gt;"",$G51,IFERROR(IF(INDEX(offices!$AM$2:$AM$61,MATCH($B51,offices!$A$2:$A$61,0))="","",INDEX(offices!$AM$2:$AM$61,MATCH($B51,offices!$A$2:$A$61,0))),"")))</f>
        <v/>
      </c>
      <c r="T51" s="30" t="str">
        <f aca="false">IF($A51="","",$A51&amp;"."&amp;$B51)</f>
        <v/>
      </c>
      <c r="U51" s="30" t="str">
        <f aca="false">IF($A51="","",SUMIFS(inventory!$G$2:$G$801,inventory!$C$2:$C$801,$A51,inventory!$D$2:$D$801,$B51,inventory!$E$2:$E$801,"delivered"))</f>
        <v/>
      </c>
      <c r="V51" s="37" t="str">
        <f aca="false">IF($A51="","",IFERROR(1/(1/SUMPRODUCT(MAX((inventory!$C$2:$C$801=$A51)*(inventory!$D$2:$D$801=$B51)*(inventory!$E$2:$E$801="delivered")*(inventory!$A$2:$A$801+inventory!$B$2:$B$801)))),""))</f>
        <v/>
      </c>
      <c r="W51" s="30" t="str">
        <f aca="false">IF($A51="","",IFERROR(IF(INDEX(inventory!$J$2:$J$801,MATCH($A51&amp;"|"&amp;$B51&amp;"|delivered",inventory!$R$2:$R$801,0))="","",INDEX(inventory!$J$2:$J$801,MATCH($A51&amp;"|"&amp;$B51&amp;"|delivered",inventory!$R$2:$R$801,0))),""))</f>
        <v/>
      </c>
      <c r="X51" s="30" t="str">
        <f aca="false">IF($A51="","",IFERROR(IF(INDEX(photos!$H$2:$H$701,MATCH($A51&amp;"|"&amp;$B51&amp;"|placement|Y",photos!$R$2:$R$701,0))="","",INDEX(photos!$H$2:$H$701,MATCH($A51&amp;"|"&amp;$B51&amp;"|placement|Y",photos!$R$2:$R$701,0))),""))</f>
        <v/>
      </c>
      <c r="Y51" s="31" t="str">
        <f aca="false">IF($A51="","",IFERROR(IF(INDEX(photos!$E$2:$E$701,MATCH($A51&amp;"|"&amp;$B51&amp;"|placement|Y",photos!$R$2:$R$701,0))="","",INDEX(photos!$E$2:$E$701,MATCH($A51&amp;"|"&amp;$B51&amp;"|placement|Y",photos!$R$2:$R$701,0))),""))</f>
        <v/>
      </c>
      <c r="Z51" s="30" t="str">
        <f aca="false">IF($A51="","",IF(COUNTIFS(counts!$C$2:$C$701,$A51,counts!$D$2:$D$701,$B51,counts!$E$2:$E$701,"placed")=0,"",SUMIFS(counts!$F$2:$F$701,counts!$C$2:$C$701,$A51,counts!$D$2:$D$701,$B51,counts!$E$2:$E$701,"placed")))</f>
        <v/>
      </c>
      <c r="AA51" s="30" t="str">
        <f aca="false">IF($A51="","",IF($Y51="",0,N($Z51)))</f>
        <v/>
      </c>
      <c r="AB51" s="30" t="str">
        <f aca="false">IF($A51="","",IF(OR($Y51="",$I51=""),"N",IF($Y51&lt;=WORKDAY(N($I51),1,calendar!$A$2:$A$80),"Y","N")))</f>
        <v/>
      </c>
      <c r="AC51" s="33" t="str">
        <f aca="false">IF(OR($A51="",$V51="",$Y51=""),"",ROUND(($Y51+N(IFERROR(IF(INDEX(photos!$F$2:$F$701,MATCH($A51&amp;"|"&amp;$B51&amp;"|placement|Y",photos!$R$2:$R$701,0))="","",INDEX(photos!$F$2:$F$701,MATCH($A51&amp;"|"&amp;$B51&amp;"|placement|Y",photos!$R$2:$R$701,0))),""))-$V51)*24,1))</f>
        <v/>
      </c>
      <c r="AD51" s="30" t="str">
        <f aca="false">IF($A51="","",SUMIFS(inventory!$G$2:$G$801,inventory!$C$2:$C$801,$A51,inventory!$D$2:$D$801,$B51,inventory!$E$2:$E$801,"topped_up"))</f>
        <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
      </c>
      <c r="AL51" s="30" t="str">
        <f aca="true">IF(OR($A51="",$I51=""),"",IF($BC51="Y",SUMIFS(survey_frozen!$C$2:$C$251,survey_frozen!$P$2:$P$251,$A51&amp;"|"&amp;$B51),IFERROR(COUNTIFS(INDIRECT("'"&amp;$A51&amp;"'!$B$2:$B$501"),$T51,INDIRECT("'"&amp;$A51&amp;"'!$A$2:$A$501"),"&gt;="&amp;$I51,INDIRECT("'"&amp;$A51&amp;"'!$A$2:$A$501"),"&lt;"&amp;($BA51+1)),0)))</f>
        <v/>
      </c>
      <c r="AM51" s="30" t="str">
        <f aca="true">IF(OR($A51="",$I51=""),"",IF($BC51="Y",SUMIFS(survey_frozen!$D$2:$D$251,survey_frozen!$P$2:$P$251,$A51&amp;"|"&amp;$B51),IFERROR(COUNTIFS(INDIRECT("'"&amp;$A51&amp;"'!$B$2:$B$501"),$T51,INDIRECT("'"&amp;$A51&amp;"'!$A$2:$A$501"),"&gt;="&amp;$I51,INDIRECT("'"&amp;$A51&amp;"'!$A$2:$A$501"),"&lt;"&amp;($BA51+1),INDIRECT("'"&amp;$A51&amp;"'!$C$2:$C$501"),"Yes"),0)))</f>
        <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str">
        <f aca="true">IF(OR($A51="",$I51=""),"",IF($BC51="Y",SUMIFS(survey_frozen!$E$2:$E$251,survey_frozen!$P$2:$P$251,$A51&amp;"|"&amp;$B51),IFERROR(COUNTIFS(INDIRECT("'"&amp;$A51&amp;"'!$B$2:$B$501"),$T51,INDIRECT("'"&amp;$A51&amp;"'!$A$2:$A$501"),"&gt;="&amp;$I51,INDIRECT("'"&amp;$A51&amp;"'!$A$2:$A$501"),"&lt;"&amp;($BA51+1),INDIRECT("'"&amp;$A51&amp;"'!$F$2:$F$501"),"Didn't see it"),0)))</f>
        <v/>
      </c>
      <c r="AR51" s="30" t="str">
        <f aca="true">IF(OR($A51="",$I51=""),"",IF($BC51="Y",SUMIFS(survey_frozen!$F$2:$F$251,survey_frozen!$P$2:$P$251,$A51&amp;"|"&amp;$B51),IFERROR(COUNTIFS(INDIRECT("'"&amp;$A51&amp;"'!$B$2:$B$501"),$T51,INDIRECT("'"&amp;$A51&amp;"'!$A$2:$A$501"),"&gt;="&amp;$I51,INDIRECT("'"&amp;$A51&amp;"'!$A$2:$A$501"),"&lt;"&amp;($BA51+1),INDIRECT("'"&amp;$A51&amp;"'!$F$2:$F$501"),"Not for me"),0)))</f>
        <v/>
      </c>
      <c r="AS51" s="30" t="str">
        <f aca="true">IF(OR($A51="",$I51=""),"",IF($BC51="Y",SUMIFS(survey_frozen!$G$2:$G$251,survey_frozen!$P$2:$P$251,$A51&amp;"|"&amp;$B51),IFERROR(COUNTIFS(INDIRECT("'"&amp;$A51&amp;"'!$B$2:$B$501"),$T51,INDIRECT("'"&amp;$A51&amp;"'!$A$2:$A$501"),"&gt;="&amp;$I51,INDIRECT("'"&amp;$A51&amp;"'!$A$2:$A$501"),"&lt;"&amp;($BA51+1),INDIRECT("'"&amp;$A51&amp;"'!$F$2:$F$501"),"Gone by the time I looked"),0)))</f>
        <v/>
      </c>
      <c r="AT51" s="30" t="str">
        <f aca="true">IF(OR($A51="",$I51=""),"",IF($BC51="Y",SUMIFS(survey_frozen!$H$2:$H$251,survey_frozen!$P$2:$P$251,$A51&amp;"|"&amp;$B51),IFERROR(COUNTIFS(INDIRECT("'"&amp;$A51&amp;"'!$B$2:$B$501"),$T51,INDIRECT("'"&amp;$A51&amp;"'!$A$2:$A$501"),"&gt;="&amp;$I51,INDIRECT("'"&amp;$A51&amp;"'!$A$2:$A$501"),"&lt;"&amp;($BA51+1),INDIRECT("'"&amp;$A51&amp;"'!$D$2:$D$501"),"&gt;=1"),0)))</f>
        <v/>
      </c>
      <c r="AU51" s="30" t="str">
        <f aca="true">IF(OR($A51="",$I51=""),"",IF($BC51="Y",SUMIFS(survey_frozen!$I$2:$I$251,survey_frozen!$P$2:$P$251,$A51&amp;"|"&amp;$B51),IFERROR(SUMIFS(INDIRECT("'"&amp;$A51&amp;"'!$D$2:$D$501"),INDIRECT("'"&amp;$A51&amp;"'!$B$2:$B$501"),$T51,INDIRECT("'"&amp;$A51&amp;"'!$A$2:$A$501"),"&gt;="&amp;$I51,INDIRECT("'"&amp;$A51&amp;"'!$A$2:$A$501"),"&lt;"&amp;($BA51+1)),0)))</f>
        <v/>
      </c>
      <c r="AV51" s="30" t="str">
        <f aca="true">IF(OR($A51="",$I51=""),"",IF($BC51="Y",SUMIFS(survey_frozen!$J$2:$J$251,survey_frozen!$P$2:$P$251,$A51&amp;"|"&amp;$B51),IFERROR(COUNTIFS(INDIRECT("'"&amp;$A51&amp;"'!$B$2:$B$501"),$T51,INDIRECT("'"&amp;$A51&amp;"'!$A$2:$A$501"),"&gt;="&amp;$I51,INDIRECT("'"&amp;$A51&amp;"'!$A$2:$A$501"),"&lt;"&amp;($BA51+1),INDIRECT("'"&amp;$A51&amp;"'!$E$2:$E$501"),"Yes"),0)))</f>
        <v/>
      </c>
      <c r="AW51" s="30" t="str">
        <f aca="true">IF(OR($A51="",$I51=""),"",IF($BC51="Y",SUMIFS(survey_frozen!$K$2:$K$251,survey_frozen!$P$2:$P$251,$A51&amp;"|"&amp;$B51),IFERROR(COUNTIFS(INDIRECT("'"&amp;$A51&amp;"'!$B$2:$B$501"),$T51,INDIRECT("'"&amp;$A51&amp;"'!$A$2:$A$501"),"&gt;="&amp;$I51,INDIRECT("'"&amp;$A51&amp;"'!$A$2:$A$501"),"&lt;"&amp;($BA51+1),INDIRECT("'"&amp;$A51&amp;"'!$E$2:$E$501"),"Maybe"),0)))</f>
        <v/>
      </c>
      <c r="AX51" s="30" t="str">
        <f aca="true">IF(OR($A51="",$I51=""),"",IF($BC51="Y",SUMIFS(survey_frozen!$L$2:$L$251,survey_frozen!$P$2:$P$251,$A51&amp;"|"&amp;$B51),IFERROR(COUNTIFS(INDIRECT("'"&amp;$A51&amp;"'!$B$2:$B$501"),$T51,INDIRECT("'"&amp;$A51&amp;"'!$A$2:$A$501"),"&gt;="&amp;$I51,INDIRECT("'"&amp;$A51&amp;"'!$A$2:$A$501"),"&lt;"&amp;($BA51+1),INDIRECT("'"&amp;$A51&amp;"'!$E$2:$E$501"),"No"),0)))</f>
        <v/>
      </c>
      <c r="AY51" s="30" t="str">
        <f aca="true">IF(OR($A51="",$I51=""),"",IF($BC51="Y",SUMIFS(survey_frozen!$M$2:$M$251,survey_frozen!$P$2:$P$251,$A51&amp;"|"&amp;$B51),IFERROR(COUNTIFS(INDIRECT("'"&amp;$A51&amp;"'!$B$2:$B$501"),$T51,INDIRECT("'"&amp;$A51&amp;"'!$A$2:$A$501"),"&gt;="&amp;$I51,INDIRECT("'"&amp;$A51&amp;"'!$A$2:$A$501"),"&lt;"&amp;($BA51+1),INDIRECT("'"&amp;$A51&amp;"'!$G$2:$G$501"),"&lt;&gt;"),0)))</f>
        <v/>
      </c>
      <c r="AZ51" s="30" t="str">
        <f aca="false">IF($A51="","",$A51&amp;"|"&amp;$L51)</f>
        <v/>
      </c>
      <c r="BA51" s="31" t="str">
        <f aca="false">IF($A51="","",IFERROR(IF(INDEX(drops!$R$2:$R$21,MATCH($H51,drops!$A$2:$A$21,0))="","",INDEX(drops!$R$2:$R$21,MATCH($H51,drops!$A$2:$A$21,0))),""))</f>
        <v/>
      </c>
      <c r="BB51" s="30" t="n">
        <f aca="false">IF(OR($A51="",$Q51&lt;&gt;"Y"),1000000,N($AL51))</f>
        <v>1000000</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540</v>
      </c>
      <c r="C1" s="28" t="s">
        <v>626</v>
      </c>
      <c r="D1" s="28" t="s">
        <v>627</v>
      </c>
      <c r="E1" s="28" t="s">
        <v>628</v>
      </c>
      <c r="F1" s="28" t="s">
        <v>629</v>
      </c>
      <c r="G1" s="28" t="s">
        <v>630</v>
      </c>
      <c r="H1" s="28" t="s">
        <v>631</v>
      </c>
      <c r="I1" s="28" t="s">
        <v>632</v>
      </c>
      <c r="J1" s="28" t="s">
        <v>633</v>
      </c>
      <c r="K1" s="28" t="s">
        <v>634</v>
      </c>
      <c r="L1" s="28" t="s">
        <v>635</v>
      </c>
      <c r="M1" s="28" t="s">
        <v>305</v>
      </c>
      <c r="N1" s="28" t="s">
        <v>636</v>
      </c>
      <c r="O1" s="28" t="s">
        <v>637</v>
      </c>
      <c r="P1" s="29" t="s">
        <v>300</v>
      </c>
      <c r="Q1" s="29" t="s">
        <v>138</v>
      </c>
      <c r="R1" s="29" t="s">
        <v>552</v>
      </c>
      <c r="S1" s="29" t="s">
        <v>553</v>
      </c>
      <c r="T1" s="29" t="s">
        <v>559</v>
      </c>
      <c r="U1" s="29" t="s">
        <v>558</v>
      </c>
      <c r="V1" s="29" t="s">
        <v>555</v>
      </c>
      <c r="W1" s="29" t="s">
        <v>568</v>
      </c>
      <c r="X1" s="29" t="s">
        <v>546</v>
      </c>
      <c r="Y1" s="29" t="s">
        <v>548</v>
      </c>
      <c r="Z1" s="29" t="s">
        <v>638</v>
      </c>
      <c r="AA1" s="29" t="s">
        <v>639</v>
      </c>
      <c r="AB1" s="29" t="s">
        <v>640</v>
      </c>
      <c r="AC1" s="29" t="s">
        <v>641</v>
      </c>
      <c r="AD1" s="29" t="s">
        <v>120</v>
      </c>
      <c r="AE1" s="29" t="s">
        <v>547</v>
      </c>
      <c r="AF1" s="29" t="s">
        <v>642</v>
      </c>
    </row>
    <row r="2" customFormat="false" ht="15" hidden="false" customHeight="false" outlineLevel="0" collapsed="false">
      <c r="A2" s="0" t="s">
        <v>337</v>
      </c>
      <c r="B2" s="0" t="s">
        <v>576</v>
      </c>
      <c r="C2" s="0" t="n">
        <v>1</v>
      </c>
      <c r="D2" s="38" t="n">
        <v>0.340277777777778</v>
      </c>
      <c r="E2" s="11" t="n">
        <v>46394</v>
      </c>
      <c r="F2" s="11" t="n">
        <v>46398</v>
      </c>
      <c r="G2" s="11"/>
      <c r="I2" s="38" t="n">
        <v>0.347222222222222</v>
      </c>
      <c r="J2" s="38" t="n">
        <v>0.359722222222222</v>
      </c>
      <c r="K2" s="10" t="s">
        <v>643</v>
      </c>
      <c r="L2" s="10" t="s">
        <v>644</v>
      </c>
      <c r="N2" s="11" t="n">
        <v>46412</v>
      </c>
      <c r="O2" s="10" t="s">
        <v>482</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581</v>
      </c>
      <c r="C3" s="0" t="n">
        <v>2</v>
      </c>
      <c r="D3" s="38" t="n">
        <v>0.371527777777778</v>
      </c>
      <c r="E3" s="11" t="n">
        <v>46394</v>
      </c>
      <c r="F3" s="11" t="n">
        <v>46398</v>
      </c>
      <c r="G3" s="11"/>
      <c r="I3" s="38" t="n">
        <v>0.372916666666667</v>
      </c>
      <c r="J3" s="38" t="n">
        <v>0.384722222222222</v>
      </c>
      <c r="K3" s="10" t="s">
        <v>643</v>
      </c>
      <c r="L3" s="10" t="s">
        <v>644</v>
      </c>
      <c r="N3" s="11" t="n">
        <v>46412</v>
      </c>
      <c r="O3" s="10" t="s">
        <v>482</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579</v>
      </c>
      <c r="C4" s="0" t="n">
        <v>3</v>
      </c>
      <c r="D4" s="38" t="n">
        <v>0.395833333333333</v>
      </c>
      <c r="E4" s="11" t="n">
        <v>46394</v>
      </c>
      <c r="F4" s="11" t="n">
        <v>46398</v>
      </c>
      <c r="G4" s="11"/>
      <c r="I4" s="38" t="n">
        <v>0.396527777777778</v>
      </c>
      <c r="J4" s="38" t="n">
        <v>0.406944444444444</v>
      </c>
      <c r="K4" s="10" t="s">
        <v>643</v>
      </c>
      <c r="L4" s="10" t="s">
        <v>645</v>
      </c>
      <c r="N4" s="11" t="n">
        <v>46412</v>
      </c>
      <c r="O4" s="10" t="s">
        <v>482</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586</v>
      </c>
      <c r="C5" s="0" t="n">
        <v>4</v>
      </c>
      <c r="D5" s="38" t="n">
        <v>0.423611111111111</v>
      </c>
      <c r="E5" s="11" t="n">
        <v>46394</v>
      </c>
      <c r="F5" s="11" t="n">
        <v>46398</v>
      </c>
      <c r="G5" s="11"/>
      <c r="I5" s="38" t="n">
        <v>0.426388888888889</v>
      </c>
      <c r="J5" s="38" t="n">
        <v>0.441666666666667</v>
      </c>
      <c r="K5" s="10" t="s">
        <v>643</v>
      </c>
      <c r="L5" s="10" t="s">
        <v>645</v>
      </c>
      <c r="N5" s="11" t="n">
        <v>46412</v>
      </c>
      <c r="O5" s="10" t="s">
        <v>482</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584</v>
      </c>
      <c r="C6" s="0" t="n">
        <v>5</v>
      </c>
      <c r="D6" s="38" t="n">
        <v>0.451388888888889</v>
      </c>
      <c r="E6" s="11" t="n">
        <v>46394</v>
      </c>
      <c r="F6" s="11" t="n">
        <v>46398</v>
      </c>
      <c r="G6" s="11"/>
      <c r="I6" s="38" t="n">
        <v>0.452777777777778</v>
      </c>
      <c r="J6" s="38" t="n">
        <v>0.461111111111111</v>
      </c>
      <c r="K6" s="10" t="s">
        <v>646</v>
      </c>
      <c r="L6" s="10" t="s">
        <v>647</v>
      </c>
      <c r="M6" s="10" t="s">
        <v>648</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D7" s="38"/>
      <c r="E7" s="11"/>
      <c r="F7" s="11"/>
      <c r="G7" s="11"/>
      <c r="I7" s="38"/>
      <c r="J7" s="38"/>
      <c r="K7" s="10"/>
      <c r="L7" s="10"/>
      <c r="N7" s="11"/>
      <c r="O7" s="10"/>
      <c r="P7" s="31" t="str">
        <f aca="false">IF($A7="","",IF(IFERROR(IF(INDEX(drops!$I$2:$I$21,MATCH($A7,drops!$A$2:$A$21,0))="","",INDEX(drops!$I$2:$I$21,MATCH($A7,drops!$A$2:$A$21,0))),"")="OK",IFERROR(IF(INDEX(drops!$B$2:$B$21,MATCH($A7,drops!$A$2:$A$21,0))="","",INDEX(drops!$B$2:$B$21,MATCH($A7,drops!$A$2:$A$21,0))),""),""))</f>
        <v/>
      </c>
      <c r="Q7" s="30" t="str">
        <f aca="false">IF($B7="","",IFERROR(IF(INDEX(offices!$O$2:$O$61,MATCH($B7,offices!$A$2:$A$61,0))="","",INDEX(offices!$O$2:$O$61,MATCH($B7,offices!$A$2:$A$61,0))),""))</f>
        <v/>
      </c>
      <c r="R7" s="30" t="str">
        <f aca="false">IF($B7="","",IFERROR(IF(INDEX(offices!$P$2:$P$61,MATCH($B7,offices!$A$2:$A$61,0))="","",INDEX(offices!$P$2:$P$61,MATCH($B7,offices!$A$2:$A$61,0))),""))</f>
        <v/>
      </c>
      <c r="S7" s="30" t="str">
        <f aca="false">IF($B7="","",IFERROR(IF(INDEX(offices!$Q$2:$Q$61,MATCH($B7,offices!$A$2:$A$61,0))="","",INDEX(offices!$Q$2:$Q$61,MATCH($B7,offices!$A$2:$A$61,0))),""))</f>
        <v/>
      </c>
      <c r="T7" s="30" t="str">
        <f aca="false">IF($B7="","",IFERROR(IF(INDEX(offices!$Z$2:$Z$61,MATCH($B7,offices!$A$2:$A$61,0))="","",INDEX(offices!$Z$2:$Z$61,MATCH($B7,offices!$A$2:$A$61,0))),""))</f>
        <v/>
      </c>
      <c r="U7" s="30" t="str">
        <f aca="false">IF($B7="","",IFERROR(IF(INDEX(offices!$Y$2:$Y$61,MATCH($B7,offices!$A$2:$A$61,0))="","",INDEX(offices!$Y$2:$Y$61,MATCH($B7,offices!$A$2:$A$61,0))),""))</f>
        <v/>
      </c>
      <c r="V7" s="30" t="str">
        <f aca="false">IF($B7="","",IFERROR(IF(INDEX(offices!$V$2:$V$61,MATCH($B7,offices!$A$2:$A$61,0))="","",INDEX(offices!$V$2:$V$61,MATCH($B7,offices!$A$2:$A$61,0))),""))</f>
        <v/>
      </c>
      <c r="W7" s="30" t="str">
        <f aca="false">IF($B7="","",IFERROR(IF(INDEX(offices!$AJ$2:$AJ$61,MATCH($B7,offices!$A$2:$A$61,0))="","",INDEX(offices!$AJ$2:$AJ$61,MATCH($B7,offices!$A$2:$A$61,0))),""))</f>
        <v/>
      </c>
      <c r="X7" s="30" t="str">
        <f aca="false">IF($B7="","",IFERROR(IF(INDEX(offices!$G$2:$G$61,MATCH($B7,offices!$A$2:$A$61,0))="","",INDEX(offices!$G$2:$G$61,MATCH($B7,offices!$A$2:$A$61,0))),""))</f>
        <v/>
      </c>
      <c r="Y7" s="30" t="str">
        <f aca="false">IF($B7="","",IFERROR(IF(INDEX(offices!$I$2:$I$61,MATCH($B7,offices!$A$2:$A$61,0))="","",INDEX(offices!$I$2:$I$61,MATCH($B7,offices!$A$2:$A$61,0))),""))</f>
        <v/>
      </c>
      <c r="Z7" s="30" t="str">
        <f aca="false">IF($A7="","",COUNTIFS(approvals!$H$2:$H$251,$A7,approvals!$B$2:$B$251,$B7,approvals!$P$2:$P$251,"Y"))</f>
        <v/>
      </c>
      <c r="AA7" s="30" t="str">
        <f aca="false">IF($A7="","",SUMIFS(approvals!$S$2:$S$251,approvals!$H$2:$H$251,$A7,approvals!$B$2:$B$251,$B7,approvals!$P$2:$P$251,"Y"))</f>
        <v/>
      </c>
      <c r="AB7" s="30" t="str">
        <f aca="false">IF(OR($A7="",$P7=""),"",IF(COUNTIFS(stops!$B$2:$B$151,$B7,stops!$P$2:$P$151,"&lt;"&amp;$P7,stops!$L$2:$L$151,"&lt;&gt;not_delivered")=0,"Y","N"))</f>
        <v/>
      </c>
      <c r="AC7" s="30" t="str">
        <f aca="false">IF(OR($I7="",$J7=""),"",ROUND(($J7-$I7)*1440,0))</f>
        <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
      </c>
      <c r="AF7" s="30" t="str">
        <f aca="false">IF($A7="","",IF(AND($L7="declined",N($Z7)&gt;0,COUNTIFS(approvals!$H$2:$H$251,$A7,approvals!$B$2:$B$251,$B7,approvals!$P$2:$P$251,"Y",approvals!$U$2:$U$251,"&gt;0")=0),"Y",""))</f>
        <v/>
      </c>
    </row>
    <row r="8" customFormat="false" ht="15" hidden="false" customHeight="false" outlineLevel="0" collapsed="false">
      <c r="D8" s="38"/>
      <c r="E8" s="11"/>
      <c r="F8" s="11"/>
      <c r="G8" s="11"/>
      <c r="I8" s="38"/>
      <c r="J8" s="38"/>
      <c r="K8" s="10"/>
      <c r="L8" s="10"/>
      <c r="N8" s="11"/>
      <c r="O8" s="10"/>
      <c r="P8" s="31" t="str">
        <f aca="false">IF($A8="","",IF(IFERROR(IF(INDEX(drops!$I$2:$I$21,MATCH($A8,drops!$A$2:$A$21,0))="","",INDEX(drops!$I$2:$I$21,MATCH($A8,drops!$A$2:$A$21,0))),"")="OK",IFERROR(IF(INDEX(drops!$B$2:$B$21,MATCH($A8,drops!$A$2:$A$21,0))="","",INDEX(drops!$B$2:$B$21,MATCH($A8,drops!$A$2:$A$21,0))),""),""))</f>
        <v/>
      </c>
      <c r="Q8" s="30" t="str">
        <f aca="false">IF($B8="","",IFERROR(IF(INDEX(offices!$O$2:$O$61,MATCH($B8,offices!$A$2:$A$61,0))="","",INDEX(offices!$O$2:$O$61,MATCH($B8,offices!$A$2:$A$61,0))),""))</f>
        <v/>
      </c>
      <c r="R8" s="30" t="str">
        <f aca="false">IF($B8="","",IFERROR(IF(INDEX(offices!$P$2:$P$61,MATCH($B8,offices!$A$2:$A$61,0))="","",INDEX(offices!$P$2:$P$61,MATCH($B8,offices!$A$2:$A$61,0))),""))</f>
        <v/>
      </c>
      <c r="S8" s="30" t="str">
        <f aca="false">IF($B8="","",IFERROR(IF(INDEX(offices!$Q$2:$Q$61,MATCH($B8,offices!$A$2:$A$61,0))="","",INDEX(offices!$Q$2:$Q$61,MATCH($B8,offices!$A$2:$A$61,0))),""))</f>
        <v/>
      </c>
      <c r="T8" s="30" t="str">
        <f aca="false">IF($B8="","",IFERROR(IF(INDEX(offices!$Z$2:$Z$61,MATCH($B8,offices!$A$2:$A$61,0))="","",INDEX(offices!$Z$2:$Z$61,MATCH($B8,offices!$A$2:$A$61,0))),""))</f>
        <v/>
      </c>
      <c r="U8" s="30" t="str">
        <f aca="false">IF($B8="","",IFERROR(IF(INDEX(offices!$Y$2:$Y$61,MATCH($B8,offices!$A$2:$A$61,0))="","",INDEX(offices!$Y$2:$Y$61,MATCH($B8,offices!$A$2:$A$61,0))),""))</f>
        <v/>
      </c>
      <c r="V8" s="30" t="str">
        <f aca="false">IF($B8="","",IFERROR(IF(INDEX(offices!$V$2:$V$61,MATCH($B8,offices!$A$2:$A$61,0))="","",INDEX(offices!$V$2:$V$61,MATCH($B8,offices!$A$2:$A$61,0))),""))</f>
        <v/>
      </c>
      <c r="W8" s="30" t="str">
        <f aca="false">IF($B8="","",IFERROR(IF(INDEX(offices!$AJ$2:$AJ$61,MATCH($B8,offices!$A$2:$A$61,0))="","",INDEX(offices!$AJ$2:$AJ$61,MATCH($B8,offices!$A$2:$A$61,0))),""))</f>
        <v/>
      </c>
      <c r="X8" s="30" t="str">
        <f aca="false">IF($B8="","",IFERROR(IF(INDEX(offices!$G$2:$G$61,MATCH($B8,offices!$A$2:$A$61,0))="","",INDEX(offices!$G$2:$G$61,MATCH($B8,offices!$A$2:$A$61,0))),""))</f>
        <v/>
      </c>
      <c r="Y8" s="30" t="str">
        <f aca="false">IF($B8="","",IFERROR(IF(INDEX(offices!$I$2:$I$61,MATCH($B8,offices!$A$2:$A$61,0))="","",INDEX(offices!$I$2:$I$61,MATCH($B8,offices!$A$2:$A$61,0))),""))</f>
        <v/>
      </c>
      <c r="Z8" s="30" t="str">
        <f aca="false">IF($A8="","",COUNTIFS(approvals!$H$2:$H$251,$A8,approvals!$B$2:$B$251,$B8,approvals!$P$2:$P$251,"Y"))</f>
        <v/>
      </c>
      <c r="AA8" s="30" t="str">
        <f aca="false">IF($A8="","",SUMIFS(approvals!$S$2:$S$251,approvals!$H$2:$H$251,$A8,approvals!$B$2:$B$251,$B8,approvals!$P$2:$P$251,"Y"))</f>
        <v/>
      </c>
      <c r="AB8" s="30" t="str">
        <f aca="false">IF(OR($A8="",$P8=""),"",IF(COUNTIFS(stops!$B$2:$B$151,$B8,stops!$P$2:$P$151,"&lt;"&amp;$P8,stops!$L$2:$L$151,"&lt;&gt;not_delivered")=0,"Y","N"))</f>
        <v/>
      </c>
      <c r="AC8" s="30" t="str">
        <f aca="false">IF(OR($I8="",$J8=""),"",ROUND(($J8-$I8)*1440,0))</f>
        <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
      </c>
      <c r="AF8" s="30" t="str">
        <f aca="false">IF($A8="","",IF(AND($L8="declined",N($Z8)&gt;0,COUNTIFS(approvals!$H$2:$H$251,$A8,approvals!$B$2:$B$251,$B8,approvals!$P$2:$P$251,"Y",approvals!$U$2:$U$251,"&gt;0")=0),"Y",""))</f>
        <v/>
      </c>
    </row>
    <row r="9" customFormat="false" ht="15" hidden="false" customHeight="false" outlineLevel="0" collapsed="false">
      <c r="D9" s="38"/>
      <c r="E9" s="11"/>
      <c r="F9" s="11"/>
      <c r="G9" s="11"/>
      <c r="I9" s="38"/>
      <c r="J9" s="38"/>
      <c r="K9" s="10"/>
      <c r="L9" s="10"/>
      <c r="N9" s="11"/>
      <c r="O9" s="10"/>
      <c r="P9" s="31" t="str">
        <f aca="false">IF($A9="","",IF(IFERROR(IF(INDEX(drops!$I$2:$I$21,MATCH($A9,drops!$A$2:$A$21,0))="","",INDEX(drops!$I$2:$I$21,MATCH($A9,drops!$A$2:$A$21,0))),"")="OK",IFERROR(IF(INDEX(drops!$B$2:$B$21,MATCH($A9,drops!$A$2:$A$21,0))="","",INDEX(drops!$B$2:$B$21,MATCH($A9,drops!$A$2:$A$21,0))),""),""))</f>
        <v/>
      </c>
      <c r="Q9" s="30" t="str">
        <f aca="false">IF($B9="","",IFERROR(IF(INDEX(offices!$O$2:$O$61,MATCH($B9,offices!$A$2:$A$61,0))="","",INDEX(offices!$O$2:$O$61,MATCH($B9,offices!$A$2:$A$61,0))),""))</f>
        <v/>
      </c>
      <c r="R9" s="30" t="str">
        <f aca="false">IF($B9="","",IFERROR(IF(INDEX(offices!$P$2:$P$61,MATCH($B9,offices!$A$2:$A$61,0))="","",INDEX(offices!$P$2:$P$61,MATCH($B9,offices!$A$2:$A$61,0))),""))</f>
        <v/>
      </c>
      <c r="S9" s="30" t="str">
        <f aca="false">IF($B9="","",IFERROR(IF(INDEX(offices!$Q$2:$Q$61,MATCH($B9,offices!$A$2:$A$61,0))="","",INDEX(offices!$Q$2:$Q$61,MATCH($B9,offices!$A$2:$A$61,0))),""))</f>
        <v/>
      </c>
      <c r="T9" s="30" t="str">
        <f aca="false">IF($B9="","",IFERROR(IF(INDEX(offices!$Z$2:$Z$61,MATCH($B9,offices!$A$2:$A$61,0))="","",INDEX(offices!$Z$2:$Z$61,MATCH($B9,offices!$A$2:$A$61,0))),""))</f>
        <v/>
      </c>
      <c r="U9" s="30" t="str">
        <f aca="false">IF($B9="","",IFERROR(IF(INDEX(offices!$Y$2:$Y$61,MATCH($B9,offices!$A$2:$A$61,0))="","",INDEX(offices!$Y$2:$Y$61,MATCH($B9,offices!$A$2:$A$61,0))),""))</f>
        <v/>
      </c>
      <c r="V9" s="30" t="str">
        <f aca="false">IF($B9="","",IFERROR(IF(INDEX(offices!$V$2:$V$61,MATCH($B9,offices!$A$2:$A$61,0))="","",INDEX(offices!$V$2:$V$61,MATCH($B9,offices!$A$2:$A$61,0))),""))</f>
        <v/>
      </c>
      <c r="W9" s="30" t="str">
        <f aca="false">IF($B9="","",IFERROR(IF(INDEX(offices!$AJ$2:$AJ$61,MATCH($B9,offices!$A$2:$A$61,0))="","",INDEX(offices!$AJ$2:$AJ$61,MATCH($B9,offices!$A$2:$A$61,0))),""))</f>
        <v/>
      </c>
      <c r="X9" s="30" t="str">
        <f aca="false">IF($B9="","",IFERROR(IF(INDEX(offices!$G$2:$G$61,MATCH($B9,offices!$A$2:$A$61,0))="","",INDEX(offices!$G$2:$G$61,MATCH($B9,offices!$A$2:$A$61,0))),""))</f>
        <v/>
      </c>
      <c r="Y9" s="30" t="str">
        <f aca="false">IF($B9="","",IFERROR(IF(INDEX(offices!$I$2:$I$61,MATCH($B9,offices!$A$2:$A$61,0))="","",INDEX(offices!$I$2:$I$61,MATCH($B9,offices!$A$2:$A$61,0))),""))</f>
        <v/>
      </c>
      <c r="Z9" s="30" t="str">
        <f aca="false">IF($A9="","",COUNTIFS(approvals!$H$2:$H$251,$A9,approvals!$B$2:$B$251,$B9,approvals!$P$2:$P$251,"Y"))</f>
        <v/>
      </c>
      <c r="AA9" s="30" t="str">
        <f aca="false">IF($A9="","",SUMIFS(approvals!$S$2:$S$251,approvals!$H$2:$H$251,$A9,approvals!$B$2:$B$251,$B9,approvals!$P$2:$P$251,"Y"))</f>
        <v/>
      </c>
      <c r="AB9" s="30" t="str">
        <f aca="false">IF(OR($A9="",$P9=""),"",IF(COUNTIFS(stops!$B$2:$B$151,$B9,stops!$P$2:$P$151,"&lt;"&amp;$P9,stops!$L$2:$L$151,"&lt;&gt;not_delivered")=0,"Y","N"))</f>
        <v/>
      </c>
      <c r="AC9" s="30" t="str">
        <f aca="false">IF(OR($I9="",$J9=""),"",ROUND(($J9-$I9)*1440,0))</f>
        <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
      </c>
      <c r="AF9" s="30" t="str">
        <f aca="false">IF($A9="","",IF(AND($L9="declined",N($Z9)&gt;0,COUNTIFS(approvals!$H$2:$H$251,$A9,approvals!$B$2:$B$251,$B9,approvals!$P$2:$P$251,"Y",approvals!$U$2:$U$251,"&gt;0")=0),"Y",""))</f>
        <v/>
      </c>
    </row>
    <row r="10" customFormat="false" ht="15" hidden="false" customHeight="false" outlineLevel="0" collapsed="false">
      <c r="D10" s="38"/>
      <c r="E10" s="11"/>
      <c r="F10" s="11"/>
      <c r="G10" s="11"/>
      <c r="I10" s="38"/>
      <c r="J10" s="38"/>
      <c r="K10" s="10"/>
      <c r="L10" s="10"/>
      <c r="N10" s="11"/>
      <c r="O10" s="10"/>
      <c r="P10" s="31" t="str">
        <f aca="false">IF($A10="","",IF(IFERROR(IF(INDEX(drops!$I$2:$I$21,MATCH($A10,drops!$A$2:$A$21,0))="","",INDEX(drops!$I$2:$I$21,MATCH($A10,drops!$A$2:$A$21,0))),"")="OK",IFERROR(IF(INDEX(drops!$B$2:$B$21,MATCH($A10,drops!$A$2:$A$21,0))="","",INDEX(drops!$B$2:$B$21,MATCH($A10,drops!$A$2:$A$21,0))),""),""))</f>
        <v/>
      </c>
      <c r="Q10" s="30" t="str">
        <f aca="false">IF($B10="","",IFERROR(IF(INDEX(offices!$O$2:$O$61,MATCH($B10,offices!$A$2:$A$61,0))="","",INDEX(offices!$O$2:$O$61,MATCH($B10,offices!$A$2:$A$61,0))),""))</f>
        <v/>
      </c>
      <c r="R10" s="30" t="str">
        <f aca="false">IF($B10="","",IFERROR(IF(INDEX(offices!$P$2:$P$61,MATCH($B10,offices!$A$2:$A$61,0))="","",INDEX(offices!$P$2:$P$61,MATCH($B10,offices!$A$2:$A$61,0))),""))</f>
        <v/>
      </c>
      <c r="S10" s="30" t="str">
        <f aca="false">IF($B10="","",IFERROR(IF(INDEX(offices!$Q$2:$Q$61,MATCH($B10,offices!$A$2:$A$61,0))="","",INDEX(offices!$Q$2:$Q$61,MATCH($B10,offices!$A$2:$A$61,0))),""))</f>
        <v/>
      </c>
      <c r="T10" s="30" t="str">
        <f aca="false">IF($B10="","",IFERROR(IF(INDEX(offices!$Z$2:$Z$61,MATCH($B10,offices!$A$2:$A$61,0))="","",INDEX(offices!$Z$2:$Z$61,MATCH($B10,offices!$A$2:$A$61,0))),""))</f>
        <v/>
      </c>
      <c r="U10" s="30" t="str">
        <f aca="false">IF($B10="","",IFERROR(IF(INDEX(offices!$Y$2:$Y$61,MATCH($B10,offices!$A$2:$A$61,0))="","",INDEX(offices!$Y$2:$Y$61,MATCH($B10,offices!$A$2:$A$61,0))),""))</f>
        <v/>
      </c>
      <c r="V10" s="30" t="str">
        <f aca="false">IF($B10="","",IFERROR(IF(INDEX(offices!$V$2:$V$61,MATCH($B10,offices!$A$2:$A$61,0))="","",INDEX(offices!$V$2:$V$61,MATCH($B10,offices!$A$2:$A$61,0))),""))</f>
        <v/>
      </c>
      <c r="W10" s="30" t="str">
        <f aca="false">IF($B10="","",IFERROR(IF(INDEX(offices!$AJ$2:$AJ$61,MATCH($B10,offices!$A$2:$A$61,0))="","",INDEX(offices!$AJ$2:$AJ$61,MATCH($B10,offices!$A$2:$A$61,0))),""))</f>
        <v/>
      </c>
      <c r="X10" s="30" t="str">
        <f aca="false">IF($B10="","",IFERROR(IF(INDEX(offices!$G$2:$G$61,MATCH($B10,offices!$A$2:$A$61,0))="","",INDEX(offices!$G$2:$G$61,MATCH($B10,offices!$A$2:$A$61,0))),""))</f>
        <v/>
      </c>
      <c r="Y10" s="30" t="str">
        <f aca="false">IF($B10="","",IFERROR(IF(INDEX(offices!$I$2:$I$61,MATCH($B10,offices!$A$2:$A$61,0))="","",INDEX(offices!$I$2:$I$61,MATCH($B10,offices!$A$2:$A$61,0))),""))</f>
        <v/>
      </c>
      <c r="Z10" s="30" t="str">
        <f aca="false">IF($A10="","",COUNTIFS(approvals!$H$2:$H$251,$A10,approvals!$B$2:$B$251,$B10,approvals!$P$2:$P$251,"Y"))</f>
        <v/>
      </c>
      <c r="AA10" s="30" t="str">
        <f aca="false">IF($A10="","",SUMIFS(approvals!$S$2:$S$251,approvals!$H$2:$H$251,$A10,approvals!$B$2:$B$251,$B10,approvals!$P$2:$P$251,"Y"))</f>
        <v/>
      </c>
      <c r="AB10" s="30" t="str">
        <f aca="false">IF(OR($A10="",$P10=""),"",IF(COUNTIFS(stops!$B$2:$B$151,$B10,stops!$P$2:$P$151,"&lt;"&amp;$P10,stops!$L$2:$L$151,"&lt;&gt;not_delivered")=0,"Y","N"))</f>
        <v/>
      </c>
      <c r="AC10" s="30" t="str">
        <f aca="false">IF(OR($I10="",$J10=""),"",ROUND(($J10-$I10)*1440,0))</f>
        <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
      </c>
      <c r="AF10" s="30" t="str">
        <f aca="false">IF($A10="","",IF(AND($L10="declined",N($Z10)&gt;0,COUNTIFS(approvals!$H$2:$H$251,$A10,approvals!$B$2:$B$251,$B10,approvals!$P$2:$P$251,"Y",approvals!$U$2:$U$251,"&gt;0")=0),"Y",""))</f>
        <v/>
      </c>
    </row>
    <row r="11" customFormat="false" ht="15" hidden="false" customHeight="false" outlineLevel="0" collapsed="false">
      <c r="D11" s="38"/>
      <c r="E11" s="11"/>
      <c r="F11" s="11"/>
      <c r="G11" s="11"/>
      <c r="I11" s="38"/>
      <c r="J11" s="38"/>
      <c r="K11" s="10"/>
      <c r="L11" s="10"/>
      <c r="N11" s="11"/>
      <c r="O11" s="10"/>
      <c r="P11" s="31" t="str">
        <f aca="false">IF($A11="","",IF(IFERROR(IF(INDEX(drops!$I$2:$I$21,MATCH($A11,drops!$A$2:$A$21,0))="","",INDEX(drops!$I$2:$I$21,MATCH($A11,drops!$A$2:$A$21,0))),"")="OK",IFERROR(IF(INDEX(drops!$B$2:$B$21,MATCH($A11,drops!$A$2:$A$21,0))="","",INDEX(drops!$B$2:$B$21,MATCH($A11,drops!$A$2:$A$21,0))),""),""))</f>
        <v/>
      </c>
      <c r="Q11" s="30" t="str">
        <f aca="false">IF($B11="","",IFERROR(IF(INDEX(offices!$O$2:$O$61,MATCH($B11,offices!$A$2:$A$61,0))="","",INDEX(offices!$O$2:$O$61,MATCH($B11,offices!$A$2:$A$61,0))),""))</f>
        <v/>
      </c>
      <c r="R11" s="30" t="str">
        <f aca="false">IF($B11="","",IFERROR(IF(INDEX(offices!$P$2:$P$61,MATCH($B11,offices!$A$2:$A$61,0))="","",INDEX(offices!$P$2:$P$61,MATCH($B11,offices!$A$2:$A$61,0))),""))</f>
        <v/>
      </c>
      <c r="S11" s="30" t="str">
        <f aca="false">IF($B11="","",IFERROR(IF(INDEX(offices!$Q$2:$Q$61,MATCH($B11,offices!$A$2:$A$61,0))="","",INDEX(offices!$Q$2:$Q$61,MATCH($B11,offices!$A$2:$A$61,0))),""))</f>
        <v/>
      </c>
      <c r="T11" s="30" t="str">
        <f aca="false">IF($B11="","",IFERROR(IF(INDEX(offices!$Z$2:$Z$61,MATCH($B11,offices!$A$2:$A$61,0))="","",INDEX(offices!$Z$2:$Z$61,MATCH($B11,offices!$A$2:$A$61,0))),""))</f>
        <v/>
      </c>
      <c r="U11" s="30" t="str">
        <f aca="false">IF($B11="","",IFERROR(IF(INDEX(offices!$Y$2:$Y$61,MATCH($B11,offices!$A$2:$A$61,0))="","",INDEX(offices!$Y$2:$Y$61,MATCH($B11,offices!$A$2:$A$61,0))),""))</f>
        <v/>
      </c>
      <c r="V11" s="30" t="str">
        <f aca="false">IF($B11="","",IFERROR(IF(INDEX(offices!$V$2:$V$61,MATCH($B11,offices!$A$2:$A$61,0))="","",INDEX(offices!$V$2:$V$61,MATCH($B11,offices!$A$2:$A$61,0))),""))</f>
        <v/>
      </c>
      <c r="W11" s="30" t="str">
        <f aca="false">IF($B11="","",IFERROR(IF(INDEX(offices!$AJ$2:$AJ$61,MATCH($B11,offices!$A$2:$A$61,0))="","",INDEX(offices!$AJ$2:$AJ$61,MATCH($B11,offices!$A$2:$A$61,0))),""))</f>
        <v/>
      </c>
      <c r="X11" s="30" t="str">
        <f aca="false">IF($B11="","",IFERROR(IF(INDEX(offices!$G$2:$G$61,MATCH($B11,offices!$A$2:$A$61,0))="","",INDEX(offices!$G$2:$G$61,MATCH($B11,offices!$A$2:$A$61,0))),""))</f>
        <v/>
      </c>
      <c r="Y11" s="30" t="str">
        <f aca="false">IF($B11="","",IFERROR(IF(INDEX(offices!$I$2:$I$61,MATCH($B11,offices!$A$2:$A$61,0))="","",INDEX(offices!$I$2:$I$61,MATCH($B11,offices!$A$2:$A$61,0))),""))</f>
        <v/>
      </c>
      <c r="Z11" s="30" t="str">
        <f aca="false">IF($A11="","",COUNTIFS(approvals!$H$2:$H$251,$A11,approvals!$B$2:$B$251,$B11,approvals!$P$2:$P$251,"Y"))</f>
        <v/>
      </c>
      <c r="AA11" s="30" t="str">
        <f aca="false">IF($A11="","",SUMIFS(approvals!$S$2:$S$251,approvals!$H$2:$H$251,$A11,approvals!$B$2:$B$251,$B11,approvals!$P$2:$P$251,"Y"))</f>
        <v/>
      </c>
      <c r="AB11" s="30" t="str">
        <f aca="false">IF(OR($A11="",$P11=""),"",IF(COUNTIFS(stops!$B$2:$B$151,$B11,stops!$P$2:$P$151,"&lt;"&amp;$P11,stops!$L$2:$L$151,"&lt;&gt;not_delivered")=0,"Y","N"))</f>
        <v/>
      </c>
      <c r="AC11" s="30" t="str">
        <f aca="false">IF(OR($I11="",$J11=""),"",ROUND(($J11-$I11)*1440,0))</f>
        <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
      </c>
      <c r="AF11" s="30" t="str">
        <f aca="false">IF($A11="","",IF(AND($L11="declined",N($Z11)&gt;0,COUNTIFS(approvals!$H$2:$H$251,$A11,approvals!$B$2:$B$251,$B11,approvals!$P$2:$P$251,"Y",approvals!$U$2:$U$251,"&gt;0")=0),"Y",""))</f>
        <v/>
      </c>
    </row>
    <row r="12" customFormat="false" ht="15" hidden="false" customHeight="false" outlineLevel="0" collapsed="false">
      <c r="D12" s="38"/>
      <c r="E12" s="11"/>
      <c r="F12" s="11"/>
      <c r="G12" s="11"/>
      <c r="I12" s="38"/>
      <c r="J12" s="38"/>
      <c r="K12" s="10"/>
      <c r="L12" s="10"/>
      <c r="N12" s="11"/>
      <c r="O12" s="10"/>
      <c r="P12" s="31" t="str">
        <f aca="false">IF($A12="","",IF(IFERROR(IF(INDEX(drops!$I$2:$I$21,MATCH($A12,drops!$A$2:$A$21,0))="","",INDEX(drops!$I$2:$I$21,MATCH($A12,drops!$A$2:$A$21,0))),"")="OK",IFERROR(IF(INDEX(drops!$B$2:$B$21,MATCH($A12,drops!$A$2:$A$21,0))="","",INDEX(drops!$B$2:$B$21,MATCH($A12,drops!$A$2:$A$21,0))),""),""))</f>
        <v/>
      </c>
      <c r="Q12" s="30" t="str">
        <f aca="false">IF($B12="","",IFERROR(IF(INDEX(offices!$O$2:$O$61,MATCH($B12,offices!$A$2:$A$61,0))="","",INDEX(offices!$O$2:$O$61,MATCH($B12,offices!$A$2:$A$61,0))),""))</f>
        <v/>
      </c>
      <c r="R12" s="30" t="str">
        <f aca="false">IF($B12="","",IFERROR(IF(INDEX(offices!$P$2:$P$61,MATCH($B12,offices!$A$2:$A$61,0))="","",INDEX(offices!$P$2:$P$61,MATCH($B12,offices!$A$2:$A$61,0))),""))</f>
        <v/>
      </c>
      <c r="S12" s="30" t="str">
        <f aca="false">IF($B12="","",IFERROR(IF(INDEX(offices!$Q$2:$Q$61,MATCH($B12,offices!$A$2:$A$61,0))="","",INDEX(offices!$Q$2:$Q$61,MATCH($B12,offices!$A$2:$A$61,0))),""))</f>
        <v/>
      </c>
      <c r="T12" s="30" t="str">
        <f aca="false">IF($B12="","",IFERROR(IF(INDEX(offices!$Z$2:$Z$61,MATCH($B12,offices!$A$2:$A$61,0))="","",INDEX(offices!$Z$2:$Z$61,MATCH($B12,offices!$A$2:$A$61,0))),""))</f>
        <v/>
      </c>
      <c r="U12" s="30" t="str">
        <f aca="false">IF($B12="","",IFERROR(IF(INDEX(offices!$Y$2:$Y$61,MATCH($B12,offices!$A$2:$A$61,0))="","",INDEX(offices!$Y$2:$Y$61,MATCH($B12,offices!$A$2:$A$61,0))),""))</f>
        <v/>
      </c>
      <c r="V12" s="30" t="str">
        <f aca="false">IF($B12="","",IFERROR(IF(INDEX(offices!$V$2:$V$61,MATCH($B12,offices!$A$2:$A$61,0))="","",INDEX(offices!$V$2:$V$61,MATCH($B12,offices!$A$2:$A$61,0))),""))</f>
        <v/>
      </c>
      <c r="W12" s="30" t="str">
        <f aca="false">IF($B12="","",IFERROR(IF(INDEX(offices!$AJ$2:$AJ$61,MATCH($B12,offices!$A$2:$A$61,0))="","",INDEX(offices!$AJ$2:$AJ$61,MATCH($B12,offices!$A$2:$A$61,0))),""))</f>
        <v/>
      </c>
      <c r="X12" s="30" t="str">
        <f aca="false">IF($B12="","",IFERROR(IF(INDEX(offices!$G$2:$G$61,MATCH($B12,offices!$A$2:$A$61,0))="","",INDEX(offices!$G$2:$G$61,MATCH($B12,offices!$A$2:$A$61,0))),""))</f>
        <v/>
      </c>
      <c r="Y12" s="30" t="str">
        <f aca="false">IF($B12="","",IFERROR(IF(INDEX(offices!$I$2:$I$61,MATCH($B12,offices!$A$2:$A$61,0))="","",INDEX(offices!$I$2:$I$61,MATCH($B12,offices!$A$2:$A$61,0))),""))</f>
        <v/>
      </c>
      <c r="Z12" s="30" t="str">
        <f aca="false">IF($A12="","",COUNTIFS(approvals!$H$2:$H$251,$A12,approvals!$B$2:$B$251,$B12,approvals!$P$2:$P$251,"Y"))</f>
        <v/>
      </c>
      <c r="AA12" s="30" t="str">
        <f aca="false">IF($A12="","",SUMIFS(approvals!$S$2:$S$251,approvals!$H$2:$H$251,$A12,approvals!$B$2:$B$251,$B12,approvals!$P$2:$P$251,"Y"))</f>
        <v/>
      </c>
      <c r="AB12" s="30" t="str">
        <f aca="false">IF(OR($A12="",$P12=""),"",IF(COUNTIFS(stops!$B$2:$B$151,$B12,stops!$P$2:$P$151,"&lt;"&amp;$P12,stops!$L$2:$L$151,"&lt;&gt;not_delivered")=0,"Y","N"))</f>
        <v/>
      </c>
      <c r="AC12" s="30" t="str">
        <f aca="false">IF(OR($I12="",$J12=""),"",ROUND(($J12-$I12)*1440,0))</f>
        <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
      </c>
      <c r="AF12" s="30" t="str">
        <f aca="false">IF($A12="","",IF(AND($L12="declined",N($Z12)&gt;0,COUNTIFS(approvals!$H$2:$H$251,$A12,approvals!$B$2:$B$251,$B12,approvals!$P$2:$P$251,"Y",approvals!$U$2:$U$251,"&gt;0")=0),"Y",""))</f>
        <v/>
      </c>
    </row>
    <row r="13" customFormat="false" ht="15" hidden="false" customHeight="false" outlineLevel="0" collapsed="false">
      <c r="D13" s="38"/>
      <c r="E13" s="11"/>
      <c r="F13" s="11"/>
      <c r="G13" s="11"/>
      <c r="I13" s="38"/>
      <c r="J13" s="38"/>
      <c r="K13" s="10"/>
      <c r="L13" s="10"/>
      <c r="N13" s="11"/>
      <c r="O13" s="10"/>
      <c r="P13" s="31" t="str">
        <f aca="false">IF($A13="","",IF(IFERROR(IF(INDEX(drops!$I$2:$I$21,MATCH($A13,drops!$A$2:$A$21,0))="","",INDEX(drops!$I$2:$I$21,MATCH($A13,drops!$A$2:$A$21,0))),"")="OK",IFERROR(IF(INDEX(drops!$B$2:$B$21,MATCH($A13,drops!$A$2:$A$21,0))="","",INDEX(drops!$B$2:$B$21,MATCH($A13,drops!$A$2:$A$21,0))),""),""))</f>
        <v/>
      </c>
      <c r="Q13" s="30" t="str">
        <f aca="false">IF($B13="","",IFERROR(IF(INDEX(offices!$O$2:$O$61,MATCH($B13,offices!$A$2:$A$61,0))="","",INDEX(offices!$O$2:$O$61,MATCH($B13,offices!$A$2:$A$61,0))),""))</f>
        <v/>
      </c>
      <c r="R13" s="30" t="str">
        <f aca="false">IF($B13="","",IFERROR(IF(INDEX(offices!$P$2:$P$61,MATCH($B13,offices!$A$2:$A$61,0))="","",INDEX(offices!$P$2:$P$61,MATCH($B13,offices!$A$2:$A$61,0))),""))</f>
        <v/>
      </c>
      <c r="S13" s="30" t="str">
        <f aca="false">IF($B13="","",IFERROR(IF(INDEX(offices!$Q$2:$Q$61,MATCH($B13,offices!$A$2:$A$61,0))="","",INDEX(offices!$Q$2:$Q$61,MATCH($B13,offices!$A$2:$A$61,0))),""))</f>
        <v/>
      </c>
      <c r="T13" s="30" t="str">
        <f aca="false">IF($B13="","",IFERROR(IF(INDEX(offices!$Z$2:$Z$61,MATCH($B13,offices!$A$2:$A$61,0))="","",INDEX(offices!$Z$2:$Z$61,MATCH($B13,offices!$A$2:$A$61,0))),""))</f>
        <v/>
      </c>
      <c r="U13" s="30" t="str">
        <f aca="false">IF($B13="","",IFERROR(IF(INDEX(offices!$Y$2:$Y$61,MATCH($B13,offices!$A$2:$A$61,0))="","",INDEX(offices!$Y$2:$Y$61,MATCH($B13,offices!$A$2:$A$61,0))),""))</f>
        <v/>
      </c>
      <c r="V13" s="30" t="str">
        <f aca="false">IF($B13="","",IFERROR(IF(INDEX(offices!$V$2:$V$61,MATCH($B13,offices!$A$2:$A$61,0))="","",INDEX(offices!$V$2:$V$61,MATCH($B13,offices!$A$2:$A$61,0))),""))</f>
        <v/>
      </c>
      <c r="W13" s="30" t="str">
        <f aca="false">IF($B13="","",IFERROR(IF(INDEX(offices!$AJ$2:$AJ$61,MATCH($B13,offices!$A$2:$A$61,0))="","",INDEX(offices!$AJ$2:$AJ$61,MATCH($B13,offices!$A$2:$A$61,0))),""))</f>
        <v/>
      </c>
      <c r="X13" s="30" t="str">
        <f aca="false">IF($B13="","",IFERROR(IF(INDEX(offices!$G$2:$G$61,MATCH($B13,offices!$A$2:$A$61,0))="","",INDEX(offices!$G$2:$G$61,MATCH($B13,offices!$A$2:$A$61,0))),""))</f>
        <v/>
      </c>
      <c r="Y13" s="30" t="str">
        <f aca="false">IF($B13="","",IFERROR(IF(INDEX(offices!$I$2:$I$61,MATCH($B13,offices!$A$2:$A$61,0))="","",INDEX(offices!$I$2:$I$61,MATCH($B13,offices!$A$2:$A$61,0))),""))</f>
        <v/>
      </c>
      <c r="Z13" s="30" t="str">
        <f aca="false">IF($A13="","",COUNTIFS(approvals!$H$2:$H$251,$A13,approvals!$B$2:$B$251,$B13,approvals!$P$2:$P$251,"Y"))</f>
        <v/>
      </c>
      <c r="AA13" s="30" t="str">
        <f aca="false">IF($A13="","",SUMIFS(approvals!$S$2:$S$251,approvals!$H$2:$H$251,$A13,approvals!$B$2:$B$251,$B13,approvals!$P$2:$P$251,"Y"))</f>
        <v/>
      </c>
      <c r="AB13" s="30" t="str">
        <f aca="false">IF(OR($A13="",$P13=""),"",IF(COUNTIFS(stops!$B$2:$B$151,$B13,stops!$P$2:$P$151,"&lt;"&amp;$P13,stops!$L$2:$L$151,"&lt;&gt;not_delivered")=0,"Y","N"))</f>
        <v/>
      </c>
      <c r="AC13" s="30" t="str">
        <f aca="false">IF(OR($I13="",$J13=""),"",ROUND(($J13-$I13)*1440,0))</f>
        <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
      </c>
      <c r="AF13" s="30" t="str">
        <f aca="false">IF($A13="","",IF(AND($L13="declined",N($Z13)&gt;0,COUNTIFS(approvals!$H$2:$H$251,$A13,approvals!$B$2:$B$251,$B13,approvals!$P$2:$P$251,"Y",approvals!$U$2:$U$251,"&gt;0")=0),"Y",""))</f>
        <v/>
      </c>
    </row>
    <row r="14" customFormat="false" ht="15" hidden="false" customHeight="false" outlineLevel="0" collapsed="false">
      <c r="D14" s="38"/>
      <c r="E14" s="11"/>
      <c r="F14" s="11"/>
      <c r="G14" s="11"/>
      <c r="I14" s="38"/>
      <c r="J14" s="38"/>
      <c r="K14" s="10"/>
      <c r="L14" s="10"/>
      <c r="N14" s="11"/>
      <c r="O14" s="10"/>
      <c r="P14" s="31" t="str">
        <f aca="false">IF($A14="","",IF(IFERROR(IF(INDEX(drops!$I$2:$I$21,MATCH($A14,drops!$A$2:$A$21,0))="","",INDEX(drops!$I$2:$I$21,MATCH($A14,drops!$A$2:$A$21,0))),"")="OK",IFERROR(IF(INDEX(drops!$B$2:$B$21,MATCH($A14,drops!$A$2:$A$21,0))="","",INDEX(drops!$B$2:$B$21,MATCH($A14,drops!$A$2:$A$21,0))),""),""))</f>
        <v/>
      </c>
      <c r="Q14" s="30" t="str">
        <f aca="false">IF($B14="","",IFERROR(IF(INDEX(offices!$O$2:$O$61,MATCH($B14,offices!$A$2:$A$61,0))="","",INDEX(offices!$O$2:$O$61,MATCH($B14,offices!$A$2:$A$61,0))),""))</f>
        <v/>
      </c>
      <c r="R14" s="30" t="str">
        <f aca="false">IF($B14="","",IFERROR(IF(INDEX(offices!$P$2:$P$61,MATCH($B14,offices!$A$2:$A$61,0))="","",INDEX(offices!$P$2:$P$61,MATCH($B14,offices!$A$2:$A$61,0))),""))</f>
        <v/>
      </c>
      <c r="S14" s="30" t="str">
        <f aca="false">IF($B14="","",IFERROR(IF(INDEX(offices!$Q$2:$Q$61,MATCH($B14,offices!$A$2:$A$61,0))="","",INDEX(offices!$Q$2:$Q$61,MATCH($B14,offices!$A$2:$A$61,0))),""))</f>
        <v/>
      </c>
      <c r="T14" s="30" t="str">
        <f aca="false">IF($B14="","",IFERROR(IF(INDEX(offices!$Z$2:$Z$61,MATCH($B14,offices!$A$2:$A$61,0))="","",INDEX(offices!$Z$2:$Z$61,MATCH($B14,offices!$A$2:$A$61,0))),""))</f>
        <v/>
      </c>
      <c r="U14" s="30" t="str">
        <f aca="false">IF($B14="","",IFERROR(IF(INDEX(offices!$Y$2:$Y$61,MATCH($B14,offices!$A$2:$A$61,0))="","",INDEX(offices!$Y$2:$Y$61,MATCH($B14,offices!$A$2:$A$61,0))),""))</f>
        <v/>
      </c>
      <c r="V14" s="30" t="str">
        <f aca="false">IF($B14="","",IFERROR(IF(INDEX(offices!$V$2:$V$61,MATCH($B14,offices!$A$2:$A$61,0))="","",INDEX(offices!$V$2:$V$61,MATCH($B14,offices!$A$2:$A$61,0))),""))</f>
        <v/>
      </c>
      <c r="W14" s="30" t="str">
        <f aca="false">IF($B14="","",IFERROR(IF(INDEX(offices!$AJ$2:$AJ$61,MATCH($B14,offices!$A$2:$A$61,0))="","",INDEX(offices!$AJ$2:$AJ$61,MATCH($B14,offices!$A$2:$A$61,0))),""))</f>
        <v/>
      </c>
      <c r="X14" s="30" t="str">
        <f aca="false">IF($B14="","",IFERROR(IF(INDEX(offices!$G$2:$G$61,MATCH($B14,offices!$A$2:$A$61,0))="","",INDEX(offices!$G$2:$G$61,MATCH($B14,offices!$A$2:$A$61,0))),""))</f>
        <v/>
      </c>
      <c r="Y14" s="30" t="str">
        <f aca="false">IF($B14="","",IFERROR(IF(INDEX(offices!$I$2:$I$61,MATCH($B14,offices!$A$2:$A$61,0))="","",INDEX(offices!$I$2:$I$61,MATCH($B14,offices!$A$2:$A$61,0))),""))</f>
        <v/>
      </c>
      <c r="Z14" s="30" t="str">
        <f aca="false">IF($A14="","",COUNTIFS(approvals!$H$2:$H$251,$A14,approvals!$B$2:$B$251,$B14,approvals!$P$2:$P$251,"Y"))</f>
        <v/>
      </c>
      <c r="AA14" s="30" t="str">
        <f aca="false">IF($A14="","",SUMIFS(approvals!$S$2:$S$251,approvals!$H$2:$H$251,$A14,approvals!$B$2:$B$251,$B14,approvals!$P$2:$P$251,"Y"))</f>
        <v/>
      </c>
      <c r="AB14" s="30" t="str">
        <f aca="false">IF(OR($A14="",$P14=""),"",IF(COUNTIFS(stops!$B$2:$B$151,$B14,stops!$P$2:$P$151,"&lt;"&amp;$P14,stops!$L$2:$L$151,"&lt;&gt;not_delivered")=0,"Y","N"))</f>
        <v/>
      </c>
      <c r="AC14" s="30" t="str">
        <f aca="false">IF(OR($I14="",$J14=""),"",ROUND(($J14-$I14)*1440,0))</f>
        <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
      </c>
      <c r="AF14" s="30" t="str">
        <f aca="false">IF($A14="","",IF(AND($L14="declined",N($Z14)&gt;0,COUNTIFS(approvals!$H$2:$H$251,$A14,approvals!$B$2:$B$251,$B14,approvals!$P$2:$P$251,"Y",approvals!$U$2:$U$251,"&gt;0")=0),"Y",""))</f>
        <v/>
      </c>
    </row>
    <row r="15" customFormat="false" ht="15" hidden="false" customHeight="false" outlineLevel="0" collapsed="false">
      <c r="D15" s="38"/>
      <c r="E15" s="11"/>
      <c r="F15" s="11"/>
      <c r="G15" s="11"/>
      <c r="I15" s="38"/>
      <c r="J15" s="38"/>
      <c r="K15" s="10"/>
      <c r="L15" s="10"/>
      <c r="N15" s="11"/>
      <c r="O15" s="10"/>
      <c r="P15" s="31" t="str">
        <f aca="false">IF($A15="","",IF(IFERROR(IF(INDEX(drops!$I$2:$I$21,MATCH($A15,drops!$A$2:$A$21,0))="","",INDEX(drops!$I$2:$I$21,MATCH($A15,drops!$A$2:$A$21,0))),"")="OK",IFERROR(IF(INDEX(drops!$B$2:$B$21,MATCH($A15,drops!$A$2:$A$21,0))="","",INDEX(drops!$B$2:$B$21,MATCH($A15,drops!$A$2:$A$21,0))),""),""))</f>
        <v/>
      </c>
      <c r="Q15" s="30" t="str">
        <f aca="false">IF($B15="","",IFERROR(IF(INDEX(offices!$O$2:$O$61,MATCH($B15,offices!$A$2:$A$61,0))="","",INDEX(offices!$O$2:$O$61,MATCH($B15,offices!$A$2:$A$61,0))),""))</f>
        <v/>
      </c>
      <c r="R15" s="30" t="str">
        <f aca="false">IF($B15="","",IFERROR(IF(INDEX(offices!$P$2:$P$61,MATCH($B15,offices!$A$2:$A$61,0))="","",INDEX(offices!$P$2:$P$61,MATCH($B15,offices!$A$2:$A$61,0))),""))</f>
        <v/>
      </c>
      <c r="S15" s="30" t="str">
        <f aca="false">IF($B15="","",IFERROR(IF(INDEX(offices!$Q$2:$Q$61,MATCH($B15,offices!$A$2:$A$61,0))="","",INDEX(offices!$Q$2:$Q$61,MATCH($B15,offices!$A$2:$A$61,0))),""))</f>
        <v/>
      </c>
      <c r="T15" s="30" t="str">
        <f aca="false">IF($B15="","",IFERROR(IF(INDEX(offices!$Z$2:$Z$61,MATCH($B15,offices!$A$2:$A$61,0))="","",INDEX(offices!$Z$2:$Z$61,MATCH($B15,offices!$A$2:$A$61,0))),""))</f>
        <v/>
      </c>
      <c r="U15" s="30" t="str">
        <f aca="false">IF($B15="","",IFERROR(IF(INDEX(offices!$Y$2:$Y$61,MATCH($B15,offices!$A$2:$A$61,0))="","",INDEX(offices!$Y$2:$Y$61,MATCH($B15,offices!$A$2:$A$61,0))),""))</f>
        <v/>
      </c>
      <c r="V15" s="30" t="str">
        <f aca="false">IF($B15="","",IFERROR(IF(INDEX(offices!$V$2:$V$61,MATCH($B15,offices!$A$2:$A$61,0))="","",INDEX(offices!$V$2:$V$61,MATCH($B15,offices!$A$2:$A$61,0))),""))</f>
        <v/>
      </c>
      <c r="W15" s="30" t="str">
        <f aca="false">IF($B15="","",IFERROR(IF(INDEX(offices!$AJ$2:$AJ$61,MATCH($B15,offices!$A$2:$A$61,0))="","",INDEX(offices!$AJ$2:$AJ$61,MATCH($B15,offices!$A$2:$A$61,0))),""))</f>
        <v/>
      </c>
      <c r="X15" s="30" t="str">
        <f aca="false">IF($B15="","",IFERROR(IF(INDEX(offices!$G$2:$G$61,MATCH($B15,offices!$A$2:$A$61,0))="","",INDEX(offices!$G$2:$G$61,MATCH($B15,offices!$A$2:$A$61,0))),""))</f>
        <v/>
      </c>
      <c r="Y15" s="30" t="str">
        <f aca="false">IF($B15="","",IFERROR(IF(INDEX(offices!$I$2:$I$61,MATCH($B15,offices!$A$2:$A$61,0))="","",INDEX(offices!$I$2:$I$61,MATCH($B15,offices!$A$2:$A$61,0))),""))</f>
        <v/>
      </c>
      <c r="Z15" s="30" t="str">
        <f aca="false">IF($A15="","",COUNTIFS(approvals!$H$2:$H$251,$A15,approvals!$B$2:$B$251,$B15,approvals!$P$2:$P$251,"Y"))</f>
        <v/>
      </c>
      <c r="AA15" s="30" t="str">
        <f aca="false">IF($A15="","",SUMIFS(approvals!$S$2:$S$251,approvals!$H$2:$H$251,$A15,approvals!$B$2:$B$251,$B15,approvals!$P$2:$P$251,"Y"))</f>
        <v/>
      </c>
      <c r="AB15" s="30" t="str">
        <f aca="false">IF(OR($A15="",$P15=""),"",IF(COUNTIFS(stops!$B$2:$B$151,$B15,stops!$P$2:$P$151,"&lt;"&amp;$P15,stops!$L$2:$L$151,"&lt;&gt;not_delivered")=0,"Y","N"))</f>
        <v/>
      </c>
      <c r="AC15" s="30" t="str">
        <f aca="false">IF(OR($I15="",$J15=""),"",ROUND(($J15-$I15)*1440,0))</f>
        <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
      </c>
      <c r="AF15" s="30" t="str">
        <f aca="false">IF($A15="","",IF(AND($L15="declined",N($Z15)&gt;0,COUNTIFS(approvals!$H$2:$H$251,$A15,approvals!$B$2:$B$251,$B15,approvals!$P$2:$P$251,"Y",approvals!$U$2:$U$251,"&gt;0")=0),"Y",""))</f>
        <v/>
      </c>
    </row>
    <row r="16" customFormat="false" ht="15" hidden="false" customHeight="false" outlineLevel="0" collapsed="false">
      <c r="D16" s="38"/>
      <c r="E16" s="11"/>
      <c r="F16" s="11"/>
      <c r="G16" s="11"/>
      <c r="I16" s="38"/>
      <c r="J16" s="38"/>
      <c r="K16" s="10"/>
      <c r="L16" s="10"/>
      <c r="N16" s="11"/>
      <c r="O16" s="10"/>
      <c r="P16" s="31" t="str">
        <f aca="false">IF($A16="","",IF(IFERROR(IF(INDEX(drops!$I$2:$I$21,MATCH($A16,drops!$A$2:$A$21,0))="","",INDEX(drops!$I$2:$I$21,MATCH($A16,drops!$A$2:$A$21,0))),"")="OK",IFERROR(IF(INDEX(drops!$B$2:$B$21,MATCH($A16,drops!$A$2:$A$21,0))="","",INDEX(drops!$B$2:$B$21,MATCH($A16,drops!$A$2:$A$21,0))),""),""))</f>
        <v/>
      </c>
      <c r="Q16" s="30" t="str">
        <f aca="false">IF($B16="","",IFERROR(IF(INDEX(offices!$O$2:$O$61,MATCH($B16,offices!$A$2:$A$61,0))="","",INDEX(offices!$O$2:$O$61,MATCH($B16,offices!$A$2:$A$61,0))),""))</f>
        <v/>
      </c>
      <c r="R16" s="30" t="str">
        <f aca="false">IF($B16="","",IFERROR(IF(INDEX(offices!$P$2:$P$61,MATCH($B16,offices!$A$2:$A$61,0))="","",INDEX(offices!$P$2:$P$61,MATCH($B16,offices!$A$2:$A$61,0))),""))</f>
        <v/>
      </c>
      <c r="S16" s="30" t="str">
        <f aca="false">IF($B16="","",IFERROR(IF(INDEX(offices!$Q$2:$Q$61,MATCH($B16,offices!$A$2:$A$61,0))="","",INDEX(offices!$Q$2:$Q$61,MATCH($B16,offices!$A$2:$A$61,0))),""))</f>
        <v/>
      </c>
      <c r="T16" s="30" t="str">
        <f aca="false">IF($B16="","",IFERROR(IF(INDEX(offices!$Z$2:$Z$61,MATCH($B16,offices!$A$2:$A$61,0))="","",INDEX(offices!$Z$2:$Z$61,MATCH($B16,offices!$A$2:$A$61,0))),""))</f>
        <v/>
      </c>
      <c r="U16" s="30" t="str">
        <f aca="false">IF($B16="","",IFERROR(IF(INDEX(offices!$Y$2:$Y$61,MATCH($B16,offices!$A$2:$A$61,0))="","",INDEX(offices!$Y$2:$Y$61,MATCH($B16,offices!$A$2:$A$61,0))),""))</f>
        <v/>
      </c>
      <c r="V16" s="30" t="str">
        <f aca="false">IF($B16="","",IFERROR(IF(INDEX(offices!$V$2:$V$61,MATCH($B16,offices!$A$2:$A$61,0))="","",INDEX(offices!$V$2:$V$61,MATCH($B16,offices!$A$2:$A$61,0))),""))</f>
        <v/>
      </c>
      <c r="W16" s="30" t="str">
        <f aca="false">IF($B16="","",IFERROR(IF(INDEX(offices!$AJ$2:$AJ$61,MATCH($B16,offices!$A$2:$A$61,0))="","",INDEX(offices!$AJ$2:$AJ$61,MATCH($B16,offices!$A$2:$A$61,0))),""))</f>
        <v/>
      </c>
      <c r="X16" s="30" t="str">
        <f aca="false">IF($B16="","",IFERROR(IF(INDEX(offices!$G$2:$G$61,MATCH($B16,offices!$A$2:$A$61,0))="","",INDEX(offices!$G$2:$G$61,MATCH($B16,offices!$A$2:$A$61,0))),""))</f>
        <v/>
      </c>
      <c r="Y16" s="30" t="str">
        <f aca="false">IF($B16="","",IFERROR(IF(INDEX(offices!$I$2:$I$61,MATCH($B16,offices!$A$2:$A$61,0))="","",INDEX(offices!$I$2:$I$61,MATCH($B16,offices!$A$2:$A$61,0))),""))</f>
        <v/>
      </c>
      <c r="Z16" s="30" t="str">
        <f aca="false">IF($A16="","",COUNTIFS(approvals!$H$2:$H$251,$A16,approvals!$B$2:$B$251,$B16,approvals!$P$2:$P$251,"Y"))</f>
        <v/>
      </c>
      <c r="AA16" s="30" t="str">
        <f aca="false">IF($A16="","",SUMIFS(approvals!$S$2:$S$251,approvals!$H$2:$H$251,$A16,approvals!$B$2:$B$251,$B16,approvals!$P$2:$P$251,"Y"))</f>
        <v/>
      </c>
      <c r="AB16" s="30" t="str">
        <f aca="false">IF(OR($A16="",$P16=""),"",IF(COUNTIFS(stops!$B$2:$B$151,$B16,stops!$P$2:$P$151,"&lt;"&amp;$P16,stops!$L$2:$L$151,"&lt;&gt;not_delivered")=0,"Y","N"))</f>
        <v/>
      </c>
      <c r="AC16" s="30" t="str">
        <f aca="false">IF(OR($I16="",$J16=""),"",ROUND(($J16-$I16)*1440,0))</f>
        <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30" t="str">
        <f aca="false">IF($B16="","",IFERROR(IF(INDEX(offices!$H$2:$H$61,MATCH($B16,offices!$A$2:$A$61,0))="","",INDEX(offices!$H$2:$H$61,MATCH($B16,offices!$A$2:$A$61,0))),""))</f>
        <v/>
      </c>
      <c r="AF16" s="30" t="str">
        <f aca="false">IF($A16="","",IF(AND($L16="declined",N($Z16)&gt;0,COUNTIFS(approvals!$H$2:$H$251,$A16,approvals!$B$2:$B$251,$B16,approvals!$P$2:$P$251,"Y",approvals!$U$2:$U$251,"&gt;0")=0),"Y",""))</f>
        <v/>
      </c>
    </row>
    <row r="17" customFormat="false" ht="15" hidden="false" customHeight="false" outlineLevel="0" collapsed="false">
      <c r="D17" s="38"/>
      <c r="E17" s="11"/>
      <c r="F17" s="11"/>
      <c r="G17" s="11"/>
      <c r="I17" s="38"/>
      <c r="J17" s="38"/>
      <c r="K17" s="10"/>
      <c r="L17" s="10"/>
      <c r="N17" s="11"/>
      <c r="O17" s="10"/>
      <c r="P17" s="31" t="str">
        <f aca="false">IF($A17="","",IF(IFERROR(IF(INDEX(drops!$I$2:$I$21,MATCH($A17,drops!$A$2:$A$21,0))="","",INDEX(drops!$I$2:$I$21,MATCH($A17,drops!$A$2:$A$21,0))),"")="OK",IFERROR(IF(INDEX(drops!$B$2:$B$21,MATCH($A17,drops!$A$2:$A$21,0))="","",INDEX(drops!$B$2:$B$21,MATCH($A17,drops!$A$2:$A$21,0))),""),""))</f>
        <v/>
      </c>
      <c r="Q17" s="30" t="str">
        <f aca="false">IF($B17="","",IFERROR(IF(INDEX(offices!$O$2:$O$61,MATCH($B17,offices!$A$2:$A$61,0))="","",INDEX(offices!$O$2:$O$61,MATCH($B17,offices!$A$2:$A$61,0))),""))</f>
        <v/>
      </c>
      <c r="R17" s="30" t="str">
        <f aca="false">IF($B17="","",IFERROR(IF(INDEX(offices!$P$2:$P$61,MATCH($B17,offices!$A$2:$A$61,0))="","",INDEX(offices!$P$2:$P$61,MATCH($B17,offices!$A$2:$A$61,0))),""))</f>
        <v/>
      </c>
      <c r="S17" s="30" t="str">
        <f aca="false">IF($B17="","",IFERROR(IF(INDEX(offices!$Q$2:$Q$61,MATCH($B17,offices!$A$2:$A$61,0))="","",INDEX(offices!$Q$2:$Q$61,MATCH($B17,offices!$A$2:$A$61,0))),""))</f>
        <v/>
      </c>
      <c r="T17" s="30" t="str">
        <f aca="false">IF($B17="","",IFERROR(IF(INDEX(offices!$Z$2:$Z$61,MATCH($B17,offices!$A$2:$A$61,0))="","",INDEX(offices!$Z$2:$Z$61,MATCH($B17,offices!$A$2:$A$61,0))),""))</f>
        <v/>
      </c>
      <c r="U17" s="30" t="str">
        <f aca="false">IF($B17="","",IFERROR(IF(INDEX(offices!$Y$2:$Y$61,MATCH($B17,offices!$A$2:$A$61,0))="","",INDEX(offices!$Y$2:$Y$61,MATCH($B17,offices!$A$2:$A$61,0))),""))</f>
        <v/>
      </c>
      <c r="V17" s="30" t="str">
        <f aca="false">IF($B17="","",IFERROR(IF(INDEX(offices!$V$2:$V$61,MATCH($B17,offices!$A$2:$A$61,0))="","",INDEX(offices!$V$2:$V$61,MATCH($B17,offices!$A$2:$A$61,0))),""))</f>
        <v/>
      </c>
      <c r="W17" s="30" t="str">
        <f aca="false">IF($B17="","",IFERROR(IF(INDEX(offices!$AJ$2:$AJ$61,MATCH($B17,offices!$A$2:$A$61,0))="","",INDEX(offices!$AJ$2:$AJ$61,MATCH($B17,offices!$A$2:$A$61,0))),""))</f>
        <v/>
      </c>
      <c r="X17" s="30" t="str">
        <f aca="false">IF($B17="","",IFERROR(IF(INDEX(offices!$G$2:$G$61,MATCH($B17,offices!$A$2:$A$61,0))="","",INDEX(offices!$G$2:$G$61,MATCH($B17,offices!$A$2:$A$61,0))),""))</f>
        <v/>
      </c>
      <c r="Y17" s="30" t="str">
        <f aca="false">IF($B17="","",IFERROR(IF(INDEX(offices!$I$2:$I$61,MATCH($B17,offices!$A$2:$A$61,0))="","",INDEX(offices!$I$2:$I$61,MATCH($B17,offices!$A$2:$A$61,0))),""))</f>
        <v/>
      </c>
      <c r="Z17" s="30" t="str">
        <f aca="false">IF($A17="","",COUNTIFS(approvals!$H$2:$H$251,$A17,approvals!$B$2:$B$251,$B17,approvals!$P$2:$P$251,"Y"))</f>
        <v/>
      </c>
      <c r="AA17" s="30" t="str">
        <f aca="false">IF($A17="","",SUMIFS(approvals!$S$2:$S$251,approvals!$H$2:$H$251,$A17,approvals!$B$2:$B$251,$B17,approvals!$P$2:$P$251,"Y"))</f>
        <v/>
      </c>
      <c r="AB17" s="30" t="str">
        <f aca="false">IF(OR($A17="",$P17=""),"",IF(COUNTIFS(stops!$B$2:$B$151,$B17,stops!$P$2:$P$151,"&lt;"&amp;$P17,stops!$L$2:$L$151,"&lt;&gt;not_delivered")=0,"Y","N"))</f>
        <v/>
      </c>
      <c r="AC17" s="30" t="str">
        <f aca="false">IF(OR($I17="",$J17=""),"",ROUND(($J17-$I17)*1440,0))</f>
        <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
      </c>
      <c r="AF17" s="30" t="str">
        <f aca="false">IF($A17="","",IF(AND($L17="declined",N($Z17)&gt;0,COUNTIFS(approvals!$H$2:$H$251,$A17,approvals!$B$2:$B$251,$B17,approvals!$P$2:$P$251,"Y",approvals!$U$2:$U$251,"&gt;0")=0),"Y",""))</f>
        <v/>
      </c>
    </row>
    <row r="18" customFormat="false" ht="15" hidden="false" customHeight="false" outlineLevel="0" collapsed="false">
      <c r="D18" s="38"/>
      <c r="E18" s="11"/>
      <c r="F18" s="11"/>
      <c r="G18" s="11"/>
      <c r="I18" s="38"/>
      <c r="J18" s="38"/>
      <c r="K18" s="10"/>
      <c r="L18" s="10"/>
      <c r="N18" s="11"/>
      <c r="O18" s="10"/>
      <c r="P18" s="31" t="str">
        <f aca="false">IF($A18="","",IF(IFERROR(IF(INDEX(drops!$I$2:$I$21,MATCH($A18,drops!$A$2:$A$21,0))="","",INDEX(drops!$I$2:$I$21,MATCH($A18,drops!$A$2:$A$21,0))),"")="OK",IFERROR(IF(INDEX(drops!$B$2:$B$21,MATCH($A18,drops!$A$2:$A$21,0))="","",INDEX(drops!$B$2:$B$21,MATCH($A18,drops!$A$2:$A$21,0))),""),""))</f>
        <v/>
      </c>
      <c r="Q18" s="30" t="str">
        <f aca="false">IF($B18="","",IFERROR(IF(INDEX(offices!$O$2:$O$61,MATCH($B18,offices!$A$2:$A$61,0))="","",INDEX(offices!$O$2:$O$61,MATCH($B18,offices!$A$2:$A$61,0))),""))</f>
        <v/>
      </c>
      <c r="R18" s="30" t="str">
        <f aca="false">IF($B18="","",IFERROR(IF(INDEX(offices!$P$2:$P$61,MATCH($B18,offices!$A$2:$A$61,0))="","",INDEX(offices!$P$2:$P$61,MATCH($B18,offices!$A$2:$A$61,0))),""))</f>
        <v/>
      </c>
      <c r="S18" s="30" t="str">
        <f aca="false">IF($B18="","",IFERROR(IF(INDEX(offices!$Q$2:$Q$61,MATCH($B18,offices!$A$2:$A$61,0))="","",INDEX(offices!$Q$2:$Q$61,MATCH($B18,offices!$A$2:$A$61,0))),""))</f>
        <v/>
      </c>
      <c r="T18" s="30" t="str">
        <f aca="false">IF($B18="","",IFERROR(IF(INDEX(offices!$Z$2:$Z$61,MATCH($B18,offices!$A$2:$A$61,0))="","",INDEX(offices!$Z$2:$Z$61,MATCH($B18,offices!$A$2:$A$61,0))),""))</f>
        <v/>
      </c>
      <c r="U18" s="30" t="str">
        <f aca="false">IF($B18="","",IFERROR(IF(INDEX(offices!$Y$2:$Y$61,MATCH($B18,offices!$A$2:$A$61,0))="","",INDEX(offices!$Y$2:$Y$61,MATCH($B18,offices!$A$2:$A$61,0))),""))</f>
        <v/>
      </c>
      <c r="V18" s="30" t="str">
        <f aca="false">IF($B18="","",IFERROR(IF(INDEX(offices!$V$2:$V$61,MATCH($B18,offices!$A$2:$A$61,0))="","",INDEX(offices!$V$2:$V$61,MATCH($B18,offices!$A$2:$A$61,0))),""))</f>
        <v/>
      </c>
      <c r="W18" s="30" t="str">
        <f aca="false">IF($B18="","",IFERROR(IF(INDEX(offices!$AJ$2:$AJ$61,MATCH($B18,offices!$A$2:$A$61,0))="","",INDEX(offices!$AJ$2:$AJ$61,MATCH($B18,offices!$A$2:$A$61,0))),""))</f>
        <v/>
      </c>
      <c r="X18" s="30" t="str">
        <f aca="false">IF($B18="","",IFERROR(IF(INDEX(offices!$G$2:$G$61,MATCH($B18,offices!$A$2:$A$61,0))="","",INDEX(offices!$G$2:$G$61,MATCH($B18,offices!$A$2:$A$61,0))),""))</f>
        <v/>
      </c>
      <c r="Y18" s="30" t="str">
        <f aca="false">IF($B18="","",IFERROR(IF(INDEX(offices!$I$2:$I$61,MATCH($B18,offices!$A$2:$A$61,0))="","",INDEX(offices!$I$2:$I$61,MATCH($B18,offices!$A$2:$A$61,0))),""))</f>
        <v/>
      </c>
      <c r="Z18" s="30" t="str">
        <f aca="false">IF($A18="","",COUNTIFS(approvals!$H$2:$H$251,$A18,approvals!$B$2:$B$251,$B18,approvals!$P$2:$P$251,"Y"))</f>
        <v/>
      </c>
      <c r="AA18" s="30" t="str">
        <f aca="false">IF($A18="","",SUMIFS(approvals!$S$2:$S$251,approvals!$H$2:$H$251,$A18,approvals!$B$2:$B$251,$B18,approvals!$P$2:$P$251,"Y"))</f>
        <v/>
      </c>
      <c r="AB18" s="30" t="str">
        <f aca="false">IF(OR($A18="",$P18=""),"",IF(COUNTIFS(stops!$B$2:$B$151,$B18,stops!$P$2:$P$151,"&lt;"&amp;$P18,stops!$L$2:$L$151,"&lt;&gt;not_delivered")=0,"Y","N"))</f>
        <v/>
      </c>
      <c r="AC18" s="30" t="str">
        <f aca="false">IF(OR($I18="",$J18=""),"",ROUND(($J18-$I18)*1440,0))</f>
        <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
      </c>
      <c r="AF18" s="30" t="str">
        <f aca="false">IF($A18="","",IF(AND($L18="declined",N($Z18)&gt;0,COUNTIFS(approvals!$H$2:$H$251,$A18,approvals!$B$2:$B$251,$B18,approvals!$P$2:$P$251,"Y",approvals!$U$2:$U$251,"&gt;0")=0),"Y",""))</f>
        <v/>
      </c>
    </row>
    <row r="19" customFormat="false" ht="15" hidden="false" customHeight="false" outlineLevel="0" collapsed="false">
      <c r="D19" s="38"/>
      <c r="E19" s="11"/>
      <c r="F19" s="11"/>
      <c r="G19" s="11"/>
      <c r="I19" s="38"/>
      <c r="J19" s="38"/>
      <c r="K19" s="10"/>
      <c r="L19" s="10"/>
      <c r="N19" s="11"/>
      <c r="O19" s="10"/>
      <c r="P19" s="31" t="str">
        <f aca="false">IF($A19="","",IF(IFERROR(IF(INDEX(drops!$I$2:$I$21,MATCH($A19,drops!$A$2:$A$21,0))="","",INDEX(drops!$I$2:$I$21,MATCH($A19,drops!$A$2:$A$21,0))),"")="OK",IFERROR(IF(INDEX(drops!$B$2:$B$21,MATCH($A19,drops!$A$2:$A$21,0))="","",INDEX(drops!$B$2:$B$21,MATCH($A19,drops!$A$2:$A$21,0))),""),""))</f>
        <v/>
      </c>
      <c r="Q19" s="30" t="str">
        <f aca="false">IF($B19="","",IFERROR(IF(INDEX(offices!$O$2:$O$61,MATCH($B19,offices!$A$2:$A$61,0))="","",INDEX(offices!$O$2:$O$61,MATCH($B19,offices!$A$2:$A$61,0))),""))</f>
        <v/>
      </c>
      <c r="R19" s="30" t="str">
        <f aca="false">IF($B19="","",IFERROR(IF(INDEX(offices!$P$2:$P$61,MATCH($B19,offices!$A$2:$A$61,0))="","",INDEX(offices!$P$2:$P$61,MATCH($B19,offices!$A$2:$A$61,0))),""))</f>
        <v/>
      </c>
      <c r="S19" s="30" t="str">
        <f aca="false">IF($B19="","",IFERROR(IF(INDEX(offices!$Q$2:$Q$61,MATCH($B19,offices!$A$2:$A$61,0))="","",INDEX(offices!$Q$2:$Q$61,MATCH($B19,offices!$A$2:$A$61,0))),""))</f>
        <v/>
      </c>
      <c r="T19" s="30" t="str">
        <f aca="false">IF($B19="","",IFERROR(IF(INDEX(offices!$Z$2:$Z$61,MATCH($B19,offices!$A$2:$A$61,0))="","",INDEX(offices!$Z$2:$Z$61,MATCH($B19,offices!$A$2:$A$61,0))),""))</f>
        <v/>
      </c>
      <c r="U19" s="30" t="str">
        <f aca="false">IF($B19="","",IFERROR(IF(INDEX(offices!$Y$2:$Y$61,MATCH($B19,offices!$A$2:$A$61,0))="","",INDEX(offices!$Y$2:$Y$61,MATCH($B19,offices!$A$2:$A$61,0))),""))</f>
        <v/>
      </c>
      <c r="V19" s="30" t="str">
        <f aca="false">IF($B19="","",IFERROR(IF(INDEX(offices!$V$2:$V$61,MATCH($B19,offices!$A$2:$A$61,0))="","",INDEX(offices!$V$2:$V$61,MATCH($B19,offices!$A$2:$A$61,0))),""))</f>
        <v/>
      </c>
      <c r="W19" s="30" t="str">
        <f aca="false">IF($B19="","",IFERROR(IF(INDEX(offices!$AJ$2:$AJ$61,MATCH($B19,offices!$A$2:$A$61,0))="","",INDEX(offices!$AJ$2:$AJ$61,MATCH($B19,offices!$A$2:$A$61,0))),""))</f>
        <v/>
      </c>
      <c r="X19" s="30" t="str">
        <f aca="false">IF($B19="","",IFERROR(IF(INDEX(offices!$G$2:$G$61,MATCH($B19,offices!$A$2:$A$61,0))="","",INDEX(offices!$G$2:$G$61,MATCH($B19,offices!$A$2:$A$61,0))),""))</f>
        <v/>
      </c>
      <c r="Y19" s="30" t="str">
        <f aca="false">IF($B19="","",IFERROR(IF(INDEX(offices!$I$2:$I$61,MATCH($B19,offices!$A$2:$A$61,0))="","",INDEX(offices!$I$2:$I$61,MATCH($B19,offices!$A$2:$A$61,0))),""))</f>
        <v/>
      </c>
      <c r="Z19" s="30" t="str">
        <f aca="false">IF($A19="","",COUNTIFS(approvals!$H$2:$H$251,$A19,approvals!$B$2:$B$251,$B19,approvals!$P$2:$P$251,"Y"))</f>
        <v/>
      </c>
      <c r="AA19" s="30" t="str">
        <f aca="false">IF($A19="","",SUMIFS(approvals!$S$2:$S$251,approvals!$H$2:$H$251,$A19,approvals!$B$2:$B$251,$B19,approvals!$P$2:$P$251,"Y"))</f>
        <v/>
      </c>
      <c r="AB19" s="30" t="str">
        <f aca="false">IF(OR($A19="",$P19=""),"",IF(COUNTIFS(stops!$B$2:$B$151,$B19,stops!$P$2:$P$151,"&lt;"&amp;$P19,stops!$L$2:$L$151,"&lt;&gt;not_delivered")=0,"Y","N"))</f>
        <v/>
      </c>
      <c r="AC19" s="30" t="str">
        <f aca="false">IF(OR($I19="",$J19=""),"",ROUND(($J19-$I19)*1440,0))</f>
        <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
      </c>
      <c r="AF19" s="30" t="str">
        <f aca="false">IF($A19="","",IF(AND($L19="declined",N($Z19)&gt;0,COUNTIFS(approvals!$H$2:$H$251,$A19,approvals!$B$2:$B$251,$B19,approvals!$P$2:$P$251,"Y",approvals!$U$2:$U$251,"&gt;0")=0),"Y",""))</f>
        <v/>
      </c>
    </row>
    <row r="20" customFormat="false" ht="15" hidden="false" customHeight="false" outlineLevel="0" collapsed="false">
      <c r="D20" s="38"/>
      <c r="E20" s="11"/>
      <c r="F20" s="11"/>
      <c r="G20" s="11"/>
      <c r="I20" s="38"/>
      <c r="J20" s="38"/>
      <c r="K20" s="10"/>
      <c r="L20" s="10"/>
      <c r="N20" s="11"/>
      <c r="O20" s="10"/>
      <c r="P20" s="31" t="str">
        <f aca="false">IF($A20="","",IF(IFERROR(IF(INDEX(drops!$I$2:$I$21,MATCH($A20,drops!$A$2:$A$21,0))="","",INDEX(drops!$I$2:$I$21,MATCH($A20,drops!$A$2:$A$21,0))),"")="OK",IFERROR(IF(INDEX(drops!$B$2:$B$21,MATCH($A20,drops!$A$2:$A$21,0))="","",INDEX(drops!$B$2:$B$21,MATCH($A20,drops!$A$2:$A$21,0))),""),""))</f>
        <v/>
      </c>
      <c r="Q20" s="30" t="str">
        <f aca="false">IF($B20="","",IFERROR(IF(INDEX(offices!$O$2:$O$61,MATCH($B20,offices!$A$2:$A$61,0))="","",INDEX(offices!$O$2:$O$61,MATCH($B20,offices!$A$2:$A$61,0))),""))</f>
        <v/>
      </c>
      <c r="R20" s="30" t="str">
        <f aca="false">IF($B20="","",IFERROR(IF(INDEX(offices!$P$2:$P$61,MATCH($B20,offices!$A$2:$A$61,0))="","",INDEX(offices!$P$2:$P$61,MATCH($B20,offices!$A$2:$A$61,0))),""))</f>
        <v/>
      </c>
      <c r="S20" s="30" t="str">
        <f aca="false">IF($B20="","",IFERROR(IF(INDEX(offices!$Q$2:$Q$61,MATCH($B20,offices!$A$2:$A$61,0))="","",INDEX(offices!$Q$2:$Q$61,MATCH($B20,offices!$A$2:$A$61,0))),""))</f>
        <v/>
      </c>
      <c r="T20" s="30" t="str">
        <f aca="false">IF($B20="","",IFERROR(IF(INDEX(offices!$Z$2:$Z$61,MATCH($B20,offices!$A$2:$A$61,0))="","",INDEX(offices!$Z$2:$Z$61,MATCH($B20,offices!$A$2:$A$61,0))),""))</f>
        <v/>
      </c>
      <c r="U20" s="30" t="str">
        <f aca="false">IF($B20="","",IFERROR(IF(INDEX(offices!$Y$2:$Y$61,MATCH($B20,offices!$A$2:$A$61,0))="","",INDEX(offices!$Y$2:$Y$61,MATCH($B20,offices!$A$2:$A$61,0))),""))</f>
        <v/>
      </c>
      <c r="V20" s="30" t="str">
        <f aca="false">IF($B20="","",IFERROR(IF(INDEX(offices!$V$2:$V$61,MATCH($B20,offices!$A$2:$A$61,0))="","",INDEX(offices!$V$2:$V$61,MATCH($B20,offices!$A$2:$A$61,0))),""))</f>
        <v/>
      </c>
      <c r="W20" s="30" t="str">
        <f aca="false">IF($B20="","",IFERROR(IF(INDEX(offices!$AJ$2:$AJ$61,MATCH($B20,offices!$A$2:$A$61,0))="","",INDEX(offices!$AJ$2:$AJ$61,MATCH($B20,offices!$A$2:$A$61,0))),""))</f>
        <v/>
      </c>
      <c r="X20" s="30" t="str">
        <f aca="false">IF($B20="","",IFERROR(IF(INDEX(offices!$G$2:$G$61,MATCH($B20,offices!$A$2:$A$61,0))="","",INDEX(offices!$G$2:$G$61,MATCH($B20,offices!$A$2:$A$61,0))),""))</f>
        <v/>
      </c>
      <c r="Y20" s="30" t="str">
        <f aca="false">IF($B20="","",IFERROR(IF(INDEX(offices!$I$2:$I$61,MATCH($B20,offices!$A$2:$A$61,0))="","",INDEX(offices!$I$2:$I$61,MATCH($B20,offices!$A$2:$A$61,0))),""))</f>
        <v/>
      </c>
      <c r="Z20" s="30" t="str">
        <f aca="false">IF($A20="","",COUNTIFS(approvals!$H$2:$H$251,$A20,approvals!$B$2:$B$251,$B20,approvals!$P$2:$P$251,"Y"))</f>
        <v/>
      </c>
      <c r="AA20" s="30" t="str">
        <f aca="false">IF($A20="","",SUMIFS(approvals!$S$2:$S$251,approvals!$H$2:$H$251,$A20,approvals!$B$2:$B$251,$B20,approvals!$P$2:$P$251,"Y"))</f>
        <v/>
      </c>
      <c r="AB20" s="30" t="str">
        <f aca="false">IF(OR($A20="",$P20=""),"",IF(COUNTIFS(stops!$B$2:$B$151,$B20,stops!$P$2:$P$151,"&lt;"&amp;$P20,stops!$L$2:$L$151,"&lt;&gt;not_delivered")=0,"Y","N"))</f>
        <v/>
      </c>
      <c r="AC20" s="30" t="str">
        <f aca="false">IF(OR($I20="",$J20=""),"",ROUND(($J20-$I20)*1440,0))</f>
        <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
      </c>
      <c r="AF20" s="30" t="str">
        <f aca="false">IF($A20="","",IF(AND($L20="declined",N($Z20)&gt;0,COUNTIFS(approvals!$H$2:$H$251,$A20,approvals!$B$2:$B$251,$B20,approvals!$P$2:$P$251,"Y",approvals!$U$2:$U$251,"&gt;0")=0),"Y",""))</f>
        <v/>
      </c>
    </row>
    <row r="21" customFormat="false" ht="15" hidden="false" customHeight="false" outlineLevel="0" collapsed="false">
      <c r="D21" s="38"/>
      <c r="E21" s="11"/>
      <c r="F21" s="11"/>
      <c r="G21" s="11"/>
      <c r="I21" s="38"/>
      <c r="J21" s="38"/>
      <c r="K21" s="10"/>
      <c r="L21" s="10"/>
      <c r="N21" s="11"/>
      <c r="O21" s="10"/>
      <c r="P21" s="31" t="str">
        <f aca="false">IF($A21="","",IF(IFERROR(IF(INDEX(drops!$I$2:$I$21,MATCH($A21,drops!$A$2:$A$21,0))="","",INDEX(drops!$I$2:$I$21,MATCH($A21,drops!$A$2:$A$21,0))),"")="OK",IFERROR(IF(INDEX(drops!$B$2:$B$21,MATCH($A21,drops!$A$2:$A$21,0))="","",INDEX(drops!$B$2:$B$21,MATCH($A21,drops!$A$2:$A$21,0))),""),""))</f>
        <v/>
      </c>
      <c r="Q21" s="30" t="str">
        <f aca="false">IF($B21="","",IFERROR(IF(INDEX(offices!$O$2:$O$61,MATCH($B21,offices!$A$2:$A$61,0))="","",INDEX(offices!$O$2:$O$61,MATCH($B21,offices!$A$2:$A$61,0))),""))</f>
        <v/>
      </c>
      <c r="R21" s="30" t="str">
        <f aca="false">IF($B21="","",IFERROR(IF(INDEX(offices!$P$2:$P$61,MATCH($B21,offices!$A$2:$A$61,0))="","",INDEX(offices!$P$2:$P$61,MATCH($B21,offices!$A$2:$A$61,0))),""))</f>
        <v/>
      </c>
      <c r="S21" s="30" t="str">
        <f aca="false">IF($B21="","",IFERROR(IF(INDEX(offices!$Q$2:$Q$61,MATCH($B21,offices!$A$2:$A$61,0))="","",INDEX(offices!$Q$2:$Q$61,MATCH($B21,offices!$A$2:$A$61,0))),""))</f>
        <v/>
      </c>
      <c r="T21" s="30" t="str">
        <f aca="false">IF($B21="","",IFERROR(IF(INDEX(offices!$Z$2:$Z$61,MATCH($B21,offices!$A$2:$A$61,0))="","",INDEX(offices!$Z$2:$Z$61,MATCH($B21,offices!$A$2:$A$61,0))),""))</f>
        <v/>
      </c>
      <c r="U21" s="30" t="str">
        <f aca="false">IF($B21="","",IFERROR(IF(INDEX(offices!$Y$2:$Y$61,MATCH($B21,offices!$A$2:$A$61,0))="","",INDEX(offices!$Y$2:$Y$61,MATCH($B21,offices!$A$2:$A$61,0))),""))</f>
        <v/>
      </c>
      <c r="V21" s="30" t="str">
        <f aca="false">IF($B21="","",IFERROR(IF(INDEX(offices!$V$2:$V$61,MATCH($B21,offices!$A$2:$A$61,0))="","",INDEX(offices!$V$2:$V$61,MATCH($B21,offices!$A$2:$A$61,0))),""))</f>
        <v/>
      </c>
      <c r="W21" s="30" t="str">
        <f aca="false">IF($B21="","",IFERROR(IF(INDEX(offices!$AJ$2:$AJ$61,MATCH($B21,offices!$A$2:$A$61,0))="","",INDEX(offices!$AJ$2:$AJ$61,MATCH($B21,offices!$A$2:$A$61,0))),""))</f>
        <v/>
      </c>
      <c r="X21" s="30" t="str">
        <f aca="false">IF($B21="","",IFERROR(IF(INDEX(offices!$G$2:$G$61,MATCH($B21,offices!$A$2:$A$61,0))="","",INDEX(offices!$G$2:$G$61,MATCH($B21,offices!$A$2:$A$61,0))),""))</f>
        <v/>
      </c>
      <c r="Y21" s="30" t="str">
        <f aca="false">IF($B21="","",IFERROR(IF(INDEX(offices!$I$2:$I$61,MATCH($B21,offices!$A$2:$A$61,0))="","",INDEX(offices!$I$2:$I$61,MATCH($B21,offices!$A$2:$A$61,0))),""))</f>
        <v/>
      </c>
      <c r="Z21" s="30" t="str">
        <f aca="false">IF($A21="","",COUNTIFS(approvals!$H$2:$H$251,$A21,approvals!$B$2:$B$251,$B21,approvals!$P$2:$P$251,"Y"))</f>
        <v/>
      </c>
      <c r="AA21" s="30" t="str">
        <f aca="false">IF($A21="","",SUMIFS(approvals!$S$2:$S$251,approvals!$H$2:$H$251,$A21,approvals!$B$2:$B$251,$B21,approvals!$P$2:$P$251,"Y"))</f>
        <v/>
      </c>
      <c r="AB21" s="30" t="str">
        <f aca="false">IF(OR($A21="",$P21=""),"",IF(COUNTIFS(stops!$B$2:$B$151,$B21,stops!$P$2:$P$151,"&lt;"&amp;$P21,stops!$L$2:$L$151,"&lt;&gt;not_delivered")=0,"Y","N"))</f>
        <v/>
      </c>
      <c r="AC21" s="30" t="str">
        <f aca="false">IF(OR($I21="",$J21=""),"",ROUND(($J21-$I21)*1440,0))</f>
        <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
      </c>
      <c r="AF21" s="30" t="str">
        <f aca="false">IF($A21="","",IF(AND($L21="declined",N($Z21)&gt;0,COUNTIFS(approvals!$H$2:$H$251,$A21,approvals!$B$2:$B$251,$B21,approvals!$P$2:$P$251,"Y",approvals!$U$2:$U$251,"&gt;0")=0),"Y",""))</f>
        <v/>
      </c>
    </row>
    <row r="22" customFormat="false" ht="15" hidden="false" customHeight="false" outlineLevel="0" collapsed="false">
      <c r="D22" s="38"/>
      <c r="E22" s="11"/>
      <c r="F22" s="11"/>
      <c r="G22" s="11"/>
      <c r="I22" s="38"/>
      <c r="J22" s="38"/>
      <c r="K22" s="10"/>
      <c r="L22" s="10"/>
      <c r="N22" s="11"/>
      <c r="O22" s="10"/>
      <c r="P22" s="31" t="str">
        <f aca="false">IF($A22="","",IF(IFERROR(IF(INDEX(drops!$I$2:$I$21,MATCH($A22,drops!$A$2:$A$21,0))="","",INDEX(drops!$I$2:$I$21,MATCH($A22,drops!$A$2:$A$21,0))),"")="OK",IFERROR(IF(INDEX(drops!$B$2:$B$21,MATCH($A22,drops!$A$2:$A$21,0))="","",INDEX(drops!$B$2:$B$21,MATCH($A22,drops!$A$2:$A$21,0))),""),""))</f>
        <v/>
      </c>
      <c r="Q22" s="30" t="str">
        <f aca="false">IF($B22="","",IFERROR(IF(INDEX(offices!$O$2:$O$61,MATCH($B22,offices!$A$2:$A$61,0))="","",INDEX(offices!$O$2:$O$61,MATCH($B22,offices!$A$2:$A$61,0))),""))</f>
        <v/>
      </c>
      <c r="R22" s="30" t="str">
        <f aca="false">IF($B22="","",IFERROR(IF(INDEX(offices!$P$2:$P$61,MATCH($B22,offices!$A$2:$A$61,0))="","",INDEX(offices!$P$2:$P$61,MATCH($B22,offices!$A$2:$A$61,0))),""))</f>
        <v/>
      </c>
      <c r="S22" s="30" t="str">
        <f aca="false">IF($B22="","",IFERROR(IF(INDEX(offices!$Q$2:$Q$61,MATCH($B22,offices!$A$2:$A$61,0))="","",INDEX(offices!$Q$2:$Q$61,MATCH($B22,offices!$A$2:$A$61,0))),""))</f>
        <v/>
      </c>
      <c r="T22" s="30" t="str">
        <f aca="false">IF($B22="","",IFERROR(IF(INDEX(offices!$Z$2:$Z$61,MATCH($B22,offices!$A$2:$A$61,0))="","",INDEX(offices!$Z$2:$Z$61,MATCH($B22,offices!$A$2:$A$61,0))),""))</f>
        <v/>
      </c>
      <c r="U22" s="30" t="str">
        <f aca="false">IF($B22="","",IFERROR(IF(INDEX(offices!$Y$2:$Y$61,MATCH($B22,offices!$A$2:$A$61,0))="","",INDEX(offices!$Y$2:$Y$61,MATCH($B22,offices!$A$2:$A$61,0))),""))</f>
        <v/>
      </c>
      <c r="V22" s="30" t="str">
        <f aca="false">IF($B22="","",IFERROR(IF(INDEX(offices!$V$2:$V$61,MATCH($B22,offices!$A$2:$A$61,0))="","",INDEX(offices!$V$2:$V$61,MATCH($B22,offices!$A$2:$A$61,0))),""))</f>
        <v/>
      </c>
      <c r="W22" s="30" t="str">
        <f aca="false">IF($B22="","",IFERROR(IF(INDEX(offices!$AJ$2:$AJ$61,MATCH($B22,offices!$A$2:$A$61,0))="","",INDEX(offices!$AJ$2:$AJ$61,MATCH($B22,offices!$A$2:$A$61,0))),""))</f>
        <v/>
      </c>
      <c r="X22" s="30" t="str">
        <f aca="false">IF($B22="","",IFERROR(IF(INDEX(offices!$G$2:$G$61,MATCH($B22,offices!$A$2:$A$61,0))="","",INDEX(offices!$G$2:$G$61,MATCH($B22,offices!$A$2:$A$61,0))),""))</f>
        <v/>
      </c>
      <c r="Y22" s="30" t="str">
        <f aca="false">IF($B22="","",IFERROR(IF(INDEX(offices!$I$2:$I$61,MATCH($B22,offices!$A$2:$A$61,0))="","",INDEX(offices!$I$2:$I$61,MATCH($B22,offices!$A$2:$A$61,0))),""))</f>
        <v/>
      </c>
      <c r="Z22" s="30" t="str">
        <f aca="false">IF($A22="","",COUNTIFS(approvals!$H$2:$H$251,$A22,approvals!$B$2:$B$251,$B22,approvals!$P$2:$P$251,"Y"))</f>
        <v/>
      </c>
      <c r="AA22" s="30" t="str">
        <f aca="false">IF($A22="","",SUMIFS(approvals!$S$2:$S$251,approvals!$H$2:$H$251,$A22,approvals!$B$2:$B$251,$B22,approvals!$P$2:$P$251,"Y"))</f>
        <v/>
      </c>
      <c r="AB22" s="30" t="str">
        <f aca="false">IF(OR($A22="",$P22=""),"",IF(COUNTIFS(stops!$B$2:$B$151,$B22,stops!$P$2:$P$151,"&lt;"&amp;$P22,stops!$L$2:$L$151,"&lt;&gt;not_delivered")=0,"Y","N"))</f>
        <v/>
      </c>
      <c r="AC22" s="30" t="str">
        <f aca="false">IF(OR($I22="",$J22=""),"",ROUND(($J22-$I22)*1440,0))</f>
        <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
      </c>
      <c r="AF22" s="30" t="str">
        <f aca="false">IF($A22="","",IF(AND($L22="declined",N($Z22)&gt;0,COUNTIFS(approvals!$H$2:$H$251,$A22,approvals!$B$2:$B$251,$B22,approvals!$P$2:$P$251,"Y",approvals!$U$2:$U$251,"&gt;0")=0),"Y",""))</f>
        <v/>
      </c>
    </row>
    <row r="23" customFormat="false" ht="15" hidden="false" customHeight="false" outlineLevel="0" collapsed="false">
      <c r="D23" s="38"/>
      <c r="E23" s="11"/>
      <c r="F23" s="11"/>
      <c r="G23" s="11"/>
      <c r="I23" s="38"/>
      <c r="J23" s="38"/>
      <c r="K23" s="10"/>
      <c r="L23" s="10"/>
      <c r="N23" s="11"/>
      <c r="O23" s="10"/>
      <c r="P23" s="31" t="str">
        <f aca="false">IF($A23="","",IF(IFERROR(IF(INDEX(drops!$I$2:$I$21,MATCH($A23,drops!$A$2:$A$21,0))="","",INDEX(drops!$I$2:$I$21,MATCH($A23,drops!$A$2:$A$21,0))),"")="OK",IFERROR(IF(INDEX(drops!$B$2:$B$21,MATCH($A23,drops!$A$2:$A$21,0))="","",INDEX(drops!$B$2:$B$21,MATCH($A23,drops!$A$2:$A$21,0))),""),""))</f>
        <v/>
      </c>
      <c r="Q23" s="30" t="str">
        <f aca="false">IF($B23="","",IFERROR(IF(INDEX(offices!$O$2:$O$61,MATCH($B23,offices!$A$2:$A$61,0))="","",INDEX(offices!$O$2:$O$61,MATCH($B23,offices!$A$2:$A$61,0))),""))</f>
        <v/>
      </c>
      <c r="R23" s="30" t="str">
        <f aca="false">IF($B23="","",IFERROR(IF(INDEX(offices!$P$2:$P$61,MATCH($B23,offices!$A$2:$A$61,0))="","",INDEX(offices!$P$2:$P$61,MATCH($B23,offices!$A$2:$A$61,0))),""))</f>
        <v/>
      </c>
      <c r="S23" s="30" t="str">
        <f aca="false">IF($B23="","",IFERROR(IF(INDEX(offices!$Q$2:$Q$61,MATCH($B23,offices!$A$2:$A$61,0))="","",INDEX(offices!$Q$2:$Q$61,MATCH($B23,offices!$A$2:$A$61,0))),""))</f>
        <v/>
      </c>
      <c r="T23" s="30" t="str">
        <f aca="false">IF($B23="","",IFERROR(IF(INDEX(offices!$Z$2:$Z$61,MATCH($B23,offices!$A$2:$A$61,0))="","",INDEX(offices!$Z$2:$Z$61,MATCH($B23,offices!$A$2:$A$61,0))),""))</f>
        <v/>
      </c>
      <c r="U23" s="30" t="str">
        <f aca="false">IF($B23="","",IFERROR(IF(INDEX(offices!$Y$2:$Y$61,MATCH($B23,offices!$A$2:$A$61,0))="","",INDEX(offices!$Y$2:$Y$61,MATCH($B23,offices!$A$2:$A$61,0))),""))</f>
        <v/>
      </c>
      <c r="V23" s="30" t="str">
        <f aca="false">IF($B23="","",IFERROR(IF(INDEX(offices!$V$2:$V$61,MATCH($B23,offices!$A$2:$A$61,0))="","",INDEX(offices!$V$2:$V$61,MATCH($B23,offices!$A$2:$A$61,0))),""))</f>
        <v/>
      </c>
      <c r="W23" s="30" t="str">
        <f aca="false">IF($B23="","",IFERROR(IF(INDEX(offices!$AJ$2:$AJ$61,MATCH($B23,offices!$A$2:$A$61,0))="","",INDEX(offices!$AJ$2:$AJ$61,MATCH($B23,offices!$A$2:$A$61,0))),""))</f>
        <v/>
      </c>
      <c r="X23" s="30" t="str">
        <f aca="false">IF($B23="","",IFERROR(IF(INDEX(offices!$G$2:$G$61,MATCH($B23,offices!$A$2:$A$61,0))="","",INDEX(offices!$G$2:$G$61,MATCH($B23,offices!$A$2:$A$61,0))),""))</f>
        <v/>
      </c>
      <c r="Y23" s="30" t="str">
        <f aca="false">IF($B23="","",IFERROR(IF(INDEX(offices!$I$2:$I$61,MATCH($B23,offices!$A$2:$A$61,0))="","",INDEX(offices!$I$2:$I$61,MATCH($B23,offices!$A$2:$A$61,0))),""))</f>
        <v/>
      </c>
      <c r="Z23" s="30" t="str">
        <f aca="false">IF($A23="","",COUNTIFS(approvals!$H$2:$H$251,$A23,approvals!$B$2:$B$251,$B23,approvals!$P$2:$P$251,"Y"))</f>
        <v/>
      </c>
      <c r="AA23" s="30" t="str">
        <f aca="false">IF($A23="","",SUMIFS(approvals!$S$2:$S$251,approvals!$H$2:$H$251,$A23,approvals!$B$2:$B$251,$B23,approvals!$P$2:$P$251,"Y"))</f>
        <v/>
      </c>
      <c r="AB23" s="30" t="str">
        <f aca="false">IF(OR($A23="",$P23=""),"",IF(COUNTIFS(stops!$B$2:$B$151,$B23,stops!$P$2:$P$151,"&lt;"&amp;$P23,stops!$L$2:$L$151,"&lt;&gt;not_delivered")=0,"Y","N"))</f>
        <v/>
      </c>
      <c r="AC23" s="30" t="str">
        <f aca="false">IF(OR($I23="",$J23=""),"",ROUND(($J23-$I23)*1440,0))</f>
        <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
      </c>
      <c r="AF23" s="30" t="str">
        <f aca="false">IF($A23="","",IF(AND($L23="declined",N($Z23)&gt;0,COUNTIFS(approvals!$H$2:$H$251,$A23,approvals!$B$2:$B$251,$B23,approvals!$P$2:$P$251,"Y",approvals!$U$2:$U$251,"&gt;0")=0),"Y",""))</f>
        <v/>
      </c>
    </row>
    <row r="24" customFormat="false" ht="15" hidden="false" customHeight="false" outlineLevel="0" collapsed="false">
      <c r="D24" s="38"/>
      <c r="E24" s="11"/>
      <c r="F24" s="11"/>
      <c r="G24" s="11"/>
      <c r="I24" s="38"/>
      <c r="J24" s="38"/>
      <c r="K24" s="10"/>
      <c r="L24" s="10"/>
      <c r="N24" s="11"/>
      <c r="O24" s="10"/>
      <c r="P24" s="31" t="str">
        <f aca="false">IF($A24="","",IF(IFERROR(IF(INDEX(drops!$I$2:$I$21,MATCH($A24,drops!$A$2:$A$21,0))="","",INDEX(drops!$I$2:$I$21,MATCH($A24,drops!$A$2:$A$21,0))),"")="OK",IFERROR(IF(INDEX(drops!$B$2:$B$21,MATCH($A24,drops!$A$2:$A$21,0))="","",INDEX(drops!$B$2:$B$21,MATCH($A24,drops!$A$2:$A$21,0))),""),""))</f>
        <v/>
      </c>
      <c r="Q24" s="30" t="str">
        <f aca="false">IF($B24="","",IFERROR(IF(INDEX(offices!$O$2:$O$61,MATCH($B24,offices!$A$2:$A$61,0))="","",INDEX(offices!$O$2:$O$61,MATCH($B24,offices!$A$2:$A$61,0))),""))</f>
        <v/>
      </c>
      <c r="R24" s="30" t="str">
        <f aca="false">IF($B24="","",IFERROR(IF(INDEX(offices!$P$2:$P$61,MATCH($B24,offices!$A$2:$A$61,0))="","",INDEX(offices!$P$2:$P$61,MATCH($B24,offices!$A$2:$A$61,0))),""))</f>
        <v/>
      </c>
      <c r="S24" s="30" t="str">
        <f aca="false">IF($B24="","",IFERROR(IF(INDEX(offices!$Q$2:$Q$61,MATCH($B24,offices!$A$2:$A$61,0))="","",INDEX(offices!$Q$2:$Q$61,MATCH($B24,offices!$A$2:$A$61,0))),""))</f>
        <v/>
      </c>
      <c r="T24" s="30" t="str">
        <f aca="false">IF($B24="","",IFERROR(IF(INDEX(offices!$Z$2:$Z$61,MATCH($B24,offices!$A$2:$A$61,0))="","",INDEX(offices!$Z$2:$Z$61,MATCH($B24,offices!$A$2:$A$61,0))),""))</f>
        <v/>
      </c>
      <c r="U24" s="30" t="str">
        <f aca="false">IF($B24="","",IFERROR(IF(INDEX(offices!$Y$2:$Y$61,MATCH($B24,offices!$A$2:$A$61,0))="","",INDEX(offices!$Y$2:$Y$61,MATCH($B24,offices!$A$2:$A$61,0))),""))</f>
        <v/>
      </c>
      <c r="V24" s="30" t="str">
        <f aca="false">IF($B24="","",IFERROR(IF(INDEX(offices!$V$2:$V$61,MATCH($B24,offices!$A$2:$A$61,0))="","",INDEX(offices!$V$2:$V$61,MATCH($B24,offices!$A$2:$A$61,0))),""))</f>
        <v/>
      </c>
      <c r="W24" s="30" t="str">
        <f aca="false">IF($B24="","",IFERROR(IF(INDEX(offices!$AJ$2:$AJ$61,MATCH($B24,offices!$A$2:$A$61,0))="","",INDEX(offices!$AJ$2:$AJ$61,MATCH($B24,offices!$A$2:$A$61,0))),""))</f>
        <v/>
      </c>
      <c r="X24" s="30" t="str">
        <f aca="false">IF($B24="","",IFERROR(IF(INDEX(offices!$G$2:$G$61,MATCH($B24,offices!$A$2:$A$61,0))="","",INDEX(offices!$G$2:$G$61,MATCH($B24,offices!$A$2:$A$61,0))),""))</f>
        <v/>
      </c>
      <c r="Y24" s="30" t="str">
        <f aca="false">IF($B24="","",IFERROR(IF(INDEX(offices!$I$2:$I$61,MATCH($B24,offices!$A$2:$A$61,0))="","",INDEX(offices!$I$2:$I$61,MATCH($B24,offices!$A$2:$A$61,0))),""))</f>
        <v/>
      </c>
      <c r="Z24" s="30" t="str">
        <f aca="false">IF($A24="","",COUNTIFS(approvals!$H$2:$H$251,$A24,approvals!$B$2:$B$251,$B24,approvals!$P$2:$P$251,"Y"))</f>
        <v/>
      </c>
      <c r="AA24" s="30" t="str">
        <f aca="false">IF($A24="","",SUMIFS(approvals!$S$2:$S$251,approvals!$H$2:$H$251,$A24,approvals!$B$2:$B$251,$B24,approvals!$P$2:$P$251,"Y"))</f>
        <v/>
      </c>
      <c r="AB24" s="30" t="str">
        <f aca="false">IF(OR($A24="",$P24=""),"",IF(COUNTIFS(stops!$B$2:$B$151,$B24,stops!$P$2:$P$151,"&lt;"&amp;$P24,stops!$L$2:$L$151,"&lt;&gt;not_delivered")=0,"Y","N"))</f>
        <v/>
      </c>
      <c r="AC24" s="30" t="str">
        <f aca="false">IF(OR($I24="",$J24=""),"",ROUND(($J24-$I24)*1440,0))</f>
        <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
      </c>
      <c r="AF24" s="30" t="str">
        <f aca="false">IF($A24="","",IF(AND($L24="declined",N($Z24)&gt;0,COUNTIFS(approvals!$H$2:$H$251,$A24,approvals!$B$2:$B$251,$B24,approvals!$P$2:$P$251,"Y",approvals!$U$2:$U$251,"&gt;0")=0),"Y",""))</f>
        <v/>
      </c>
    </row>
    <row r="25" customFormat="false" ht="15" hidden="false" customHeight="false" outlineLevel="0" collapsed="false">
      <c r="D25" s="38"/>
      <c r="E25" s="11"/>
      <c r="F25" s="11"/>
      <c r="G25" s="11"/>
      <c r="I25" s="38"/>
      <c r="J25" s="38"/>
      <c r="K25" s="10"/>
      <c r="L25" s="10"/>
      <c r="N25" s="11"/>
      <c r="O25" s="10"/>
      <c r="P25" s="31" t="str">
        <f aca="false">IF($A25="","",IF(IFERROR(IF(INDEX(drops!$I$2:$I$21,MATCH($A25,drops!$A$2:$A$21,0))="","",INDEX(drops!$I$2:$I$21,MATCH($A25,drops!$A$2:$A$21,0))),"")="OK",IFERROR(IF(INDEX(drops!$B$2:$B$21,MATCH($A25,drops!$A$2:$A$21,0))="","",INDEX(drops!$B$2:$B$21,MATCH($A25,drops!$A$2:$A$21,0))),""),""))</f>
        <v/>
      </c>
      <c r="Q25" s="30" t="str">
        <f aca="false">IF($B25="","",IFERROR(IF(INDEX(offices!$O$2:$O$61,MATCH($B25,offices!$A$2:$A$61,0))="","",INDEX(offices!$O$2:$O$61,MATCH($B25,offices!$A$2:$A$61,0))),""))</f>
        <v/>
      </c>
      <c r="R25" s="30" t="str">
        <f aca="false">IF($B25="","",IFERROR(IF(INDEX(offices!$P$2:$P$61,MATCH($B25,offices!$A$2:$A$61,0))="","",INDEX(offices!$P$2:$P$61,MATCH($B25,offices!$A$2:$A$61,0))),""))</f>
        <v/>
      </c>
      <c r="S25" s="30" t="str">
        <f aca="false">IF($B25="","",IFERROR(IF(INDEX(offices!$Q$2:$Q$61,MATCH($B25,offices!$A$2:$A$61,0))="","",INDEX(offices!$Q$2:$Q$61,MATCH($B25,offices!$A$2:$A$61,0))),""))</f>
        <v/>
      </c>
      <c r="T25" s="30" t="str">
        <f aca="false">IF($B25="","",IFERROR(IF(INDEX(offices!$Z$2:$Z$61,MATCH($B25,offices!$A$2:$A$61,0))="","",INDEX(offices!$Z$2:$Z$61,MATCH($B25,offices!$A$2:$A$61,0))),""))</f>
        <v/>
      </c>
      <c r="U25" s="30" t="str">
        <f aca="false">IF($B25="","",IFERROR(IF(INDEX(offices!$Y$2:$Y$61,MATCH($B25,offices!$A$2:$A$61,0))="","",INDEX(offices!$Y$2:$Y$61,MATCH($B25,offices!$A$2:$A$61,0))),""))</f>
        <v/>
      </c>
      <c r="V25" s="30" t="str">
        <f aca="false">IF($B25="","",IFERROR(IF(INDEX(offices!$V$2:$V$61,MATCH($B25,offices!$A$2:$A$61,0))="","",INDEX(offices!$V$2:$V$61,MATCH($B25,offices!$A$2:$A$61,0))),""))</f>
        <v/>
      </c>
      <c r="W25" s="30" t="str">
        <f aca="false">IF($B25="","",IFERROR(IF(INDEX(offices!$AJ$2:$AJ$61,MATCH($B25,offices!$A$2:$A$61,0))="","",INDEX(offices!$AJ$2:$AJ$61,MATCH($B25,offices!$A$2:$A$61,0))),""))</f>
        <v/>
      </c>
      <c r="X25" s="30" t="str">
        <f aca="false">IF($B25="","",IFERROR(IF(INDEX(offices!$G$2:$G$61,MATCH($B25,offices!$A$2:$A$61,0))="","",INDEX(offices!$G$2:$G$61,MATCH($B25,offices!$A$2:$A$61,0))),""))</f>
        <v/>
      </c>
      <c r="Y25" s="30" t="str">
        <f aca="false">IF($B25="","",IFERROR(IF(INDEX(offices!$I$2:$I$61,MATCH($B25,offices!$A$2:$A$61,0))="","",INDEX(offices!$I$2:$I$61,MATCH($B25,offices!$A$2:$A$61,0))),""))</f>
        <v/>
      </c>
      <c r="Z25" s="30" t="str">
        <f aca="false">IF($A25="","",COUNTIFS(approvals!$H$2:$H$251,$A25,approvals!$B$2:$B$251,$B25,approvals!$P$2:$P$251,"Y"))</f>
        <v/>
      </c>
      <c r="AA25" s="30" t="str">
        <f aca="false">IF($A25="","",SUMIFS(approvals!$S$2:$S$251,approvals!$H$2:$H$251,$A25,approvals!$B$2:$B$251,$B25,approvals!$P$2:$P$251,"Y"))</f>
        <v/>
      </c>
      <c r="AB25" s="30" t="str">
        <f aca="false">IF(OR($A25="",$P25=""),"",IF(COUNTIFS(stops!$B$2:$B$151,$B25,stops!$P$2:$P$151,"&lt;"&amp;$P25,stops!$L$2:$L$151,"&lt;&gt;not_delivered")=0,"Y","N"))</f>
        <v/>
      </c>
      <c r="AC25" s="30" t="str">
        <f aca="false">IF(OR($I25="",$J25=""),"",ROUND(($J25-$I25)*1440,0))</f>
        <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
      </c>
      <c r="AF25" s="30" t="str">
        <f aca="false">IF($A25="","",IF(AND($L25="declined",N($Z25)&gt;0,COUNTIFS(approvals!$H$2:$H$251,$A25,approvals!$B$2:$B$251,$B25,approvals!$P$2:$P$251,"Y",approvals!$U$2:$U$251,"&gt;0")=0),"Y",""))</f>
        <v/>
      </c>
    </row>
    <row r="26" customFormat="false" ht="15" hidden="false" customHeight="false" outlineLevel="0" collapsed="false">
      <c r="D26" s="38"/>
      <c r="E26" s="11"/>
      <c r="F26" s="11"/>
      <c r="G26" s="11"/>
      <c r="I26" s="38"/>
      <c r="J26" s="38"/>
      <c r="K26" s="10"/>
      <c r="L26" s="10"/>
      <c r="N26" s="11"/>
      <c r="O26" s="10"/>
      <c r="P26" s="31" t="str">
        <f aca="false">IF($A26="","",IF(IFERROR(IF(INDEX(drops!$I$2:$I$21,MATCH($A26,drops!$A$2:$A$21,0))="","",INDEX(drops!$I$2:$I$21,MATCH($A26,drops!$A$2:$A$21,0))),"")="OK",IFERROR(IF(INDEX(drops!$B$2:$B$21,MATCH($A26,drops!$A$2:$A$21,0))="","",INDEX(drops!$B$2:$B$21,MATCH($A26,drops!$A$2:$A$21,0))),""),""))</f>
        <v/>
      </c>
      <c r="Q26" s="30" t="str">
        <f aca="false">IF($B26="","",IFERROR(IF(INDEX(offices!$O$2:$O$61,MATCH($B26,offices!$A$2:$A$61,0))="","",INDEX(offices!$O$2:$O$61,MATCH($B26,offices!$A$2:$A$61,0))),""))</f>
        <v/>
      </c>
      <c r="R26" s="30" t="str">
        <f aca="false">IF($B26="","",IFERROR(IF(INDEX(offices!$P$2:$P$61,MATCH($B26,offices!$A$2:$A$61,0))="","",INDEX(offices!$P$2:$P$61,MATCH($B26,offices!$A$2:$A$61,0))),""))</f>
        <v/>
      </c>
      <c r="S26" s="30" t="str">
        <f aca="false">IF($B26="","",IFERROR(IF(INDEX(offices!$Q$2:$Q$61,MATCH($B26,offices!$A$2:$A$61,0))="","",INDEX(offices!$Q$2:$Q$61,MATCH($B26,offices!$A$2:$A$61,0))),""))</f>
        <v/>
      </c>
      <c r="T26" s="30" t="str">
        <f aca="false">IF($B26="","",IFERROR(IF(INDEX(offices!$Z$2:$Z$61,MATCH($B26,offices!$A$2:$A$61,0))="","",INDEX(offices!$Z$2:$Z$61,MATCH($B26,offices!$A$2:$A$61,0))),""))</f>
        <v/>
      </c>
      <c r="U26" s="30" t="str">
        <f aca="false">IF($B26="","",IFERROR(IF(INDEX(offices!$Y$2:$Y$61,MATCH($B26,offices!$A$2:$A$61,0))="","",INDEX(offices!$Y$2:$Y$61,MATCH($B26,offices!$A$2:$A$61,0))),""))</f>
        <v/>
      </c>
      <c r="V26" s="30" t="str">
        <f aca="false">IF($B26="","",IFERROR(IF(INDEX(offices!$V$2:$V$61,MATCH($B26,offices!$A$2:$A$61,0))="","",INDEX(offices!$V$2:$V$61,MATCH($B26,offices!$A$2:$A$61,0))),""))</f>
        <v/>
      </c>
      <c r="W26" s="30" t="str">
        <f aca="false">IF($B26="","",IFERROR(IF(INDEX(offices!$AJ$2:$AJ$61,MATCH($B26,offices!$A$2:$A$61,0))="","",INDEX(offices!$AJ$2:$AJ$61,MATCH($B26,offices!$A$2:$A$61,0))),""))</f>
        <v/>
      </c>
      <c r="X26" s="30" t="str">
        <f aca="false">IF($B26="","",IFERROR(IF(INDEX(offices!$G$2:$G$61,MATCH($B26,offices!$A$2:$A$61,0))="","",INDEX(offices!$G$2:$G$61,MATCH($B26,offices!$A$2:$A$61,0))),""))</f>
        <v/>
      </c>
      <c r="Y26" s="30" t="str">
        <f aca="false">IF($B26="","",IFERROR(IF(INDEX(offices!$I$2:$I$61,MATCH($B26,offices!$A$2:$A$61,0))="","",INDEX(offices!$I$2:$I$61,MATCH($B26,offices!$A$2:$A$61,0))),""))</f>
        <v/>
      </c>
      <c r="Z26" s="30" t="str">
        <f aca="false">IF($A26="","",COUNTIFS(approvals!$H$2:$H$251,$A26,approvals!$B$2:$B$251,$B26,approvals!$P$2:$P$251,"Y"))</f>
        <v/>
      </c>
      <c r="AA26" s="30" t="str">
        <f aca="false">IF($A26="","",SUMIFS(approvals!$S$2:$S$251,approvals!$H$2:$H$251,$A26,approvals!$B$2:$B$251,$B26,approvals!$P$2:$P$251,"Y"))</f>
        <v/>
      </c>
      <c r="AB26" s="30" t="str">
        <f aca="false">IF(OR($A26="",$P26=""),"",IF(COUNTIFS(stops!$B$2:$B$151,$B26,stops!$P$2:$P$151,"&lt;"&amp;$P26,stops!$L$2:$L$151,"&lt;&gt;not_delivered")=0,"Y","N"))</f>
        <v/>
      </c>
      <c r="AC26" s="30" t="str">
        <f aca="false">IF(OR($I26="",$J26=""),"",ROUND(($J26-$I26)*1440,0))</f>
        <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30" t="str">
        <f aca="false">IF($B26="","",IFERROR(IF(INDEX(offices!$H$2:$H$61,MATCH($B26,offices!$A$2:$A$61,0))="","",INDEX(offices!$H$2:$H$61,MATCH($B26,offices!$A$2:$A$61,0))),""))</f>
        <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649</v>
      </c>
      <c r="C1" s="28" t="s">
        <v>344</v>
      </c>
      <c r="D1" s="28" t="s">
        <v>540</v>
      </c>
      <c r="E1" s="28" t="s">
        <v>650</v>
      </c>
      <c r="F1" s="28" t="s">
        <v>651</v>
      </c>
      <c r="G1" s="28" t="s">
        <v>652</v>
      </c>
      <c r="H1" s="28" t="s">
        <v>653</v>
      </c>
      <c r="I1" s="28" t="s">
        <v>654</v>
      </c>
      <c r="J1" s="28" t="s">
        <v>655</v>
      </c>
      <c r="K1" s="28" t="s">
        <v>178</v>
      </c>
      <c r="L1" s="29" t="s">
        <v>300</v>
      </c>
      <c r="M1" s="29" t="s">
        <v>656</v>
      </c>
      <c r="N1" s="29" t="s">
        <v>657</v>
      </c>
      <c r="O1" s="29" t="s">
        <v>658</v>
      </c>
      <c r="P1" s="29" t="s">
        <v>659</v>
      </c>
      <c r="Q1" s="29" t="s">
        <v>120</v>
      </c>
      <c r="R1" s="29" t="s">
        <v>176</v>
      </c>
    </row>
    <row r="2" customFormat="false" ht="15" hidden="false" customHeight="false" outlineLevel="0" collapsed="false">
      <c r="A2" s="11" t="n">
        <v>46384</v>
      </c>
      <c r="B2" s="38" t="n">
        <v>0.638888888888889</v>
      </c>
      <c r="C2" s="10" t="s">
        <v>458</v>
      </c>
      <c r="E2" s="10" t="s">
        <v>583</v>
      </c>
      <c r="G2" s="0" t="n">
        <v>276</v>
      </c>
      <c r="H2" s="10" t="s">
        <v>660</v>
      </c>
      <c r="I2" s="11" t="n">
        <v>46568</v>
      </c>
      <c r="J2" s="10" t="s">
        <v>661</v>
      </c>
      <c r="K2" s="10" t="s">
        <v>662</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484</v>
      </c>
      <c r="E3" s="10" t="s">
        <v>583</v>
      </c>
      <c r="G3" s="0" t="n">
        <v>263</v>
      </c>
      <c r="H3" s="10" t="s">
        <v>663</v>
      </c>
      <c r="I3" s="11" t="n">
        <v>46631</v>
      </c>
      <c r="J3" s="10" t="s">
        <v>661</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484</v>
      </c>
      <c r="E4" s="10" t="s">
        <v>583</v>
      </c>
      <c r="G4" s="0" t="n">
        <v>12</v>
      </c>
      <c r="H4" s="10" t="s">
        <v>664</v>
      </c>
      <c r="I4" s="11" t="n">
        <v>46447</v>
      </c>
      <c r="J4" s="10" t="s">
        <v>661</v>
      </c>
      <c r="K4" s="10" t="s">
        <v>665</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484</v>
      </c>
      <c r="E5" s="10" t="s">
        <v>666</v>
      </c>
      <c r="G5" s="0" t="n">
        <v>12</v>
      </c>
      <c r="H5" s="10" t="s">
        <v>664</v>
      </c>
      <c r="I5" s="11"/>
      <c r="J5" s="10"/>
      <c r="K5" s="10" t="s">
        <v>667</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484</v>
      </c>
      <c r="E6" s="10" t="s">
        <v>666</v>
      </c>
      <c r="G6" s="0" t="n">
        <v>4</v>
      </c>
      <c r="H6" s="10" t="s">
        <v>663</v>
      </c>
      <c r="I6" s="11"/>
      <c r="J6" s="10"/>
      <c r="K6" s="10" t="s">
        <v>668</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458</v>
      </c>
      <c r="D7" s="10" t="s">
        <v>576</v>
      </c>
      <c r="E7" s="10" t="s">
        <v>105</v>
      </c>
      <c r="G7" s="0" t="n">
        <v>40</v>
      </c>
      <c r="I7" s="11"/>
      <c r="J7" s="10" t="s">
        <v>661</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458</v>
      </c>
      <c r="D8" s="10" t="s">
        <v>579</v>
      </c>
      <c r="E8" s="10" t="s">
        <v>105</v>
      </c>
      <c r="G8" s="0" t="n">
        <v>40</v>
      </c>
      <c r="I8" s="11"/>
      <c r="J8" s="10" t="s">
        <v>661</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458</v>
      </c>
      <c r="D9" s="10" t="s">
        <v>581</v>
      </c>
      <c r="E9" s="10" t="s">
        <v>105</v>
      </c>
      <c r="G9" s="0" t="n">
        <v>50</v>
      </c>
      <c r="I9" s="11"/>
      <c r="J9" s="10" t="s">
        <v>661</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458</v>
      </c>
      <c r="D10" s="10" t="s">
        <v>584</v>
      </c>
      <c r="E10" s="10" t="s">
        <v>105</v>
      </c>
      <c r="G10" s="0" t="n">
        <v>50</v>
      </c>
      <c r="I10" s="11"/>
      <c r="J10" s="10" t="s">
        <v>661</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458</v>
      </c>
      <c r="D11" s="10" t="s">
        <v>586</v>
      </c>
      <c r="E11" s="10" t="s">
        <v>105</v>
      </c>
      <c r="G11" s="0" t="n">
        <v>70</v>
      </c>
      <c r="I11" s="11"/>
      <c r="J11" s="10" t="s">
        <v>661</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484</v>
      </c>
      <c r="D12" s="10" t="s">
        <v>576</v>
      </c>
      <c r="E12" s="10" t="s">
        <v>105</v>
      </c>
      <c r="G12" s="0" t="n">
        <v>40</v>
      </c>
      <c r="I12" s="11"/>
      <c r="J12" s="10" t="s">
        <v>661</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484</v>
      </c>
      <c r="D13" s="10" t="s">
        <v>579</v>
      </c>
      <c r="E13" s="10" t="s">
        <v>105</v>
      </c>
      <c r="G13" s="0" t="n">
        <v>40</v>
      </c>
      <c r="I13" s="11"/>
      <c r="J13" s="10" t="s">
        <v>661</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484</v>
      </c>
      <c r="D14" s="10" t="s">
        <v>581</v>
      </c>
      <c r="E14" s="10" t="s">
        <v>105</v>
      </c>
      <c r="G14" s="0" t="n">
        <v>50</v>
      </c>
      <c r="I14" s="11"/>
      <c r="J14" s="10" t="s">
        <v>661</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484</v>
      </c>
      <c r="D15" s="10" t="s">
        <v>584</v>
      </c>
      <c r="E15" s="10" t="s">
        <v>105</v>
      </c>
      <c r="G15" s="0" t="n">
        <v>50</v>
      </c>
      <c r="I15" s="11"/>
      <c r="J15" s="10" t="s">
        <v>661</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484</v>
      </c>
      <c r="D16" s="10" t="s">
        <v>586</v>
      </c>
      <c r="E16" s="10" t="s">
        <v>105</v>
      </c>
      <c r="G16" s="0" t="n">
        <v>70</v>
      </c>
      <c r="I16" s="11"/>
      <c r="J16" s="10" t="s">
        <v>661</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458</v>
      </c>
      <c r="D17" s="10" t="s">
        <v>576</v>
      </c>
      <c r="E17" s="10" t="s">
        <v>669</v>
      </c>
      <c r="G17" s="0" t="n">
        <v>5</v>
      </c>
      <c r="I17" s="11"/>
      <c r="J17" s="10" t="s">
        <v>661</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484</v>
      </c>
      <c r="D18" s="10" t="s">
        <v>581</v>
      </c>
      <c r="E18" s="10" t="s">
        <v>669</v>
      </c>
      <c r="G18" s="0" t="n">
        <v>6</v>
      </c>
      <c r="I18" s="11"/>
      <c r="J18" s="10" t="s">
        <v>661</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458</v>
      </c>
      <c r="D19" s="10" t="s">
        <v>576</v>
      </c>
      <c r="E19" s="10" t="s">
        <v>670</v>
      </c>
      <c r="F19" s="0" t="s">
        <v>671</v>
      </c>
      <c r="G19" s="0" t="n">
        <v>10</v>
      </c>
      <c r="I19" s="11"/>
      <c r="J19" s="10" t="s">
        <v>661</v>
      </c>
      <c r="K19" s="10" t="s">
        <v>672</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458</v>
      </c>
      <c r="D20" s="10" t="s">
        <v>581</v>
      </c>
      <c r="E20" s="10" t="s">
        <v>670</v>
      </c>
      <c r="F20" s="0" t="s">
        <v>671</v>
      </c>
      <c r="G20" s="0" t="n">
        <v>11</v>
      </c>
      <c r="I20" s="11"/>
      <c r="J20" s="10" t="s">
        <v>661</v>
      </c>
      <c r="K20" s="10" t="s">
        <v>672</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484</v>
      </c>
      <c r="D21" s="10" t="s">
        <v>576</v>
      </c>
      <c r="E21" s="10" t="s">
        <v>673</v>
      </c>
      <c r="G21" s="0" t="n">
        <v>3</v>
      </c>
      <c r="I21" s="11"/>
      <c r="J21" s="10" t="s">
        <v>661</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484</v>
      </c>
      <c r="D22" s="10" t="s">
        <v>579</v>
      </c>
      <c r="E22" s="10" t="s">
        <v>673</v>
      </c>
      <c r="G22" s="0" t="n">
        <v>4</v>
      </c>
      <c r="I22" s="11"/>
      <c r="J22" s="10" t="s">
        <v>661</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484</v>
      </c>
      <c r="D23" s="10" t="s">
        <v>581</v>
      </c>
      <c r="E23" s="10" t="s">
        <v>673</v>
      </c>
      <c r="G23" s="0" t="n">
        <v>6</v>
      </c>
      <c r="I23" s="11"/>
      <c r="J23" s="10" t="s">
        <v>661</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484</v>
      </c>
      <c r="D24" s="10" t="s">
        <v>584</v>
      </c>
      <c r="E24" s="10" t="s">
        <v>673</v>
      </c>
      <c r="G24" s="0" t="n">
        <v>2</v>
      </c>
      <c r="I24" s="11"/>
      <c r="J24" s="10" t="s">
        <v>661</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484</v>
      </c>
      <c r="D25" s="10" t="s">
        <v>586</v>
      </c>
      <c r="E25" s="10" t="s">
        <v>673</v>
      </c>
      <c r="G25" s="0" t="n">
        <v>3</v>
      </c>
      <c r="I25" s="11"/>
      <c r="J25" s="10" t="s">
        <v>661</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484</v>
      </c>
      <c r="E26" s="10" t="s">
        <v>674</v>
      </c>
      <c r="F26" s="0" t="s">
        <v>671</v>
      </c>
      <c r="G26" s="0" t="n">
        <v>3</v>
      </c>
      <c r="I26" s="11"/>
      <c r="J26" s="10" t="s">
        <v>661</v>
      </c>
      <c r="K26" s="10" t="s">
        <v>675</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484</v>
      </c>
      <c r="E27" s="10" t="s">
        <v>674</v>
      </c>
      <c r="F27" s="0" t="s">
        <v>676</v>
      </c>
      <c r="G27" s="0" t="n">
        <v>18</v>
      </c>
      <c r="I27" s="11"/>
      <c r="J27" s="10" t="s">
        <v>661</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484</v>
      </c>
      <c r="E28" s="10" t="s">
        <v>674</v>
      </c>
      <c r="F28" s="0" t="s">
        <v>666</v>
      </c>
      <c r="G28" s="0" t="n">
        <v>16</v>
      </c>
      <c r="I28" s="11"/>
      <c r="J28" s="10" t="s">
        <v>661</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c r="B29" s="38"/>
      <c r="E29" s="10"/>
      <c r="I29" s="11"/>
      <c r="J29" s="10"/>
      <c r="L29" s="31" t="str">
        <f aca="false">IF($C29="","",IFERROR(IF(INDEX(campaigns!$BG$2:$BG$51,MATCH($C29,campaigns!$A$2:$A$51,0))="","",INDEX(campaigns!$BG$2:$BG$51,MATCH($C29,campaigns!$A$2:$A$51,0))),""))</f>
        <v/>
      </c>
      <c r="M29" s="30" t="str">
        <f aca="false">IF($C29="","",IF(OR($E29="received"),N($G29),IF(OR($E29="rejected",$E29="delivered",$E29="topped_up"),-N($G29),IF(AND(OR($E29="returned_to_brand",$E29="given_to_roster_office",$E29="released_to_office",$E29="disposed"),IF($F29="","reserve",$F29)="reserve"),-N($G29),IF(AND($E29="correction",IF($F29="","reserve",$F29)="reserve"),N($G29),0)))))</f>
        <v/>
      </c>
      <c r="N29" s="30" t="str">
        <f aca="false">IF($C29="","",IF($E29="rejected",N($G29),IF(AND(OR($E29="returned_to_brand",$E29="given_to_roster_office",$E29="released_to_office",$E29="disposed"),IF($F29="","reserve",$F29)="rejected"),-N($G29),IF(AND($E29="correction",IF($F29="","reserve",$F29)="rejected"),N($G29),0))))</f>
        <v/>
      </c>
      <c r="O29" s="30" t="str">
        <f aca="false">IF($C29="","",IF($E29="collected",N($G29),IF(AND(OR($E29="returned_to_brand",$E29="given_to_roster_office",$E29="released_to_office",$E29="disposed"),IF($F29="","reserve",$F29)="leftover"),-N($G29),IF(AND($E29="correction",IF($F29="","reserve",$F29)="leftover"),N($G29),0))))</f>
        <v/>
      </c>
      <c r="P29" s="30" t="str">
        <f aca="false">IF(OR($E29&lt;&gt;"received",$I29="",$L29=""),"",IF($I29&gt;=$L29+config!$B$19,"Y","N"))</f>
        <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
      </c>
    </row>
    <row r="30" customFormat="false" ht="15" hidden="false" customHeight="false" outlineLevel="0" collapsed="false">
      <c r="A30" s="11"/>
      <c r="B30" s="38"/>
      <c r="E30" s="10"/>
      <c r="I30" s="11"/>
      <c r="J30" s="10"/>
      <c r="L30" s="31" t="str">
        <f aca="false">IF($C30="","",IFERROR(IF(INDEX(campaigns!$BG$2:$BG$51,MATCH($C30,campaigns!$A$2:$A$51,0))="","",INDEX(campaigns!$BG$2:$BG$51,MATCH($C30,campaigns!$A$2:$A$51,0))),""))</f>
        <v/>
      </c>
      <c r="M30" s="30" t="str">
        <f aca="false">IF($C30="","",IF(OR($E30="received"),N($G30),IF(OR($E30="rejected",$E30="delivered",$E30="topped_up"),-N($G30),IF(AND(OR($E30="returned_to_brand",$E30="given_to_roster_office",$E30="released_to_office",$E30="disposed"),IF($F30="","reserve",$F30)="reserve"),-N($G30),IF(AND($E30="correction",IF($F30="","reserve",$F30)="reserve"),N($G30),0)))))</f>
        <v/>
      </c>
      <c r="N30" s="30" t="str">
        <f aca="false">IF($C30="","",IF($E30="rejected",N($G30),IF(AND(OR($E30="returned_to_brand",$E30="given_to_roster_office",$E30="released_to_office",$E30="disposed"),IF($F30="","reserve",$F30)="rejected"),-N($G30),IF(AND($E30="correction",IF($F30="","reserve",$F30)="rejected"),N($G30),0))))</f>
        <v/>
      </c>
      <c r="O30" s="30" t="str">
        <f aca="false">IF($C30="","",IF($E30="collected",N($G30),IF(AND(OR($E30="returned_to_brand",$E30="given_to_roster_office",$E30="released_to_office",$E30="disposed"),IF($F30="","reserve",$F30)="leftover"),-N($G30),IF(AND($E30="correction",IF($F30="","reserve",$F30)="leftover"),N($G30),0))))</f>
        <v/>
      </c>
      <c r="P30" s="30" t="str">
        <f aca="false">IF(OR($E30&lt;&gt;"received",$I30="",$L30=""),"",IF($I30&gt;=$L30+config!$B$19,"Y","N"))</f>
        <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
      </c>
    </row>
    <row r="31" customFormat="false" ht="15" hidden="false" customHeight="false" outlineLevel="0" collapsed="false">
      <c r="A31" s="11"/>
      <c r="B31" s="38"/>
      <c r="E31" s="10"/>
      <c r="I31" s="11"/>
      <c r="J31" s="10"/>
      <c r="L31" s="31" t="str">
        <f aca="false">IF($C31="","",IFERROR(IF(INDEX(campaigns!$BG$2:$BG$51,MATCH($C31,campaigns!$A$2:$A$51,0))="","",INDEX(campaigns!$BG$2:$BG$51,MATCH($C31,campaigns!$A$2:$A$51,0))),""))</f>
        <v/>
      </c>
      <c r="M31" s="30" t="str">
        <f aca="false">IF($C31="","",IF(OR($E31="received"),N($G31),IF(OR($E31="rejected",$E31="delivered",$E31="topped_up"),-N($G31),IF(AND(OR($E31="returned_to_brand",$E31="given_to_roster_office",$E31="released_to_office",$E31="disposed"),IF($F31="","reserve",$F31)="reserve"),-N($G31),IF(AND($E31="correction",IF($F31="","reserve",$F31)="reserve"),N($G31),0)))))</f>
        <v/>
      </c>
      <c r="N31" s="30" t="str">
        <f aca="false">IF($C31="","",IF($E31="rejected",N($G31),IF(AND(OR($E31="returned_to_brand",$E31="given_to_roster_office",$E31="released_to_office",$E31="disposed"),IF($F31="","reserve",$F31)="rejected"),-N($G31),IF(AND($E31="correction",IF($F31="","reserve",$F31)="rejected"),N($G31),0))))</f>
        <v/>
      </c>
      <c r="O31" s="30" t="str">
        <f aca="false">IF($C31="","",IF($E31="collected",N($G31),IF(AND(OR($E31="returned_to_brand",$E31="given_to_roster_office",$E31="released_to_office",$E31="disposed"),IF($F31="","reserve",$F31)="leftover"),-N($G31),IF(AND($E31="correction",IF($F31="","reserve",$F31)="leftover"),N($G31),0))))</f>
        <v/>
      </c>
      <c r="P31" s="30" t="str">
        <f aca="false">IF(OR($E31&lt;&gt;"received",$I31="",$L31=""),"",IF($I31&gt;=$L31+config!$B$19,"Y","N"))</f>
        <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
      </c>
    </row>
    <row r="32" customFormat="false" ht="15" hidden="false" customHeight="false" outlineLevel="0" collapsed="false">
      <c r="A32" s="11"/>
      <c r="B32" s="38"/>
      <c r="E32" s="10"/>
      <c r="I32" s="11"/>
      <c r="J32" s="10"/>
      <c r="L32" s="31" t="str">
        <f aca="false">IF($C32="","",IFERROR(IF(INDEX(campaigns!$BG$2:$BG$51,MATCH($C32,campaigns!$A$2:$A$51,0))="","",INDEX(campaigns!$BG$2:$BG$51,MATCH($C32,campaigns!$A$2:$A$51,0))),""))</f>
        <v/>
      </c>
      <c r="M32" s="30" t="str">
        <f aca="false">IF($C32="","",IF(OR($E32="received"),N($G32),IF(OR($E32="rejected",$E32="delivered",$E32="topped_up"),-N($G32),IF(AND(OR($E32="returned_to_brand",$E32="given_to_roster_office",$E32="released_to_office",$E32="disposed"),IF($F32="","reserve",$F32)="reserve"),-N($G32),IF(AND($E32="correction",IF($F32="","reserve",$F32)="reserve"),N($G32),0)))))</f>
        <v/>
      </c>
      <c r="N32" s="30" t="str">
        <f aca="false">IF($C32="","",IF($E32="rejected",N($G32),IF(AND(OR($E32="returned_to_brand",$E32="given_to_roster_office",$E32="released_to_office",$E32="disposed"),IF($F32="","reserve",$F32)="rejected"),-N($G32),IF(AND($E32="correction",IF($F32="","reserve",$F32)="rejected"),N($G32),0))))</f>
        <v/>
      </c>
      <c r="O32" s="30" t="str">
        <f aca="false">IF($C32="","",IF($E32="collected",N($G32),IF(AND(OR($E32="returned_to_brand",$E32="given_to_roster_office",$E32="released_to_office",$E32="disposed"),IF($F32="","reserve",$F32)="leftover"),-N($G32),IF(AND($E32="correction",IF($F32="","reserve",$F32)="leftover"),N($G32),0))))</f>
        <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
      </c>
    </row>
    <row r="33" customFormat="false" ht="15" hidden="false" customHeight="false" outlineLevel="0" collapsed="false">
      <c r="A33" s="11"/>
      <c r="B33" s="38"/>
      <c r="E33" s="10"/>
      <c r="I33" s="11"/>
      <c r="J33" s="10"/>
      <c r="L33" s="31" t="str">
        <f aca="false">IF($C33="","",IFERROR(IF(INDEX(campaigns!$BG$2:$BG$51,MATCH($C33,campaigns!$A$2:$A$51,0))="","",INDEX(campaigns!$BG$2:$BG$51,MATCH($C33,campaigns!$A$2:$A$51,0))),""))</f>
        <v/>
      </c>
      <c r="M33" s="30" t="str">
        <f aca="false">IF($C33="","",IF(OR($E33="received"),N($G33),IF(OR($E33="rejected",$E33="delivered",$E33="topped_up"),-N($G33),IF(AND(OR($E33="returned_to_brand",$E33="given_to_roster_office",$E33="released_to_office",$E33="disposed"),IF($F33="","reserve",$F33)="reserve"),-N($G33),IF(AND($E33="correction",IF($F33="","reserve",$F33)="reserve"),N($G33),0)))))</f>
        <v/>
      </c>
      <c r="N33" s="30" t="str">
        <f aca="false">IF($C33="","",IF($E33="rejected",N($G33),IF(AND(OR($E33="returned_to_brand",$E33="given_to_roster_office",$E33="released_to_office",$E33="disposed"),IF($F33="","reserve",$F33)="rejected"),-N($G33),IF(AND($E33="correction",IF($F33="","reserve",$F33)="rejected"),N($G33),0))))</f>
        <v/>
      </c>
      <c r="O33" s="30" t="str">
        <f aca="false">IF($C33="","",IF($E33="collected",N($G33),IF(AND(OR($E33="returned_to_brand",$E33="given_to_roster_office",$E33="released_to_office",$E33="disposed"),IF($F33="","reserve",$F33)="leftover"),-N($G33),IF(AND($E33="correction",IF($F33="","reserve",$F33)="leftover"),N($G33),0))))</f>
        <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
      </c>
    </row>
    <row r="34" customFormat="false" ht="15" hidden="false" customHeight="false" outlineLevel="0" collapsed="false">
      <c r="A34" s="11"/>
      <c r="B34" s="38"/>
      <c r="E34" s="10"/>
      <c r="I34" s="11"/>
      <c r="J34" s="10"/>
      <c r="L34" s="31" t="str">
        <f aca="false">IF($C34="","",IFERROR(IF(INDEX(campaigns!$BG$2:$BG$51,MATCH($C34,campaigns!$A$2:$A$51,0))="","",INDEX(campaigns!$BG$2:$BG$51,MATCH($C34,campaigns!$A$2:$A$51,0))),""))</f>
        <v/>
      </c>
      <c r="M34" s="30" t="str">
        <f aca="false">IF($C34="","",IF(OR($E34="received"),N($G34),IF(OR($E34="rejected",$E34="delivered",$E34="topped_up"),-N($G34),IF(AND(OR($E34="returned_to_brand",$E34="given_to_roster_office",$E34="released_to_office",$E34="disposed"),IF($F34="","reserve",$F34)="reserve"),-N($G34),IF(AND($E34="correction",IF($F34="","reserve",$F34)="reserve"),N($G34),0)))))</f>
        <v/>
      </c>
      <c r="N34" s="30" t="str">
        <f aca="false">IF($C34="","",IF($E34="rejected",N($G34),IF(AND(OR($E34="returned_to_brand",$E34="given_to_roster_office",$E34="released_to_office",$E34="disposed"),IF($F34="","reserve",$F34)="rejected"),-N($G34),IF(AND($E34="correction",IF($F34="","reserve",$F34)="rejected"),N($G34),0))))</f>
        <v/>
      </c>
      <c r="O34" s="30" t="str">
        <f aca="false">IF($C34="","",IF($E34="collected",N($G34),IF(AND(OR($E34="returned_to_brand",$E34="given_to_roster_office",$E34="released_to_office",$E34="disposed"),IF($F34="","reserve",$F34)="leftover"),-N($G34),IF(AND($E34="correction",IF($F34="","reserve",$F34)="leftover"),N($G34),0))))</f>
        <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
      </c>
    </row>
    <row r="35" customFormat="false" ht="15" hidden="false" customHeight="false" outlineLevel="0" collapsed="false">
      <c r="A35" s="11"/>
      <c r="B35" s="38"/>
      <c r="E35" s="10"/>
      <c r="I35" s="11"/>
      <c r="J35" s="10"/>
      <c r="L35" s="31" t="str">
        <f aca="false">IF($C35="","",IFERROR(IF(INDEX(campaigns!$BG$2:$BG$51,MATCH($C35,campaigns!$A$2:$A$51,0))="","",INDEX(campaigns!$BG$2:$BG$51,MATCH($C35,campaigns!$A$2:$A$51,0))),""))</f>
        <v/>
      </c>
      <c r="M35" s="30" t="str">
        <f aca="false">IF($C35="","",IF(OR($E35="received"),N($G35),IF(OR($E35="rejected",$E35="delivered",$E35="topped_up"),-N($G35),IF(AND(OR($E35="returned_to_brand",$E35="given_to_roster_office",$E35="released_to_office",$E35="disposed"),IF($F35="","reserve",$F35)="reserve"),-N($G35),IF(AND($E35="correction",IF($F35="","reserve",$F35)="reserve"),N($G35),0)))))</f>
        <v/>
      </c>
      <c r="N35" s="30" t="str">
        <f aca="false">IF($C35="","",IF($E35="rejected",N($G35),IF(AND(OR($E35="returned_to_brand",$E35="given_to_roster_office",$E35="released_to_office",$E35="disposed"),IF($F35="","reserve",$F35)="rejected"),-N($G35),IF(AND($E35="correction",IF($F35="","reserve",$F35)="rejected"),N($G35),0))))</f>
        <v/>
      </c>
      <c r="O35" s="30" t="str">
        <f aca="false">IF($C35="","",IF($E35="collected",N($G35),IF(AND(OR($E35="returned_to_brand",$E35="given_to_roster_office",$E35="released_to_office",$E35="disposed"),IF($F35="","reserve",$F35)="leftover"),-N($G35),IF(AND($E35="correction",IF($F35="","reserve",$F35)="leftover"),N($G35),0))))</f>
        <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
      </c>
    </row>
    <row r="36" customFormat="false" ht="15" hidden="false" customHeight="false" outlineLevel="0" collapsed="false">
      <c r="A36" s="11"/>
      <c r="B36" s="38"/>
      <c r="E36" s="10"/>
      <c r="I36" s="11"/>
      <c r="J36" s="10"/>
      <c r="L36" s="31" t="str">
        <f aca="false">IF($C36="","",IFERROR(IF(INDEX(campaigns!$BG$2:$BG$51,MATCH($C36,campaigns!$A$2:$A$51,0))="","",INDEX(campaigns!$BG$2:$BG$51,MATCH($C36,campaigns!$A$2:$A$51,0))),""))</f>
        <v/>
      </c>
      <c r="M36" s="30" t="str">
        <f aca="false">IF($C36="","",IF(OR($E36="received"),N($G36),IF(OR($E36="rejected",$E36="delivered",$E36="topped_up"),-N($G36),IF(AND(OR($E36="returned_to_brand",$E36="given_to_roster_office",$E36="released_to_office",$E36="disposed"),IF($F36="","reserve",$F36)="reserve"),-N($G36),IF(AND($E36="correction",IF($F36="","reserve",$F36)="reserve"),N($G36),0)))))</f>
        <v/>
      </c>
      <c r="N36" s="30" t="str">
        <f aca="false">IF($C36="","",IF($E36="rejected",N($G36),IF(AND(OR($E36="returned_to_brand",$E36="given_to_roster_office",$E36="released_to_office",$E36="disposed"),IF($F36="","reserve",$F36)="rejected"),-N($G36),IF(AND($E36="correction",IF($F36="","reserve",$F36)="rejected"),N($G36),0))))</f>
        <v/>
      </c>
      <c r="O36" s="30" t="str">
        <f aca="false">IF($C36="","",IF($E36="collected",N($G36),IF(AND(OR($E36="returned_to_brand",$E36="given_to_roster_office",$E36="released_to_office",$E36="disposed"),IF($F36="","reserve",$F36)="leftover"),-N($G36),IF(AND($E36="correction",IF($F36="","reserve",$F36)="leftover"),N($G36),0))))</f>
        <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
      </c>
    </row>
    <row r="37" customFormat="false" ht="15" hidden="false" customHeight="false" outlineLevel="0" collapsed="false">
      <c r="A37" s="11"/>
      <c r="B37" s="38"/>
      <c r="E37" s="10"/>
      <c r="I37" s="11"/>
      <c r="J37" s="10"/>
      <c r="L37" s="31" t="str">
        <f aca="false">IF($C37="","",IFERROR(IF(INDEX(campaigns!$BG$2:$BG$51,MATCH($C37,campaigns!$A$2:$A$51,0))="","",INDEX(campaigns!$BG$2:$BG$51,MATCH($C37,campaigns!$A$2:$A$51,0))),""))</f>
        <v/>
      </c>
      <c r="M37" s="30" t="str">
        <f aca="false">IF($C37="","",IF(OR($E37="received"),N($G37),IF(OR($E37="rejected",$E37="delivered",$E37="topped_up"),-N($G37),IF(AND(OR($E37="returned_to_brand",$E37="given_to_roster_office",$E37="released_to_office",$E37="disposed"),IF($F37="","reserve",$F37)="reserve"),-N($G37),IF(AND($E37="correction",IF($F37="","reserve",$F37)="reserve"),N($G37),0)))))</f>
        <v/>
      </c>
      <c r="N37" s="30" t="str">
        <f aca="false">IF($C37="","",IF($E37="rejected",N($G37),IF(AND(OR($E37="returned_to_brand",$E37="given_to_roster_office",$E37="released_to_office",$E37="disposed"),IF($F37="","reserve",$F37)="rejected"),-N($G37),IF(AND($E37="correction",IF($F37="","reserve",$F37)="rejected"),N($G37),0))))</f>
        <v/>
      </c>
      <c r="O37" s="30" t="str">
        <f aca="false">IF($C37="","",IF($E37="collected",N($G37),IF(AND(OR($E37="returned_to_brand",$E37="given_to_roster_office",$E37="released_to_office",$E37="disposed"),IF($F37="","reserve",$F37)="leftover"),-N($G37),IF(AND($E37="correction",IF($F37="","reserve",$F37)="leftover"),N($G37),0))))</f>
        <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
      </c>
    </row>
    <row r="38" customFormat="false" ht="15" hidden="false" customHeight="false" outlineLevel="0" collapsed="false">
      <c r="A38" s="11"/>
      <c r="B38" s="38"/>
      <c r="E38" s="10"/>
      <c r="I38" s="11"/>
      <c r="J38" s="10"/>
      <c r="L38" s="31" t="str">
        <f aca="false">IF($C38="","",IFERROR(IF(INDEX(campaigns!$BG$2:$BG$51,MATCH($C38,campaigns!$A$2:$A$51,0))="","",INDEX(campaigns!$BG$2:$BG$51,MATCH($C38,campaigns!$A$2:$A$51,0))),""))</f>
        <v/>
      </c>
      <c r="M38" s="30" t="str">
        <f aca="false">IF($C38="","",IF(OR($E38="received"),N($G38),IF(OR($E38="rejected",$E38="delivered",$E38="topped_up"),-N($G38),IF(AND(OR($E38="returned_to_brand",$E38="given_to_roster_office",$E38="released_to_office",$E38="disposed"),IF($F38="","reserve",$F38)="reserve"),-N($G38),IF(AND($E38="correction",IF($F38="","reserve",$F38)="reserve"),N($G38),0)))))</f>
        <v/>
      </c>
      <c r="N38" s="30" t="str">
        <f aca="false">IF($C38="","",IF($E38="rejected",N($G38),IF(AND(OR($E38="returned_to_brand",$E38="given_to_roster_office",$E38="released_to_office",$E38="disposed"),IF($F38="","reserve",$F38)="rejected"),-N($G38),IF(AND($E38="correction",IF($F38="","reserve",$F38)="rejected"),N($G38),0))))</f>
        <v/>
      </c>
      <c r="O38" s="30" t="str">
        <f aca="false">IF($C38="","",IF($E38="collected",N($G38),IF(AND(OR($E38="returned_to_brand",$E38="given_to_roster_office",$E38="released_to_office",$E38="disposed"),IF($F38="","reserve",$F38)="leftover"),-N($G38),IF(AND($E38="correction",IF($F38="","reserve",$F38)="leftover"),N($G38),0))))</f>
        <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
      </c>
    </row>
    <row r="39" customFormat="false" ht="15" hidden="false" customHeight="false" outlineLevel="0" collapsed="false">
      <c r="A39" s="11"/>
      <c r="B39" s="38"/>
      <c r="E39" s="10"/>
      <c r="I39" s="11"/>
      <c r="J39" s="10"/>
      <c r="L39" s="31" t="str">
        <f aca="false">IF($C39="","",IFERROR(IF(INDEX(campaigns!$BG$2:$BG$51,MATCH($C39,campaigns!$A$2:$A$51,0))="","",INDEX(campaigns!$BG$2:$BG$51,MATCH($C39,campaigns!$A$2:$A$51,0))),""))</f>
        <v/>
      </c>
      <c r="M39" s="30" t="str">
        <f aca="false">IF($C39="","",IF(OR($E39="received"),N($G39),IF(OR($E39="rejected",$E39="delivered",$E39="topped_up"),-N($G39),IF(AND(OR($E39="returned_to_brand",$E39="given_to_roster_office",$E39="released_to_office",$E39="disposed"),IF($F39="","reserve",$F39)="reserve"),-N($G39),IF(AND($E39="correction",IF($F39="","reserve",$F39)="reserve"),N($G39),0)))))</f>
        <v/>
      </c>
      <c r="N39" s="30" t="str">
        <f aca="false">IF($C39="","",IF($E39="rejected",N($G39),IF(AND(OR($E39="returned_to_brand",$E39="given_to_roster_office",$E39="released_to_office",$E39="disposed"),IF($F39="","reserve",$F39)="rejected"),-N($G39),IF(AND($E39="correction",IF($F39="","reserve",$F39)="rejected"),N($G39),0))))</f>
        <v/>
      </c>
      <c r="O39" s="30" t="str">
        <f aca="false">IF($C39="","",IF($E39="collected",N($G39),IF(AND(OR($E39="returned_to_brand",$E39="given_to_roster_office",$E39="released_to_office",$E39="disposed"),IF($F39="","reserve",$F39)="leftover"),-N($G39),IF(AND($E39="correction",IF($F39="","reserve",$F39)="leftover"),N($G39),0))))</f>
        <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
      </c>
    </row>
    <row r="40" customFormat="false" ht="15" hidden="false" customHeight="false" outlineLevel="0" collapsed="false">
      <c r="A40" s="11"/>
      <c r="B40" s="38"/>
      <c r="E40" s="10"/>
      <c r="I40" s="11"/>
      <c r="J40" s="10"/>
      <c r="L40" s="31" t="str">
        <f aca="false">IF($C40="","",IFERROR(IF(INDEX(campaigns!$BG$2:$BG$51,MATCH($C40,campaigns!$A$2:$A$51,0))="","",INDEX(campaigns!$BG$2:$BG$51,MATCH($C40,campaigns!$A$2:$A$51,0))),""))</f>
        <v/>
      </c>
      <c r="M40" s="30" t="str">
        <f aca="false">IF($C40="","",IF(OR($E40="received"),N($G40),IF(OR($E40="rejected",$E40="delivered",$E40="topped_up"),-N($G40),IF(AND(OR($E40="returned_to_brand",$E40="given_to_roster_office",$E40="released_to_office",$E40="disposed"),IF($F40="","reserve",$F40)="reserve"),-N($G40),IF(AND($E40="correction",IF($F40="","reserve",$F40)="reserve"),N($G40),0)))))</f>
        <v/>
      </c>
      <c r="N40" s="30" t="str">
        <f aca="false">IF($C40="","",IF($E40="rejected",N($G40),IF(AND(OR($E40="returned_to_brand",$E40="given_to_roster_office",$E40="released_to_office",$E40="disposed"),IF($F40="","reserve",$F40)="rejected"),-N($G40),IF(AND($E40="correction",IF($F40="","reserve",$F40)="rejected"),N($G40),0))))</f>
        <v/>
      </c>
      <c r="O40" s="30" t="str">
        <f aca="false">IF($C40="","",IF($E40="collected",N($G40),IF(AND(OR($E40="returned_to_brand",$E40="given_to_roster_office",$E40="released_to_office",$E40="disposed"),IF($F40="","reserve",$F40)="leftover"),-N($G40),IF(AND($E40="correction",IF($F40="","reserve",$F40)="leftover"),N($G40),0))))</f>
        <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
      </c>
    </row>
    <row r="41" customFormat="false" ht="15" hidden="false" customHeight="false" outlineLevel="0" collapsed="false">
      <c r="A41" s="11"/>
      <c r="B41" s="38"/>
      <c r="E41" s="10"/>
      <c r="I41" s="11"/>
      <c r="J41" s="10"/>
      <c r="L41" s="31" t="str">
        <f aca="false">IF($C41="","",IFERROR(IF(INDEX(campaigns!$BG$2:$BG$51,MATCH($C41,campaigns!$A$2:$A$51,0))="","",INDEX(campaigns!$BG$2:$BG$51,MATCH($C41,campaigns!$A$2:$A$51,0))),""))</f>
        <v/>
      </c>
      <c r="M41" s="30" t="str">
        <f aca="false">IF($C41="","",IF(OR($E41="received"),N($G41),IF(OR($E41="rejected",$E41="delivered",$E41="topped_up"),-N($G41),IF(AND(OR($E41="returned_to_brand",$E41="given_to_roster_office",$E41="released_to_office",$E41="disposed"),IF($F41="","reserve",$F41)="reserve"),-N($G41),IF(AND($E41="correction",IF($F41="","reserve",$F41)="reserve"),N($G41),0)))))</f>
        <v/>
      </c>
      <c r="N41" s="30" t="str">
        <f aca="false">IF($C41="","",IF($E41="rejected",N($G41),IF(AND(OR($E41="returned_to_brand",$E41="given_to_roster_office",$E41="released_to_office",$E41="disposed"),IF($F41="","reserve",$F41)="rejected"),-N($G41),IF(AND($E41="correction",IF($F41="","reserve",$F41)="rejected"),N($G41),0))))</f>
        <v/>
      </c>
      <c r="O41" s="30" t="str">
        <f aca="false">IF($C41="","",IF($E41="collected",N($G41),IF(AND(OR($E41="returned_to_brand",$E41="given_to_roster_office",$E41="released_to_office",$E41="disposed"),IF($F41="","reserve",$F41)="leftover"),-N($G41),IF(AND($E41="correction",IF($F41="","reserve",$F41)="leftover"),N($G41),0))))</f>
        <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
      </c>
    </row>
    <row r="42" customFormat="false" ht="15" hidden="false" customHeight="false" outlineLevel="0" collapsed="false">
      <c r="A42" s="11"/>
      <c r="B42" s="38"/>
      <c r="E42" s="10"/>
      <c r="I42" s="11"/>
      <c r="J42" s="10"/>
      <c r="L42" s="31" t="str">
        <f aca="false">IF($C42="","",IFERROR(IF(INDEX(campaigns!$BG$2:$BG$51,MATCH($C42,campaigns!$A$2:$A$51,0))="","",INDEX(campaigns!$BG$2:$BG$51,MATCH($C42,campaigns!$A$2:$A$51,0))),""))</f>
        <v/>
      </c>
      <c r="M42" s="30" t="str">
        <f aca="false">IF($C42="","",IF(OR($E42="received"),N($G42),IF(OR($E42="rejected",$E42="delivered",$E42="topped_up"),-N($G42),IF(AND(OR($E42="returned_to_brand",$E42="given_to_roster_office",$E42="released_to_office",$E42="disposed"),IF($F42="","reserve",$F42)="reserve"),-N($G42),IF(AND($E42="correction",IF($F42="","reserve",$F42)="reserve"),N($G42),0)))))</f>
        <v/>
      </c>
      <c r="N42" s="30" t="str">
        <f aca="false">IF($C42="","",IF($E42="rejected",N($G42),IF(AND(OR($E42="returned_to_brand",$E42="given_to_roster_office",$E42="released_to_office",$E42="disposed"),IF($F42="","reserve",$F42)="rejected"),-N($G42),IF(AND($E42="correction",IF($F42="","reserve",$F42)="rejected"),N($G42),0))))</f>
        <v/>
      </c>
      <c r="O42" s="30" t="str">
        <f aca="false">IF($C42="","",IF($E42="collected",N($G42),IF(AND(OR($E42="returned_to_brand",$E42="given_to_roster_office",$E42="released_to_office",$E42="disposed"),IF($F42="","reserve",$F42)="leftover"),-N($G42),IF(AND($E42="correction",IF($F42="","reserve",$F42)="leftover"),N($G42),0))))</f>
        <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
      </c>
    </row>
    <row r="43" customFormat="false" ht="15" hidden="false" customHeight="false" outlineLevel="0" collapsed="false">
      <c r="A43" s="11"/>
      <c r="B43" s="38"/>
      <c r="E43" s="10"/>
      <c r="I43" s="11"/>
      <c r="J43" s="10"/>
      <c r="L43" s="31" t="str">
        <f aca="false">IF($C43="","",IFERROR(IF(INDEX(campaigns!$BG$2:$BG$51,MATCH($C43,campaigns!$A$2:$A$51,0))="","",INDEX(campaigns!$BG$2:$BG$51,MATCH($C43,campaigns!$A$2:$A$51,0))),""))</f>
        <v/>
      </c>
      <c r="M43" s="30" t="str">
        <f aca="false">IF($C43="","",IF(OR($E43="received"),N($G43),IF(OR($E43="rejected",$E43="delivered",$E43="topped_up"),-N($G43),IF(AND(OR($E43="returned_to_brand",$E43="given_to_roster_office",$E43="released_to_office",$E43="disposed"),IF($F43="","reserve",$F43)="reserve"),-N($G43),IF(AND($E43="correction",IF($F43="","reserve",$F43)="reserve"),N($G43),0)))))</f>
        <v/>
      </c>
      <c r="N43" s="30" t="str">
        <f aca="false">IF($C43="","",IF($E43="rejected",N($G43),IF(AND(OR($E43="returned_to_brand",$E43="given_to_roster_office",$E43="released_to_office",$E43="disposed"),IF($F43="","reserve",$F43)="rejected"),-N($G43),IF(AND($E43="correction",IF($F43="","reserve",$F43)="rejected"),N($G43),0))))</f>
        <v/>
      </c>
      <c r="O43" s="30" t="str">
        <f aca="false">IF($C43="","",IF($E43="collected",N($G43),IF(AND(OR($E43="returned_to_brand",$E43="given_to_roster_office",$E43="released_to_office",$E43="disposed"),IF($F43="","reserve",$F43)="leftover"),-N($G43),IF(AND($E43="correction",IF($F43="","reserve",$F43)="leftover"),N($G43),0))))</f>
        <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
      </c>
    </row>
    <row r="44" customFormat="false" ht="15" hidden="false" customHeight="false" outlineLevel="0" collapsed="false">
      <c r="A44" s="11"/>
      <c r="B44" s="38"/>
      <c r="E44" s="10"/>
      <c r="I44" s="11"/>
      <c r="J44" s="10"/>
      <c r="L44" s="31" t="str">
        <f aca="false">IF($C44="","",IFERROR(IF(INDEX(campaigns!$BG$2:$BG$51,MATCH($C44,campaigns!$A$2:$A$51,0))="","",INDEX(campaigns!$BG$2:$BG$51,MATCH($C44,campaigns!$A$2:$A$51,0))),""))</f>
        <v/>
      </c>
      <c r="M44" s="30" t="str">
        <f aca="false">IF($C44="","",IF(OR($E44="received"),N($G44),IF(OR($E44="rejected",$E44="delivered",$E44="topped_up"),-N($G44),IF(AND(OR($E44="returned_to_brand",$E44="given_to_roster_office",$E44="released_to_office",$E44="disposed"),IF($F44="","reserve",$F44)="reserve"),-N($G44),IF(AND($E44="correction",IF($F44="","reserve",$F44)="reserve"),N($G44),0)))))</f>
        <v/>
      </c>
      <c r="N44" s="30" t="str">
        <f aca="false">IF($C44="","",IF($E44="rejected",N($G44),IF(AND(OR($E44="returned_to_brand",$E44="given_to_roster_office",$E44="released_to_office",$E44="disposed"),IF($F44="","reserve",$F44)="rejected"),-N($G44),IF(AND($E44="correction",IF($F44="","reserve",$F44)="rejected"),N($G44),0))))</f>
        <v/>
      </c>
      <c r="O44" s="30" t="str">
        <f aca="false">IF($C44="","",IF($E44="collected",N($G44),IF(AND(OR($E44="returned_to_brand",$E44="given_to_roster_office",$E44="released_to_office",$E44="disposed"),IF($F44="","reserve",$F44)="leftover"),-N($G44),IF(AND($E44="correction",IF($F44="","reserve",$F44)="leftover"),N($G44),0))))</f>
        <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
      </c>
    </row>
    <row r="45" customFormat="false" ht="15" hidden="false" customHeight="false" outlineLevel="0" collapsed="false">
      <c r="A45" s="11"/>
      <c r="B45" s="38"/>
      <c r="E45" s="10"/>
      <c r="I45" s="11"/>
      <c r="J45" s="10"/>
      <c r="L45" s="31" t="str">
        <f aca="false">IF($C45="","",IFERROR(IF(INDEX(campaigns!$BG$2:$BG$51,MATCH($C45,campaigns!$A$2:$A$51,0))="","",INDEX(campaigns!$BG$2:$BG$51,MATCH($C45,campaigns!$A$2:$A$51,0))),""))</f>
        <v/>
      </c>
      <c r="M45" s="30" t="str">
        <f aca="false">IF($C45="","",IF(OR($E45="received"),N($G45),IF(OR($E45="rejected",$E45="delivered",$E45="topped_up"),-N($G45),IF(AND(OR($E45="returned_to_brand",$E45="given_to_roster_office",$E45="released_to_office",$E45="disposed"),IF($F45="","reserve",$F45)="reserve"),-N($G45),IF(AND($E45="correction",IF($F45="","reserve",$F45)="reserve"),N($G45),0)))))</f>
        <v/>
      </c>
      <c r="N45" s="30" t="str">
        <f aca="false">IF($C45="","",IF($E45="rejected",N($G45),IF(AND(OR($E45="returned_to_brand",$E45="given_to_roster_office",$E45="released_to_office",$E45="disposed"),IF($F45="","reserve",$F45)="rejected"),-N($G45),IF(AND($E45="correction",IF($F45="","reserve",$F45)="rejected"),N($G45),0))))</f>
        <v/>
      </c>
      <c r="O45" s="30" t="str">
        <f aca="false">IF($C45="","",IF($E45="collected",N($G45),IF(AND(OR($E45="returned_to_brand",$E45="given_to_roster_office",$E45="released_to_office",$E45="disposed"),IF($F45="","reserve",$F45)="leftover"),-N($G45),IF(AND($E45="correction",IF($F45="","reserve",$F45)="leftover"),N($G45),0))))</f>
        <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
      </c>
    </row>
    <row r="46" customFormat="false" ht="15" hidden="false" customHeight="false" outlineLevel="0" collapsed="false">
      <c r="A46" s="11"/>
      <c r="B46" s="38"/>
      <c r="E46" s="10"/>
      <c r="I46" s="11"/>
      <c r="J46" s="10"/>
      <c r="L46" s="31" t="str">
        <f aca="false">IF($C46="","",IFERROR(IF(INDEX(campaigns!$BG$2:$BG$51,MATCH($C46,campaigns!$A$2:$A$51,0))="","",INDEX(campaigns!$BG$2:$BG$51,MATCH($C46,campaigns!$A$2:$A$51,0))),""))</f>
        <v/>
      </c>
      <c r="M46" s="30" t="str">
        <f aca="false">IF($C46="","",IF(OR($E46="received"),N($G46),IF(OR($E46="rejected",$E46="delivered",$E46="topped_up"),-N($G46),IF(AND(OR($E46="returned_to_brand",$E46="given_to_roster_office",$E46="released_to_office",$E46="disposed"),IF($F46="","reserve",$F46)="reserve"),-N($G46),IF(AND($E46="correction",IF($F46="","reserve",$F46)="reserve"),N($G46),0)))))</f>
        <v/>
      </c>
      <c r="N46" s="30" t="str">
        <f aca="false">IF($C46="","",IF($E46="rejected",N($G46),IF(AND(OR($E46="returned_to_brand",$E46="given_to_roster_office",$E46="released_to_office",$E46="disposed"),IF($F46="","reserve",$F46)="rejected"),-N($G46),IF(AND($E46="correction",IF($F46="","reserve",$F46)="rejected"),N($G46),0))))</f>
        <v/>
      </c>
      <c r="O46" s="30" t="str">
        <f aca="false">IF($C46="","",IF($E46="collected",N($G46),IF(AND(OR($E46="returned_to_brand",$E46="given_to_roster_office",$E46="released_to_office",$E46="disposed"),IF($F46="","reserve",$F46)="leftover"),-N($G46),IF(AND($E46="correction",IF($F46="","reserve",$F46)="leftover"),N($G46),0))))</f>
        <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
      </c>
    </row>
    <row r="47" customFormat="false" ht="15" hidden="false" customHeight="false" outlineLevel="0" collapsed="false">
      <c r="A47" s="11"/>
      <c r="B47" s="38"/>
      <c r="E47" s="10"/>
      <c r="I47" s="11"/>
      <c r="J47" s="10"/>
      <c r="L47" s="31" t="str">
        <f aca="false">IF($C47="","",IFERROR(IF(INDEX(campaigns!$BG$2:$BG$51,MATCH($C47,campaigns!$A$2:$A$51,0))="","",INDEX(campaigns!$BG$2:$BG$51,MATCH($C47,campaigns!$A$2:$A$51,0))),""))</f>
        <v/>
      </c>
      <c r="M47" s="30" t="str">
        <f aca="false">IF($C47="","",IF(OR($E47="received"),N($G47),IF(OR($E47="rejected",$E47="delivered",$E47="topped_up"),-N($G47),IF(AND(OR($E47="returned_to_brand",$E47="given_to_roster_office",$E47="released_to_office",$E47="disposed"),IF($F47="","reserve",$F47)="reserve"),-N($G47),IF(AND($E47="correction",IF($F47="","reserve",$F47)="reserve"),N($G47),0)))))</f>
        <v/>
      </c>
      <c r="N47" s="30" t="str">
        <f aca="false">IF($C47="","",IF($E47="rejected",N($G47),IF(AND(OR($E47="returned_to_brand",$E47="given_to_roster_office",$E47="released_to_office",$E47="disposed"),IF($F47="","reserve",$F47)="rejected"),-N($G47),IF(AND($E47="correction",IF($F47="","reserve",$F47)="rejected"),N($G47),0))))</f>
        <v/>
      </c>
      <c r="O47" s="30" t="str">
        <f aca="false">IF($C47="","",IF($E47="collected",N($G47),IF(AND(OR($E47="returned_to_brand",$E47="given_to_roster_office",$E47="released_to_office",$E47="disposed"),IF($F47="","reserve",$F47)="leftover"),-N($G47),IF(AND($E47="correction",IF($F47="","reserve",$F47)="leftover"),N($G47),0))))</f>
        <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
      </c>
    </row>
    <row r="48" customFormat="false" ht="15" hidden="false" customHeight="false" outlineLevel="0" collapsed="false">
      <c r="A48" s="11"/>
      <c r="B48" s="38"/>
      <c r="E48" s="10"/>
      <c r="I48" s="11"/>
      <c r="J48" s="10"/>
      <c r="L48" s="31" t="str">
        <f aca="false">IF($C48="","",IFERROR(IF(INDEX(campaigns!$BG$2:$BG$51,MATCH($C48,campaigns!$A$2:$A$51,0))="","",INDEX(campaigns!$BG$2:$BG$51,MATCH($C48,campaigns!$A$2:$A$51,0))),""))</f>
        <v/>
      </c>
      <c r="M48" s="30" t="str">
        <f aca="false">IF($C48="","",IF(OR($E48="received"),N($G48),IF(OR($E48="rejected",$E48="delivered",$E48="topped_up"),-N($G48),IF(AND(OR($E48="returned_to_brand",$E48="given_to_roster_office",$E48="released_to_office",$E48="disposed"),IF($F48="","reserve",$F48)="reserve"),-N($G48),IF(AND($E48="correction",IF($F48="","reserve",$F48)="reserve"),N($G48),0)))))</f>
        <v/>
      </c>
      <c r="N48" s="30" t="str">
        <f aca="false">IF($C48="","",IF($E48="rejected",N($G48),IF(AND(OR($E48="returned_to_brand",$E48="given_to_roster_office",$E48="released_to_office",$E48="disposed"),IF($F48="","reserve",$F48)="rejected"),-N($G48),IF(AND($E48="correction",IF($F48="","reserve",$F48)="rejected"),N($G48),0))))</f>
        <v/>
      </c>
      <c r="O48" s="30" t="str">
        <f aca="false">IF($C48="","",IF($E48="collected",N($G48),IF(AND(OR($E48="returned_to_brand",$E48="given_to_roster_office",$E48="released_to_office",$E48="disposed"),IF($F48="","reserve",$F48)="leftover"),-N($G48),IF(AND($E48="correction",IF($F48="","reserve",$F48)="leftover"),N($G48),0))))</f>
        <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
      </c>
    </row>
    <row r="49" customFormat="false" ht="15" hidden="false" customHeight="false" outlineLevel="0" collapsed="false">
      <c r="A49" s="11"/>
      <c r="B49" s="38"/>
      <c r="E49" s="10"/>
      <c r="I49" s="11"/>
      <c r="J49" s="10"/>
      <c r="L49" s="31" t="str">
        <f aca="false">IF($C49="","",IFERROR(IF(INDEX(campaigns!$BG$2:$BG$51,MATCH($C49,campaigns!$A$2:$A$51,0))="","",INDEX(campaigns!$BG$2:$BG$51,MATCH($C49,campaigns!$A$2:$A$51,0))),""))</f>
        <v/>
      </c>
      <c r="M49" s="30" t="str">
        <f aca="false">IF($C49="","",IF(OR($E49="received"),N($G49),IF(OR($E49="rejected",$E49="delivered",$E49="topped_up"),-N($G49),IF(AND(OR($E49="returned_to_brand",$E49="given_to_roster_office",$E49="released_to_office",$E49="disposed"),IF($F49="","reserve",$F49)="reserve"),-N($G49),IF(AND($E49="correction",IF($F49="","reserve",$F49)="reserve"),N($G49),0)))))</f>
        <v/>
      </c>
      <c r="N49" s="30" t="str">
        <f aca="false">IF($C49="","",IF($E49="rejected",N($G49),IF(AND(OR($E49="returned_to_brand",$E49="given_to_roster_office",$E49="released_to_office",$E49="disposed"),IF($F49="","reserve",$F49)="rejected"),-N($G49),IF(AND($E49="correction",IF($F49="","reserve",$F49)="rejected"),N($G49),0))))</f>
        <v/>
      </c>
      <c r="O49" s="30" t="str">
        <f aca="false">IF($C49="","",IF($E49="collected",N($G49),IF(AND(OR($E49="returned_to_brand",$E49="given_to_roster_office",$E49="released_to_office",$E49="disposed"),IF($F49="","reserve",$F49)="leftover"),-N($G49),IF(AND($E49="correction",IF($F49="","reserve",$F49)="leftover"),N($G49),0))))</f>
        <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
      </c>
    </row>
    <row r="50" customFormat="false" ht="15" hidden="false" customHeight="false" outlineLevel="0" collapsed="false">
      <c r="A50" s="11"/>
      <c r="B50" s="38"/>
      <c r="E50" s="10"/>
      <c r="I50" s="11"/>
      <c r="J50" s="10"/>
      <c r="L50" s="31" t="str">
        <f aca="false">IF($C50="","",IFERROR(IF(INDEX(campaigns!$BG$2:$BG$51,MATCH($C50,campaigns!$A$2:$A$51,0))="","",INDEX(campaigns!$BG$2:$BG$51,MATCH($C50,campaigns!$A$2:$A$51,0))),""))</f>
        <v/>
      </c>
      <c r="M50" s="30" t="str">
        <f aca="false">IF($C50="","",IF(OR($E50="received"),N($G50),IF(OR($E50="rejected",$E50="delivered",$E50="topped_up"),-N($G50),IF(AND(OR($E50="returned_to_brand",$E50="given_to_roster_office",$E50="released_to_office",$E50="disposed"),IF($F50="","reserve",$F50)="reserve"),-N($G50),IF(AND($E50="correction",IF($F50="","reserve",$F50)="reserve"),N($G50),0)))))</f>
        <v/>
      </c>
      <c r="N50" s="30" t="str">
        <f aca="false">IF($C50="","",IF($E50="rejected",N($G50),IF(AND(OR($E50="returned_to_brand",$E50="given_to_roster_office",$E50="released_to_office",$E50="disposed"),IF($F50="","reserve",$F50)="rejected"),-N($G50),IF(AND($E50="correction",IF($F50="","reserve",$F50)="rejected"),N($G50),0))))</f>
        <v/>
      </c>
      <c r="O50" s="30" t="str">
        <f aca="false">IF($C50="","",IF($E50="collected",N($G50),IF(AND(OR($E50="returned_to_brand",$E50="given_to_roster_office",$E50="released_to_office",$E50="disposed"),IF($F50="","reserve",$F50)="leftover"),-N($G50),IF(AND($E50="correction",IF($F50="","reserve",$F50)="leftover"),N($G50),0))))</f>
        <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
      </c>
    </row>
    <row r="51" customFormat="false" ht="15" hidden="false" customHeight="false" outlineLevel="0" collapsed="false">
      <c r="A51" s="11"/>
      <c r="B51" s="38"/>
      <c r="E51" s="10"/>
      <c r="I51" s="11"/>
      <c r="J51" s="10"/>
      <c r="L51" s="31" t="str">
        <f aca="false">IF($C51="","",IFERROR(IF(INDEX(campaigns!$BG$2:$BG$51,MATCH($C51,campaigns!$A$2:$A$51,0))="","",INDEX(campaigns!$BG$2:$BG$51,MATCH($C51,campaigns!$A$2:$A$51,0))),""))</f>
        <v/>
      </c>
      <c r="M51" s="30" t="str">
        <f aca="false">IF($C51="","",IF(OR($E51="received"),N($G51),IF(OR($E51="rejected",$E51="delivered",$E51="topped_up"),-N($G51),IF(AND(OR($E51="returned_to_brand",$E51="given_to_roster_office",$E51="released_to_office",$E51="disposed"),IF($F51="","reserve",$F51)="reserve"),-N($G51),IF(AND($E51="correction",IF($F51="","reserve",$F51)="reserve"),N($G51),0)))))</f>
        <v/>
      </c>
      <c r="N51" s="30" t="str">
        <f aca="false">IF($C51="","",IF($E51="rejected",N($G51),IF(AND(OR($E51="returned_to_brand",$E51="given_to_roster_office",$E51="released_to_office",$E51="disposed"),IF($F51="","reserve",$F51)="rejected"),-N($G51),IF(AND($E51="correction",IF($F51="","reserve",$F51)="rejected"),N($G51),0))))</f>
        <v/>
      </c>
      <c r="O51" s="30" t="str">
        <f aca="false">IF($C51="","",IF($E51="collected",N($G51),IF(AND(OR($E51="returned_to_brand",$E51="given_to_roster_office",$E51="released_to_office",$E51="disposed"),IF($F51="","reserve",$F51)="leftover"),-N($G51),IF(AND($E51="correction",IF($F51="","reserve",$F51)="leftover"),N($G51),0))))</f>
        <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
      </c>
    </row>
    <row r="52" customFormat="false" ht="15" hidden="false" customHeight="false" outlineLevel="0" collapsed="false">
      <c r="A52" s="11"/>
      <c r="B52" s="38"/>
      <c r="E52" s="10"/>
      <c r="I52" s="11"/>
      <c r="J52" s="10"/>
      <c r="L52" s="31" t="str">
        <f aca="false">IF($C52="","",IFERROR(IF(INDEX(campaigns!$BG$2:$BG$51,MATCH($C52,campaigns!$A$2:$A$51,0))="","",INDEX(campaigns!$BG$2:$BG$51,MATCH($C52,campaigns!$A$2:$A$51,0))),""))</f>
        <v/>
      </c>
      <c r="M52" s="30" t="str">
        <f aca="false">IF($C52="","",IF(OR($E52="received"),N($G52),IF(OR($E52="rejected",$E52="delivered",$E52="topped_up"),-N($G52),IF(AND(OR($E52="returned_to_brand",$E52="given_to_roster_office",$E52="released_to_office",$E52="disposed"),IF($F52="","reserve",$F52)="reserve"),-N($G52),IF(AND($E52="correction",IF($F52="","reserve",$F52)="reserve"),N($G52),0)))))</f>
        <v/>
      </c>
      <c r="N52" s="30" t="str">
        <f aca="false">IF($C52="","",IF($E52="rejected",N($G52),IF(AND(OR($E52="returned_to_brand",$E52="given_to_roster_office",$E52="released_to_office",$E52="disposed"),IF($F52="","reserve",$F52)="rejected"),-N($G52),IF(AND($E52="correction",IF($F52="","reserve",$F52)="rejected"),N($G52),0))))</f>
        <v/>
      </c>
      <c r="O52" s="30" t="str">
        <f aca="false">IF($C52="","",IF($E52="collected",N($G52),IF(AND(OR($E52="returned_to_brand",$E52="given_to_roster_office",$E52="released_to_office",$E52="disposed"),IF($F52="","reserve",$F52)="leftover"),-N($G52),IF(AND($E52="correction",IF($F52="","reserve",$F52)="leftover"),N($G52),0))))</f>
        <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
      </c>
    </row>
    <row r="53" customFormat="false" ht="15" hidden="false" customHeight="false" outlineLevel="0" collapsed="false">
      <c r="A53" s="11"/>
      <c r="B53" s="38"/>
      <c r="E53" s="10"/>
      <c r="I53" s="11"/>
      <c r="J53" s="10"/>
      <c r="L53" s="31" t="str">
        <f aca="false">IF($C53="","",IFERROR(IF(INDEX(campaigns!$BG$2:$BG$51,MATCH($C53,campaigns!$A$2:$A$51,0))="","",INDEX(campaigns!$BG$2:$BG$51,MATCH($C53,campaigns!$A$2:$A$51,0))),""))</f>
        <v/>
      </c>
      <c r="M53" s="30" t="str">
        <f aca="false">IF($C53="","",IF(OR($E53="received"),N($G53),IF(OR($E53="rejected",$E53="delivered",$E53="topped_up"),-N($G53),IF(AND(OR($E53="returned_to_brand",$E53="given_to_roster_office",$E53="released_to_office",$E53="disposed"),IF($F53="","reserve",$F53)="reserve"),-N($G53),IF(AND($E53="correction",IF($F53="","reserve",$F53)="reserve"),N($G53),0)))))</f>
        <v/>
      </c>
      <c r="N53" s="30" t="str">
        <f aca="false">IF($C53="","",IF($E53="rejected",N($G53),IF(AND(OR($E53="returned_to_brand",$E53="given_to_roster_office",$E53="released_to_office",$E53="disposed"),IF($F53="","reserve",$F53)="rejected"),-N($G53),IF(AND($E53="correction",IF($F53="","reserve",$F53)="rejected"),N($G53),0))))</f>
        <v/>
      </c>
      <c r="O53" s="30" t="str">
        <f aca="false">IF($C53="","",IF($E53="collected",N($G53),IF(AND(OR($E53="returned_to_brand",$E53="given_to_roster_office",$E53="released_to_office",$E53="disposed"),IF($F53="","reserve",$F53)="leftover"),-N($G53),IF(AND($E53="correction",IF($F53="","reserve",$F53)="leftover"),N($G53),0))))</f>
        <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
      </c>
    </row>
    <row r="54" customFormat="false" ht="15" hidden="false" customHeight="false" outlineLevel="0" collapsed="false">
      <c r="A54" s="11"/>
      <c r="B54" s="38"/>
      <c r="E54" s="10"/>
      <c r="I54" s="11"/>
      <c r="J54" s="10"/>
      <c r="L54" s="31" t="str">
        <f aca="false">IF($C54="","",IFERROR(IF(INDEX(campaigns!$BG$2:$BG$51,MATCH($C54,campaigns!$A$2:$A$51,0))="","",INDEX(campaigns!$BG$2:$BG$51,MATCH($C54,campaigns!$A$2:$A$51,0))),""))</f>
        <v/>
      </c>
      <c r="M54" s="30" t="str">
        <f aca="false">IF($C54="","",IF(OR($E54="received"),N($G54),IF(OR($E54="rejected",$E54="delivered",$E54="topped_up"),-N($G54),IF(AND(OR($E54="returned_to_brand",$E54="given_to_roster_office",$E54="released_to_office",$E54="disposed"),IF($F54="","reserve",$F54)="reserve"),-N($G54),IF(AND($E54="correction",IF($F54="","reserve",$F54)="reserve"),N($G54),0)))))</f>
        <v/>
      </c>
      <c r="N54" s="30" t="str">
        <f aca="false">IF($C54="","",IF($E54="rejected",N($G54),IF(AND(OR($E54="returned_to_brand",$E54="given_to_roster_office",$E54="released_to_office",$E54="disposed"),IF($F54="","reserve",$F54)="rejected"),-N($G54),IF(AND($E54="correction",IF($F54="","reserve",$F54)="rejected"),N($G54),0))))</f>
        <v/>
      </c>
      <c r="O54" s="30" t="str">
        <f aca="false">IF($C54="","",IF($E54="collected",N($G54),IF(AND(OR($E54="returned_to_brand",$E54="given_to_roster_office",$E54="released_to_office",$E54="disposed"),IF($F54="","reserve",$F54)="leftover"),-N($G54),IF(AND($E54="correction",IF($F54="","reserve",$F54)="leftover"),N($G54),0))))</f>
        <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
      </c>
    </row>
    <row r="55" customFormat="false" ht="15" hidden="false" customHeight="false" outlineLevel="0" collapsed="false">
      <c r="A55" s="11"/>
      <c r="B55" s="38"/>
      <c r="E55" s="10"/>
      <c r="I55" s="11"/>
      <c r="J55" s="10"/>
      <c r="L55" s="31" t="str">
        <f aca="false">IF($C55="","",IFERROR(IF(INDEX(campaigns!$BG$2:$BG$51,MATCH($C55,campaigns!$A$2:$A$51,0))="","",INDEX(campaigns!$BG$2:$BG$51,MATCH($C55,campaigns!$A$2:$A$51,0))),""))</f>
        <v/>
      </c>
      <c r="M55" s="30" t="str">
        <f aca="false">IF($C55="","",IF(OR($E55="received"),N($G55),IF(OR($E55="rejected",$E55="delivered",$E55="topped_up"),-N($G55),IF(AND(OR($E55="returned_to_brand",$E55="given_to_roster_office",$E55="released_to_office",$E55="disposed"),IF($F55="","reserve",$F55)="reserve"),-N($G55),IF(AND($E55="correction",IF($F55="","reserve",$F55)="reserve"),N($G55),0)))))</f>
        <v/>
      </c>
      <c r="N55" s="30" t="str">
        <f aca="false">IF($C55="","",IF($E55="rejected",N($G55),IF(AND(OR($E55="returned_to_brand",$E55="given_to_roster_office",$E55="released_to_office",$E55="disposed"),IF($F55="","reserve",$F55)="rejected"),-N($G55),IF(AND($E55="correction",IF($F55="","reserve",$F55)="rejected"),N($G55),0))))</f>
        <v/>
      </c>
      <c r="O55" s="30" t="str">
        <f aca="false">IF($C55="","",IF($E55="collected",N($G55),IF(AND(OR($E55="returned_to_brand",$E55="given_to_roster_office",$E55="released_to_office",$E55="disposed"),IF($F55="","reserve",$F55)="leftover"),-N($G55),IF(AND($E55="correction",IF($F55="","reserve",$F55)="leftover"),N($G55),0))))</f>
        <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
      </c>
    </row>
    <row r="56" customFormat="false" ht="15" hidden="false" customHeight="false" outlineLevel="0" collapsed="false">
      <c r="A56" s="11"/>
      <c r="B56" s="38"/>
      <c r="E56" s="10"/>
      <c r="I56" s="11"/>
      <c r="J56" s="10"/>
      <c r="L56" s="31" t="str">
        <f aca="false">IF($C56="","",IFERROR(IF(INDEX(campaigns!$BG$2:$BG$51,MATCH($C56,campaigns!$A$2:$A$51,0))="","",INDEX(campaigns!$BG$2:$BG$51,MATCH($C56,campaigns!$A$2:$A$51,0))),""))</f>
        <v/>
      </c>
      <c r="M56" s="30" t="str">
        <f aca="false">IF($C56="","",IF(OR($E56="received"),N($G56),IF(OR($E56="rejected",$E56="delivered",$E56="topped_up"),-N($G56),IF(AND(OR($E56="returned_to_brand",$E56="given_to_roster_office",$E56="released_to_office",$E56="disposed"),IF($F56="","reserve",$F56)="reserve"),-N($G56),IF(AND($E56="correction",IF($F56="","reserve",$F56)="reserve"),N($G56),0)))))</f>
        <v/>
      </c>
      <c r="N56" s="30" t="str">
        <f aca="false">IF($C56="","",IF($E56="rejected",N($G56),IF(AND(OR($E56="returned_to_brand",$E56="given_to_roster_office",$E56="released_to_office",$E56="disposed"),IF($F56="","reserve",$F56)="rejected"),-N($G56),IF(AND($E56="correction",IF($F56="","reserve",$F56)="rejected"),N($G56),0))))</f>
        <v/>
      </c>
      <c r="O56" s="30" t="str">
        <f aca="false">IF($C56="","",IF($E56="collected",N($G56),IF(AND(OR($E56="returned_to_brand",$E56="given_to_roster_office",$E56="released_to_office",$E56="disposed"),IF($F56="","reserve",$F56)="leftover"),-N($G56),IF(AND($E56="correction",IF($F56="","reserve",$F56)="leftover"),N($G56),0))))</f>
        <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
      </c>
    </row>
    <row r="57" customFormat="false" ht="15" hidden="false" customHeight="false" outlineLevel="0" collapsed="false">
      <c r="A57" s="11"/>
      <c r="B57" s="38"/>
      <c r="E57" s="10"/>
      <c r="I57" s="11"/>
      <c r="J57" s="10"/>
      <c r="L57" s="31" t="str">
        <f aca="false">IF($C57="","",IFERROR(IF(INDEX(campaigns!$BG$2:$BG$51,MATCH($C57,campaigns!$A$2:$A$51,0))="","",INDEX(campaigns!$BG$2:$BG$51,MATCH($C57,campaigns!$A$2:$A$51,0))),""))</f>
        <v/>
      </c>
      <c r="M57" s="30" t="str">
        <f aca="false">IF($C57="","",IF(OR($E57="received"),N($G57),IF(OR($E57="rejected",$E57="delivered",$E57="topped_up"),-N($G57),IF(AND(OR($E57="returned_to_brand",$E57="given_to_roster_office",$E57="released_to_office",$E57="disposed"),IF($F57="","reserve",$F57)="reserve"),-N($G57),IF(AND($E57="correction",IF($F57="","reserve",$F57)="reserve"),N($G57),0)))))</f>
        <v/>
      </c>
      <c r="N57" s="30" t="str">
        <f aca="false">IF($C57="","",IF($E57="rejected",N($G57),IF(AND(OR($E57="returned_to_brand",$E57="given_to_roster_office",$E57="released_to_office",$E57="disposed"),IF($F57="","reserve",$F57)="rejected"),-N($G57),IF(AND($E57="correction",IF($F57="","reserve",$F57)="rejected"),N($G57),0))))</f>
        <v/>
      </c>
      <c r="O57" s="30" t="str">
        <f aca="false">IF($C57="","",IF($E57="collected",N($G57),IF(AND(OR($E57="returned_to_brand",$E57="given_to_roster_office",$E57="released_to_office",$E57="disposed"),IF($F57="","reserve",$F57)="leftover"),-N($G57),IF(AND($E57="correction",IF($F57="","reserve",$F57)="leftover"),N($G57),0))))</f>
        <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
      </c>
    </row>
    <row r="58" customFormat="false" ht="15" hidden="false" customHeight="false" outlineLevel="0" collapsed="false">
      <c r="A58" s="11"/>
      <c r="B58" s="38"/>
      <c r="E58" s="10"/>
      <c r="I58" s="11"/>
      <c r="J58" s="10"/>
      <c r="L58" s="31" t="str">
        <f aca="false">IF($C58="","",IFERROR(IF(INDEX(campaigns!$BG$2:$BG$51,MATCH($C58,campaigns!$A$2:$A$51,0))="","",INDEX(campaigns!$BG$2:$BG$51,MATCH($C58,campaigns!$A$2:$A$51,0))),""))</f>
        <v/>
      </c>
      <c r="M58" s="30" t="str">
        <f aca="false">IF($C58="","",IF(OR($E58="received"),N($G58),IF(OR($E58="rejected",$E58="delivered",$E58="topped_up"),-N($G58),IF(AND(OR($E58="returned_to_brand",$E58="given_to_roster_office",$E58="released_to_office",$E58="disposed"),IF($F58="","reserve",$F58)="reserve"),-N($G58),IF(AND($E58="correction",IF($F58="","reserve",$F58)="reserve"),N($G58),0)))))</f>
        <v/>
      </c>
      <c r="N58" s="30" t="str">
        <f aca="false">IF($C58="","",IF($E58="rejected",N($G58),IF(AND(OR($E58="returned_to_brand",$E58="given_to_roster_office",$E58="released_to_office",$E58="disposed"),IF($F58="","reserve",$F58)="rejected"),-N($G58),IF(AND($E58="correction",IF($F58="","reserve",$F58)="rejected"),N($G58),0))))</f>
        <v/>
      </c>
      <c r="O58" s="30" t="str">
        <f aca="false">IF($C58="","",IF($E58="collected",N($G58),IF(AND(OR($E58="returned_to_brand",$E58="given_to_roster_office",$E58="released_to_office",$E58="disposed"),IF($F58="","reserve",$F58)="leftover"),-N($G58),IF(AND($E58="correction",IF($F58="","reserve",$F58)="leftover"),N($G58),0))))</f>
        <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
      </c>
    </row>
    <row r="59" customFormat="false" ht="15" hidden="false" customHeight="false" outlineLevel="0" collapsed="false">
      <c r="A59" s="11"/>
      <c r="B59" s="38"/>
      <c r="E59" s="10"/>
      <c r="I59" s="11"/>
      <c r="J59" s="10"/>
      <c r="L59" s="31" t="str">
        <f aca="false">IF($C59="","",IFERROR(IF(INDEX(campaigns!$BG$2:$BG$51,MATCH($C59,campaigns!$A$2:$A$51,0))="","",INDEX(campaigns!$BG$2:$BG$51,MATCH($C59,campaigns!$A$2:$A$51,0))),""))</f>
        <v/>
      </c>
      <c r="M59" s="30" t="str">
        <f aca="false">IF($C59="","",IF(OR($E59="received"),N($G59),IF(OR($E59="rejected",$E59="delivered",$E59="topped_up"),-N($G59),IF(AND(OR($E59="returned_to_brand",$E59="given_to_roster_office",$E59="released_to_office",$E59="disposed"),IF($F59="","reserve",$F59)="reserve"),-N($G59),IF(AND($E59="correction",IF($F59="","reserve",$F59)="reserve"),N($G59),0)))))</f>
        <v/>
      </c>
      <c r="N59" s="30" t="str">
        <f aca="false">IF($C59="","",IF($E59="rejected",N($G59),IF(AND(OR($E59="returned_to_brand",$E59="given_to_roster_office",$E59="released_to_office",$E59="disposed"),IF($F59="","reserve",$F59)="rejected"),-N($G59),IF(AND($E59="correction",IF($F59="","reserve",$F59)="rejected"),N($G59),0))))</f>
        <v/>
      </c>
      <c r="O59" s="30" t="str">
        <f aca="false">IF($C59="","",IF($E59="collected",N($G59),IF(AND(OR($E59="returned_to_brand",$E59="given_to_roster_office",$E59="released_to_office",$E59="disposed"),IF($F59="","reserve",$F59)="leftover"),-N($G59),IF(AND($E59="correction",IF($F59="","reserve",$F59)="leftover"),N($G59),0))))</f>
        <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
      </c>
    </row>
    <row r="60" customFormat="false" ht="15" hidden="false" customHeight="false" outlineLevel="0" collapsed="false">
      <c r="A60" s="11"/>
      <c r="B60" s="38"/>
      <c r="E60" s="10"/>
      <c r="I60" s="11"/>
      <c r="J60" s="10"/>
      <c r="L60" s="31" t="str">
        <f aca="false">IF($C60="","",IFERROR(IF(INDEX(campaigns!$BG$2:$BG$51,MATCH($C60,campaigns!$A$2:$A$51,0))="","",INDEX(campaigns!$BG$2:$BG$51,MATCH($C60,campaigns!$A$2:$A$51,0))),""))</f>
        <v/>
      </c>
      <c r="M60" s="30" t="str">
        <f aca="false">IF($C60="","",IF(OR($E60="received"),N($G60),IF(OR($E60="rejected",$E60="delivered",$E60="topped_up"),-N($G60),IF(AND(OR($E60="returned_to_brand",$E60="given_to_roster_office",$E60="released_to_office",$E60="disposed"),IF($F60="","reserve",$F60)="reserve"),-N($G60),IF(AND($E60="correction",IF($F60="","reserve",$F60)="reserve"),N($G60),0)))))</f>
        <v/>
      </c>
      <c r="N60" s="30" t="str">
        <f aca="false">IF($C60="","",IF($E60="rejected",N($G60),IF(AND(OR($E60="returned_to_brand",$E60="given_to_roster_office",$E60="released_to_office",$E60="disposed"),IF($F60="","reserve",$F60)="rejected"),-N($G60),IF(AND($E60="correction",IF($F60="","reserve",$F60)="rejected"),N($G60),0))))</f>
        <v/>
      </c>
      <c r="O60" s="30" t="str">
        <f aca="false">IF($C60="","",IF($E60="collected",N($G60),IF(AND(OR($E60="returned_to_brand",$E60="given_to_roster_office",$E60="released_to_office",$E60="disposed"),IF($F60="","reserve",$F60)="leftover"),-N($G60),IF(AND($E60="correction",IF($F60="","reserve",$F60)="leftover"),N($G60),0))))</f>
        <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
      </c>
    </row>
    <row r="61" customFormat="false" ht="15" hidden="false" customHeight="false" outlineLevel="0" collapsed="false">
      <c r="A61" s="11"/>
      <c r="B61" s="38"/>
      <c r="E61" s="10"/>
      <c r="I61" s="11"/>
      <c r="J61" s="10"/>
      <c r="L61" s="31" t="str">
        <f aca="false">IF($C61="","",IFERROR(IF(INDEX(campaigns!$BG$2:$BG$51,MATCH($C61,campaigns!$A$2:$A$51,0))="","",INDEX(campaigns!$BG$2:$BG$51,MATCH($C61,campaigns!$A$2:$A$51,0))),""))</f>
        <v/>
      </c>
      <c r="M61" s="30" t="str">
        <f aca="false">IF($C61="","",IF(OR($E61="received"),N($G61),IF(OR($E61="rejected",$E61="delivered",$E61="topped_up"),-N($G61),IF(AND(OR($E61="returned_to_brand",$E61="given_to_roster_office",$E61="released_to_office",$E61="disposed"),IF($F61="","reserve",$F61)="reserve"),-N($G61),IF(AND($E61="correction",IF($F61="","reserve",$F61)="reserve"),N($G61),0)))))</f>
        <v/>
      </c>
      <c r="N61" s="30" t="str">
        <f aca="false">IF($C61="","",IF($E61="rejected",N($G61),IF(AND(OR($E61="returned_to_brand",$E61="given_to_roster_office",$E61="released_to_office",$E61="disposed"),IF($F61="","reserve",$F61)="rejected"),-N($G61),IF(AND($E61="correction",IF($F61="","reserve",$F61)="rejected"),N($G61),0))))</f>
        <v/>
      </c>
      <c r="O61" s="30" t="str">
        <f aca="false">IF($C61="","",IF($E61="collected",N($G61),IF(AND(OR($E61="returned_to_brand",$E61="given_to_roster_office",$E61="released_to_office",$E61="disposed"),IF($F61="","reserve",$F61)="leftover"),-N($G61),IF(AND($E61="correction",IF($F61="","reserve",$F61)="leftover"),N($G61),0))))</f>
        <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
      </c>
    </row>
    <row r="62" customFormat="false" ht="15" hidden="false" customHeight="false" outlineLevel="0" collapsed="false">
      <c r="A62" s="11"/>
      <c r="B62" s="38"/>
      <c r="E62" s="10"/>
      <c r="I62" s="11"/>
      <c r="J62" s="10"/>
      <c r="L62" s="31" t="str">
        <f aca="false">IF($C62="","",IFERROR(IF(INDEX(campaigns!$BG$2:$BG$51,MATCH($C62,campaigns!$A$2:$A$51,0))="","",INDEX(campaigns!$BG$2:$BG$51,MATCH($C62,campaigns!$A$2:$A$51,0))),""))</f>
        <v/>
      </c>
      <c r="M62" s="30" t="str">
        <f aca="false">IF($C62="","",IF(OR($E62="received"),N($G62),IF(OR($E62="rejected",$E62="delivered",$E62="topped_up"),-N($G62),IF(AND(OR($E62="returned_to_brand",$E62="given_to_roster_office",$E62="released_to_office",$E62="disposed"),IF($F62="","reserve",$F62)="reserve"),-N($G62),IF(AND($E62="correction",IF($F62="","reserve",$F62)="reserve"),N($G62),0)))))</f>
        <v/>
      </c>
      <c r="N62" s="30" t="str">
        <f aca="false">IF($C62="","",IF($E62="rejected",N($G62),IF(AND(OR($E62="returned_to_brand",$E62="given_to_roster_office",$E62="released_to_office",$E62="disposed"),IF($F62="","reserve",$F62)="rejected"),-N($G62),IF(AND($E62="correction",IF($F62="","reserve",$F62)="rejected"),N($G62),0))))</f>
        <v/>
      </c>
      <c r="O62" s="30" t="str">
        <f aca="false">IF($C62="","",IF($E62="collected",N($G62),IF(AND(OR($E62="returned_to_brand",$E62="given_to_roster_office",$E62="released_to_office",$E62="disposed"),IF($F62="","reserve",$F62)="leftover"),-N($G62),IF(AND($E62="correction",IF($F62="","reserve",$F62)="leftover"),N($G62),0))))</f>
        <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
      </c>
    </row>
    <row r="63" customFormat="false" ht="15" hidden="false" customHeight="false" outlineLevel="0" collapsed="false">
      <c r="A63" s="11"/>
      <c r="B63" s="38"/>
      <c r="E63" s="10"/>
      <c r="I63" s="11"/>
      <c r="J63" s="10"/>
      <c r="L63" s="31" t="str">
        <f aca="false">IF($C63="","",IFERROR(IF(INDEX(campaigns!$BG$2:$BG$51,MATCH($C63,campaigns!$A$2:$A$51,0))="","",INDEX(campaigns!$BG$2:$BG$51,MATCH($C63,campaigns!$A$2:$A$51,0))),""))</f>
        <v/>
      </c>
      <c r="M63" s="30" t="str">
        <f aca="false">IF($C63="","",IF(OR($E63="received"),N($G63),IF(OR($E63="rejected",$E63="delivered",$E63="topped_up"),-N($G63),IF(AND(OR($E63="returned_to_brand",$E63="given_to_roster_office",$E63="released_to_office",$E63="disposed"),IF($F63="","reserve",$F63)="reserve"),-N($G63),IF(AND($E63="correction",IF($F63="","reserve",$F63)="reserve"),N($G63),0)))))</f>
        <v/>
      </c>
      <c r="N63" s="30" t="str">
        <f aca="false">IF($C63="","",IF($E63="rejected",N($G63),IF(AND(OR($E63="returned_to_brand",$E63="given_to_roster_office",$E63="released_to_office",$E63="disposed"),IF($F63="","reserve",$F63)="rejected"),-N($G63),IF(AND($E63="correction",IF($F63="","reserve",$F63)="rejected"),N($G63),0))))</f>
        <v/>
      </c>
      <c r="O63" s="30" t="str">
        <f aca="false">IF($C63="","",IF($E63="collected",N($G63),IF(AND(OR($E63="returned_to_brand",$E63="given_to_roster_office",$E63="released_to_office",$E63="disposed"),IF($F63="","reserve",$F63)="leftover"),-N($G63),IF(AND($E63="correction",IF($F63="","reserve",$F63)="leftover"),N($G63),0))))</f>
        <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
      </c>
    </row>
    <row r="64" customFormat="false" ht="15" hidden="false" customHeight="false" outlineLevel="0" collapsed="false">
      <c r="A64" s="11"/>
      <c r="B64" s="38"/>
      <c r="E64" s="10"/>
      <c r="I64" s="11"/>
      <c r="J64" s="10"/>
      <c r="L64" s="31" t="str">
        <f aca="false">IF($C64="","",IFERROR(IF(INDEX(campaigns!$BG$2:$BG$51,MATCH($C64,campaigns!$A$2:$A$51,0))="","",INDEX(campaigns!$BG$2:$BG$51,MATCH($C64,campaigns!$A$2:$A$51,0))),""))</f>
        <v/>
      </c>
      <c r="M64" s="30" t="str">
        <f aca="false">IF($C64="","",IF(OR($E64="received"),N($G64),IF(OR($E64="rejected",$E64="delivered",$E64="topped_up"),-N($G64),IF(AND(OR($E64="returned_to_brand",$E64="given_to_roster_office",$E64="released_to_office",$E64="disposed"),IF($F64="","reserve",$F64)="reserve"),-N($G64),IF(AND($E64="correction",IF($F64="","reserve",$F64)="reserve"),N($G64),0)))))</f>
        <v/>
      </c>
      <c r="N64" s="30" t="str">
        <f aca="false">IF($C64="","",IF($E64="rejected",N($G64),IF(AND(OR($E64="returned_to_brand",$E64="given_to_roster_office",$E64="released_to_office",$E64="disposed"),IF($F64="","reserve",$F64)="rejected"),-N($G64),IF(AND($E64="correction",IF($F64="","reserve",$F64)="rejected"),N($G64),0))))</f>
        <v/>
      </c>
      <c r="O64" s="30" t="str">
        <f aca="false">IF($C64="","",IF($E64="collected",N($G64),IF(AND(OR($E64="returned_to_brand",$E64="given_to_roster_office",$E64="released_to_office",$E64="disposed"),IF($F64="","reserve",$F64)="leftover"),-N($G64),IF(AND($E64="correction",IF($F64="","reserve",$F64)="leftover"),N($G64),0))))</f>
        <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
      </c>
    </row>
    <row r="65" customFormat="false" ht="15" hidden="false" customHeight="false" outlineLevel="0" collapsed="false">
      <c r="A65" s="11"/>
      <c r="B65" s="38"/>
      <c r="E65" s="10"/>
      <c r="I65" s="11"/>
      <c r="J65" s="10"/>
      <c r="L65" s="31" t="str">
        <f aca="false">IF($C65="","",IFERROR(IF(INDEX(campaigns!$BG$2:$BG$51,MATCH($C65,campaigns!$A$2:$A$51,0))="","",INDEX(campaigns!$BG$2:$BG$51,MATCH($C65,campaigns!$A$2:$A$51,0))),""))</f>
        <v/>
      </c>
      <c r="M65" s="30" t="str">
        <f aca="false">IF($C65="","",IF(OR($E65="received"),N($G65),IF(OR($E65="rejected",$E65="delivered",$E65="topped_up"),-N($G65),IF(AND(OR($E65="returned_to_brand",$E65="given_to_roster_office",$E65="released_to_office",$E65="disposed"),IF($F65="","reserve",$F65)="reserve"),-N($G65),IF(AND($E65="correction",IF($F65="","reserve",$F65)="reserve"),N($G65),0)))))</f>
        <v/>
      </c>
      <c r="N65" s="30" t="str">
        <f aca="false">IF($C65="","",IF($E65="rejected",N($G65),IF(AND(OR($E65="returned_to_brand",$E65="given_to_roster_office",$E65="released_to_office",$E65="disposed"),IF($F65="","reserve",$F65)="rejected"),-N($G65),IF(AND($E65="correction",IF($F65="","reserve",$F65)="rejected"),N($G65),0))))</f>
        <v/>
      </c>
      <c r="O65" s="30" t="str">
        <f aca="false">IF($C65="","",IF($E65="collected",N($G65),IF(AND(OR($E65="returned_to_brand",$E65="given_to_roster_office",$E65="released_to_office",$E65="disposed"),IF($F65="","reserve",$F65)="leftover"),-N($G65),IF(AND($E65="correction",IF($F65="","reserve",$F65)="leftover"),N($G65),0))))</f>
        <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
      </c>
    </row>
    <row r="66" customFormat="false" ht="15" hidden="false" customHeight="false" outlineLevel="0" collapsed="false">
      <c r="A66" s="11"/>
      <c r="B66" s="38"/>
      <c r="E66" s="10"/>
      <c r="I66" s="11"/>
      <c r="J66" s="10"/>
      <c r="L66" s="31" t="str">
        <f aca="false">IF($C66="","",IFERROR(IF(INDEX(campaigns!$BG$2:$BG$51,MATCH($C66,campaigns!$A$2:$A$51,0))="","",INDEX(campaigns!$BG$2:$BG$51,MATCH($C66,campaigns!$A$2:$A$51,0))),""))</f>
        <v/>
      </c>
      <c r="M66" s="30" t="str">
        <f aca="false">IF($C66="","",IF(OR($E66="received"),N($G66),IF(OR($E66="rejected",$E66="delivered",$E66="topped_up"),-N($G66),IF(AND(OR($E66="returned_to_brand",$E66="given_to_roster_office",$E66="released_to_office",$E66="disposed"),IF($F66="","reserve",$F66)="reserve"),-N($G66),IF(AND($E66="correction",IF($F66="","reserve",$F66)="reserve"),N($G66),0)))))</f>
        <v/>
      </c>
      <c r="N66" s="30" t="str">
        <f aca="false">IF($C66="","",IF($E66="rejected",N($G66),IF(AND(OR($E66="returned_to_brand",$E66="given_to_roster_office",$E66="released_to_office",$E66="disposed"),IF($F66="","reserve",$F66)="rejected"),-N($G66),IF(AND($E66="correction",IF($F66="","reserve",$F66)="rejected"),N($G66),0))))</f>
        <v/>
      </c>
      <c r="O66" s="30" t="str">
        <f aca="false">IF($C66="","",IF($E66="collected",N($G66),IF(AND(OR($E66="returned_to_brand",$E66="given_to_roster_office",$E66="released_to_office",$E66="disposed"),IF($F66="","reserve",$F66)="leftover"),-N($G66),IF(AND($E66="correction",IF($F66="","reserve",$F66)="leftover"),N($G66),0))))</f>
        <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
      </c>
    </row>
    <row r="67" customFormat="false" ht="15" hidden="false" customHeight="false" outlineLevel="0" collapsed="false">
      <c r="A67" s="11"/>
      <c r="B67" s="38"/>
      <c r="E67" s="10"/>
      <c r="I67" s="11"/>
      <c r="J67" s="10"/>
      <c r="L67" s="31" t="str">
        <f aca="false">IF($C67="","",IFERROR(IF(INDEX(campaigns!$BG$2:$BG$51,MATCH($C67,campaigns!$A$2:$A$51,0))="","",INDEX(campaigns!$BG$2:$BG$51,MATCH($C67,campaigns!$A$2:$A$51,0))),""))</f>
        <v/>
      </c>
      <c r="M67" s="30" t="str">
        <f aca="false">IF($C67="","",IF(OR($E67="received"),N($G67),IF(OR($E67="rejected",$E67="delivered",$E67="topped_up"),-N($G67),IF(AND(OR($E67="returned_to_brand",$E67="given_to_roster_office",$E67="released_to_office",$E67="disposed"),IF($F67="","reserve",$F67)="reserve"),-N($G67),IF(AND($E67="correction",IF($F67="","reserve",$F67)="reserve"),N($G67),0)))))</f>
        <v/>
      </c>
      <c r="N67" s="30" t="str">
        <f aca="false">IF($C67="","",IF($E67="rejected",N($G67),IF(AND(OR($E67="returned_to_brand",$E67="given_to_roster_office",$E67="released_to_office",$E67="disposed"),IF($F67="","reserve",$F67)="rejected"),-N($G67),IF(AND($E67="correction",IF($F67="","reserve",$F67)="rejected"),N($G67),0))))</f>
        <v/>
      </c>
      <c r="O67" s="30" t="str">
        <f aca="false">IF($C67="","",IF($E67="collected",N($G67),IF(AND(OR($E67="returned_to_brand",$E67="given_to_roster_office",$E67="released_to_office",$E67="disposed"),IF($F67="","reserve",$F67)="leftover"),-N($G67),IF(AND($E67="correction",IF($F67="","reserve",$F67)="leftover"),N($G67),0))))</f>
        <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
      </c>
    </row>
    <row r="68" customFormat="false" ht="15" hidden="false" customHeight="false" outlineLevel="0" collapsed="false">
      <c r="A68" s="11"/>
      <c r="B68" s="38"/>
      <c r="E68" s="10"/>
      <c r="I68" s="11"/>
      <c r="J68" s="10"/>
      <c r="L68" s="31" t="str">
        <f aca="false">IF($C68="","",IFERROR(IF(INDEX(campaigns!$BG$2:$BG$51,MATCH($C68,campaigns!$A$2:$A$51,0))="","",INDEX(campaigns!$BG$2:$BG$51,MATCH($C68,campaigns!$A$2:$A$51,0))),""))</f>
        <v/>
      </c>
      <c r="M68" s="30" t="str">
        <f aca="false">IF($C68="","",IF(OR($E68="received"),N($G68),IF(OR($E68="rejected",$E68="delivered",$E68="topped_up"),-N($G68),IF(AND(OR($E68="returned_to_brand",$E68="given_to_roster_office",$E68="released_to_office",$E68="disposed"),IF($F68="","reserve",$F68)="reserve"),-N($G68),IF(AND($E68="correction",IF($F68="","reserve",$F68)="reserve"),N($G68),0)))))</f>
        <v/>
      </c>
      <c r="N68" s="30" t="str">
        <f aca="false">IF($C68="","",IF($E68="rejected",N($G68),IF(AND(OR($E68="returned_to_brand",$E68="given_to_roster_office",$E68="released_to_office",$E68="disposed"),IF($F68="","reserve",$F68)="rejected"),-N($G68),IF(AND($E68="correction",IF($F68="","reserve",$F68)="rejected"),N($G68),0))))</f>
        <v/>
      </c>
      <c r="O68" s="30" t="str">
        <f aca="false">IF($C68="","",IF($E68="collected",N($G68),IF(AND(OR($E68="returned_to_brand",$E68="given_to_roster_office",$E68="released_to_office",$E68="disposed"),IF($F68="","reserve",$F68)="leftover"),-N($G68),IF(AND($E68="correction",IF($F68="","reserve",$F68)="leftover"),N($G68),0))))</f>
        <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
      </c>
    </row>
    <row r="69" customFormat="false" ht="15" hidden="false" customHeight="false" outlineLevel="0" collapsed="false">
      <c r="A69" s="11"/>
      <c r="B69" s="38"/>
      <c r="E69" s="10"/>
      <c r="I69" s="11"/>
      <c r="J69" s="10"/>
      <c r="L69" s="31" t="str">
        <f aca="false">IF($C69="","",IFERROR(IF(INDEX(campaigns!$BG$2:$BG$51,MATCH($C69,campaigns!$A$2:$A$51,0))="","",INDEX(campaigns!$BG$2:$BG$51,MATCH($C69,campaigns!$A$2:$A$51,0))),""))</f>
        <v/>
      </c>
      <c r="M69" s="30" t="str">
        <f aca="false">IF($C69="","",IF(OR($E69="received"),N($G69),IF(OR($E69="rejected",$E69="delivered",$E69="topped_up"),-N($G69),IF(AND(OR($E69="returned_to_brand",$E69="given_to_roster_office",$E69="released_to_office",$E69="disposed"),IF($F69="","reserve",$F69)="reserve"),-N($G69),IF(AND($E69="correction",IF($F69="","reserve",$F69)="reserve"),N($G69),0)))))</f>
        <v/>
      </c>
      <c r="N69" s="30" t="str">
        <f aca="false">IF($C69="","",IF($E69="rejected",N($G69),IF(AND(OR($E69="returned_to_brand",$E69="given_to_roster_office",$E69="released_to_office",$E69="disposed"),IF($F69="","reserve",$F69)="rejected"),-N($G69),IF(AND($E69="correction",IF($F69="","reserve",$F69)="rejected"),N($G69),0))))</f>
        <v/>
      </c>
      <c r="O69" s="30" t="str">
        <f aca="false">IF($C69="","",IF($E69="collected",N($G69),IF(AND(OR($E69="returned_to_brand",$E69="given_to_roster_office",$E69="released_to_office",$E69="disposed"),IF($F69="","reserve",$F69)="leftover"),-N($G69),IF(AND($E69="correction",IF($F69="","reserve",$F69)="leftover"),N($G69),0))))</f>
        <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
      </c>
    </row>
    <row r="70" customFormat="false" ht="15" hidden="false" customHeight="false" outlineLevel="0" collapsed="false">
      <c r="A70" s="11"/>
      <c r="B70" s="38"/>
      <c r="E70" s="10"/>
      <c r="I70" s="11"/>
      <c r="J70" s="10"/>
      <c r="L70" s="31" t="str">
        <f aca="false">IF($C70="","",IFERROR(IF(INDEX(campaigns!$BG$2:$BG$51,MATCH($C70,campaigns!$A$2:$A$51,0))="","",INDEX(campaigns!$BG$2:$BG$51,MATCH($C70,campaigns!$A$2:$A$51,0))),""))</f>
        <v/>
      </c>
      <c r="M70" s="30" t="str">
        <f aca="false">IF($C70="","",IF(OR($E70="received"),N($G70),IF(OR($E70="rejected",$E70="delivered",$E70="topped_up"),-N($G70),IF(AND(OR($E70="returned_to_brand",$E70="given_to_roster_office",$E70="released_to_office",$E70="disposed"),IF($F70="","reserve",$F70)="reserve"),-N($G70),IF(AND($E70="correction",IF($F70="","reserve",$F70)="reserve"),N($G70),0)))))</f>
        <v/>
      </c>
      <c r="N70" s="30" t="str">
        <f aca="false">IF($C70="","",IF($E70="rejected",N($G70),IF(AND(OR($E70="returned_to_brand",$E70="given_to_roster_office",$E70="released_to_office",$E70="disposed"),IF($F70="","reserve",$F70)="rejected"),-N($G70),IF(AND($E70="correction",IF($F70="","reserve",$F70)="rejected"),N($G70),0))))</f>
        <v/>
      </c>
      <c r="O70" s="30" t="str">
        <f aca="false">IF($C70="","",IF($E70="collected",N($G70),IF(AND(OR($E70="returned_to_brand",$E70="given_to_roster_office",$E70="released_to_office",$E70="disposed"),IF($F70="","reserve",$F70)="leftover"),-N($G70),IF(AND($E70="correction",IF($F70="","reserve",$F70)="leftover"),N($G70),0))))</f>
        <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
      </c>
    </row>
    <row r="71" customFormat="false" ht="15" hidden="false" customHeight="false" outlineLevel="0" collapsed="false">
      <c r="A71" s="11"/>
      <c r="B71" s="38"/>
      <c r="E71" s="10"/>
      <c r="I71" s="11"/>
      <c r="J71" s="10"/>
      <c r="L71" s="31" t="str">
        <f aca="false">IF($C71="","",IFERROR(IF(INDEX(campaigns!$BG$2:$BG$51,MATCH($C71,campaigns!$A$2:$A$51,0))="","",INDEX(campaigns!$BG$2:$BG$51,MATCH($C71,campaigns!$A$2:$A$51,0))),""))</f>
        <v/>
      </c>
      <c r="M71" s="30" t="str">
        <f aca="false">IF($C71="","",IF(OR($E71="received"),N($G71),IF(OR($E71="rejected",$E71="delivered",$E71="topped_up"),-N($G71),IF(AND(OR($E71="returned_to_brand",$E71="given_to_roster_office",$E71="released_to_office",$E71="disposed"),IF($F71="","reserve",$F71)="reserve"),-N($G71),IF(AND($E71="correction",IF($F71="","reserve",$F71)="reserve"),N($G71),0)))))</f>
        <v/>
      </c>
      <c r="N71" s="30" t="str">
        <f aca="false">IF($C71="","",IF($E71="rejected",N($G71),IF(AND(OR($E71="returned_to_brand",$E71="given_to_roster_office",$E71="released_to_office",$E71="disposed"),IF($F71="","reserve",$F71)="rejected"),-N($G71),IF(AND($E71="correction",IF($F71="","reserve",$F71)="rejected"),N($G71),0))))</f>
        <v/>
      </c>
      <c r="O71" s="30" t="str">
        <f aca="false">IF($C71="","",IF($E71="collected",N($G71),IF(AND(OR($E71="returned_to_brand",$E71="given_to_roster_office",$E71="released_to_office",$E71="disposed"),IF($F71="","reserve",$F71)="leftover"),-N($G71),IF(AND($E71="correction",IF($F71="","reserve",$F71)="leftover"),N($G71),0))))</f>
        <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
      </c>
    </row>
    <row r="72" customFormat="false" ht="15" hidden="false" customHeight="false" outlineLevel="0" collapsed="false">
      <c r="A72" s="11"/>
      <c r="B72" s="38"/>
      <c r="E72" s="10"/>
      <c r="I72" s="11"/>
      <c r="J72" s="10"/>
      <c r="L72" s="31" t="str">
        <f aca="false">IF($C72="","",IFERROR(IF(INDEX(campaigns!$BG$2:$BG$51,MATCH($C72,campaigns!$A$2:$A$51,0))="","",INDEX(campaigns!$BG$2:$BG$51,MATCH($C72,campaigns!$A$2:$A$51,0))),""))</f>
        <v/>
      </c>
      <c r="M72" s="30" t="str">
        <f aca="false">IF($C72="","",IF(OR($E72="received"),N($G72),IF(OR($E72="rejected",$E72="delivered",$E72="topped_up"),-N($G72),IF(AND(OR($E72="returned_to_brand",$E72="given_to_roster_office",$E72="released_to_office",$E72="disposed"),IF($F72="","reserve",$F72)="reserve"),-N($G72),IF(AND($E72="correction",IF($F72="","reserve",$F72)="reserve"),N($G72),0)))))</f>
        <v/>
      </c>
      <c r="N72" s="30" t="str">
        <f aca="false">IF($C72="","",IF($E72="rejected",N($G72),IF(AND(OR($E72="returned_to_brand",$E72="given_to_roster_office",$E72="released_to_office",$E72="disposed"),IF($F72="","reserve",$F72)="rejected"),-N($G72),IF(AND($E72="correction",IF($F72="","reserve",$F72)="rejected"),N($G72),0))))</f>
        <v/>
      </c>
      <c r="O72" s="30" t="str">
        <f aca="false">IF($C72="","",IF($E72="collected",N($G72),IF(AND(OR($E72="returned_to_brand",$E72="given_to_roster_office",$E72="released_to_office",$E72="disposed"),IF($F72="","reserve",$F72)="leftover"),-N($G72),IF(AND($E72="correction",IF($F72="","reserve",$F72)="leftover"),N($G72),0))))</f>
        <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
      </c>
    </row>
    <row r="73" customFormat="false" ht="15" hidden="false" customHeight="false" outlineLevel="0" collapsed="false">
      <c r="A73" s="11"/>
      <c r="B73" s="38"/>
      <c r="E73" s="10"/>
      <c r="I73" s="11"/>
      <c r="J73" s="10"/>
      <c r="L73" s="31" t="str">
        <f aca="false">IF($C73="","",IFERROR(IF(INDEX(campaigns!$BG$2:$BG$51,MATCH($C73,campaigns!$A$2:$A$51,0))="","",INDEX(campaigns!$BG$2:$BG$51,MATCH($C73,campaigns!$A$2:$A$51,0))),""))</f>
        <v/>
      </c>
      <c r="M73" s="30" t="str">
        <f aca="false">IF($C73="","",IF(OR($E73="received"),N($G73),IF(OR($E73="rejected",$E73="delivered",$E73="topped_up"),-N($G73),IF(AND(OR($E73="returned_to_brand",$E73="given_to_roster_office",$E73="released_to_office",$E73="disposed"),IF($F73="","reserve",$F73)="reserve"),-N($G73),IF(AND($E73="correction",IF($F73="","reserve",$F73)="reserve"),N($G73),0)))))</f>
        <v/>
      </c>
      <c r="N73" s="30" t="str">
        <f aca="false">IF($C73="","",IF($E73="rejected",N($G73),IF(AND(OR($E73="returned_to_brand",$E73="given_to_roster_office",$E73="released_to_office",$E73="disposed"),IF($F73="","reserve",$F73)="rejected"),-N($G73),IF(AND($E73="correction",IF($F73="","reserve",$F73)="rejected"),N($G73),0))))</f>
        <v/>
      </c>
      <c r="O73" s="30" t="str">
        <f aca="false">IF($C73="","",IF($E73="collected",N($G73),IF(AND(OR($E73="returned_to_brand",$E73="given_to_roster_office",$E73="released_to_office",$E73="disposed"),IF($F73="","reserve",$F73)="leftover"),-N($G73),IF(AND($E73="correction",IF($F73="","reserve",$F73)="leftover"),N($G73),0))))</f>
        <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
      </c>
    </row>
    <row r="74" customFormat="false" ht="15" hidden="false" customHeight="false" outlineLevel="0" collapsed="false">
      <c r="A74" s="11"/>
      <c r="B74" s="38"/>
      <c r="E74" s="10"/>
      <c r="I74" s="11"/>
      <c r="J74" s="10"/>
      <c r="L74" s="31" t="str">
        <f aca="false">IF($C74="","",IFERROR(IF(INDEX(campaigns!$BG$2:$BG$51,MATCH($C74,campaigns!$A$2:$A$51,0))="","",INDEX(campaigns!$BG$2:$BG$51,MATCH($C74,campaigns!$A$2:$A$51,0))),""))</f>
        <v/>
      </c>
      <c r="M74" s="30" t="str">
        <f aca="false">IF($C74="","",IF(OR($E74="received"),N($G74),IF(OR($E74="rejected",$E74="delivered",$E74="topped_up"),-N($G74),IF(AND(OR($E74="returned_to_brand",$E74="given_to_roster_office",$E74="released_to_office",$E74="disposed"),IF($F74="","reserve",$F74)="reserve"),-N($G74),IF(AND($E74="correction",IF($F74="","reserve",$F74)="reserve"),N($G74),0)))))</f>
        <v/>
      </c>
      <c r="N74" s="30" t="str">
        <f aca="false">IF($C74="","",IF($E74="rejected",N($G74),IF(AND(OR($E74="returned_to_brand",$E74="given_to_roster_office",$E74="released_to_office",$E74="disposed"),IF($F74="","reserve",$F74)="rejected"),-N($G74),IF(AND($E74="correction",IF($F74="","reserve",$F74)="rejected"),N($G74),0))))</f>
        <v/>
      </c>
      <c r="O74" s="30" t="str">
        <f aca="false">IF($C74="","",IF($E74="collected",N($G74),IF(AND(OR($E74="returned_to_brand",$E74="given_to_roster_office",$E74="released_to_office",$E74="disposed"),IF($F74="","reserve",$F74)="leftover"),-N($G74),IF(AND($E74="correction",IF($F74="","reserve",$F74)="leftover"),N($G74),0))))</f>
        <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
      </c>
    </row>
    <row r="75" customFormat="false" ht="15" hidden="false" customHeight="false" outlineLevel="0" collapsed="false">
      <c r="A75" s="11"/>
      <c r="B75" s="38"/>
      <c r="E75" s="10"/>
      <c r="I75" s="11"/>
      <c r="J75" s="10"/>
      <c r="L75" s="31" t="str">
        <f aca="false">IF($C75="","",IFERROR(IF(INDEX(campaigns!$BG$2:$BG$51,MATCH($C75,campaigns!$A$2:$A$51,0))="","",INDEX(campaigns!$BG$2:$BG$51,MATCH($C75,campaigns!$A$2:$A$51,0))),""))</f>
        <v/>
      </c>
      <c r="M75" s="30" t="str">
        <f aca="false">IF($C75="","",IF(OR($E75="received"),N($G75),IF(OR($E75="rejected",$E75="delivered",$E75="topped_up"),-N($G75),IF(AND(OR($E75="returned_to_brand",$E75="given_to_roster_office",$E75="released_to_office",$E75="disposed"),IF($F75="","reserve",$F75)="reserve"),-N($G75),IF(AND($E75="correction",IF($F75="","reserve",$F75)="reserve"),N($G75),0)))))</f>
        <v/>
      </c>
      <c r="N75" s="30" t="str">
        <f aca="false">IF($C75="","",IF($E75="rejected",N($G75),IF(AND(OR($E75="returned_to_brand",$E75="given_to_roster_office",$E75="released_to_office",$E75="disposed"),IF($F75="","reserve",$F75)="rejected"),-N($G75),IF(AND($E75="correction",IF($F75="","reserve",$F75)="rejected"),N($G75),0))))</f>
        <v/>
      </c>
      <c r="O75" s="30" t="str">
        <f aca="false">IF($C75="","",IF($E75="collected",N($G75),IF(AND(OR($E75="returned_to_brand",$E75="given_to_roster_office",$E75="released_to_office",$E75="disposed"),IF($F75="","reserve",$F75)="leftover"),-N($G75),IF(AND($E75="correction",IF($F75="","reserve",$F75)="leftover"),N($G75),0))))</f>
        <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
      </c>
    </row>
    <row r="76" customFormat="false" ht="15" hidden="false" customHeight="false" outlineLevel="0" collapsed="false">
      <c r="A76" s="11"/>
      <c r="B76" s="38"/>
      <c r="E76" s="10"/>
      <c r="I76" s="11"/>
      <c r="J76" s="10"/>
      <c r="L76" s="31" t="str">
        <f aca="false">IF($C76="","",IFERROR(IF(INDEX(campaigns!$BG$2:$BG$51,MATCH($C76,campaigns!$A$2:$A$51,0))="","",INDEX(campaigns!$BG$2:$BG$51,MATCH($C76,campaigns!$A$2:$A$51,0))),""))</f>
        <v/>
      </c>
      <c r="M76" s="30" t="str">
        <f aca="false">IF($C76="","",IF(OR($E76="received"),N($G76),IF(OR($E76="rejected",$E76="delivered",$E76="topped_up"),-N($G76),IF(AND(OR($E76="returned_to_brand",$E76="given_to_roster_office",$E76="released_to_office",$E76="disposed"),IF($F76="","reserve",$F76)="reserve"),-N($G76),IF(AND($E76="correction",IF($F76="","reserve",$F76)="reserve"),N($G76),0)))))</f>
        <v/>
      </c>
      <c r="N76" s="30" t="str">
        <f aca="false">IF($C76="","",IF($E76="rejected",N($G76),IF(AND(OR($E76="returned_to_brand",$E76="given_to_roster_office",$E76="released_to_office",$E76="disposed"),IF($F76="","reserve",$F76)="rejected"),-N($G76),IF(AND($E76="correction",IF($F76="","reserve",$F76)="rejected"),N($G76),0))))</f>
        <v/>
      </c>
      <c r="O76" s="30" t="str">
        <f aca="false">IF($C76="","",IF($E76="collected",N($G76),IF(AND(OR($E76="returned_to_brand",$E76="given_to_roster_office",$E76="released_to_office",$E76="disposed"),IF($F76="","reserve",$F76)="leftover"),-N($G76),IF(AND($E76="correction",IF($F76="","reserve",$F76)="leftover"),N($G76),0))))</f>
        <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
      </c>
    </row>
    <row r="77" customFormat="false" ht="15" hidden="false" customHeight="false" outlineLevel="0" collapsed="false">
      <c r="A77" s="11"/>
      <c r="B77" s="38"/>
      <c r="E77" s="10"/>
      <c r="I77" s="11"/>
      <c r="J77" s="10"/>
      <c r="L77" s="31" t="str">
        <f aca="false">IF($C77="","",IFERROR(IF(INDEX(campaigns!$BG$2:$BG$51,MATCH($C77,campaigns!$A$2:$A$51,0))="","",INDEX(campaigns!$BG$2:$BG$51,MATCH($C77,campaigns!$A$2:$A$51,0))),""))</f>
        <v/>
      </c>
      <c r="M77" s="30" t="str">
        <f aca="false">IF($C77="","",IF(OR($E77="received"),N($G77),IF(OR($E77="rejected",$E77="delivered",$E77="topped_up"),-N($G77),IF(AND(OR($E77="returned_to_brand",$E77="given_to_roster_office",$E77="released_to_office",$E77="disposed"),IF($F77="","reserve",$F77)="reserve"),-N($G77),IF(AND($E77="correction",IF($F77="","reserve",$F77)="reserve"),N($G77),0)))))</f>
        <v/>
      </c>
      <c r="N77" s="30" t="str">
        <f aca="false">IF($C77="","",IF($E77="rejected",N($G77),IF(AND(OR($E77="returned_to_brand",$E77="given_to_roster_office",$E77="released_to_office",$E77="disposed"),IF($F77="","reserve",$F77)="rejected"),-N($G77),IF(AND($E77="correction",IF($F77="","reserve",$F77)="rejected"),N($G77),0))))</f>
        <v/>
      </c>
      <c r="O77" s="30" t="str">
        <f aca="false">IF($C77="","",IF($E77="collected",N($G77),IF(AND(OR($E77="returned_to_brand",$E77="given_to_roster_office",$E77="released_to_office",$E77="disposed"),IF($F77="","reserve",$F77)="leftover"),-N($G77),IF(AND($E77="correction",IF($F77="","reserve",$F77)="leftover"),N($G77),0))))</f>
        <v/>
      </c>
      <c r="P77" s="30" t="str">
        <f aca="false">IF(OR($E77&lt;&gt;"received",$I77="",$L77=""),"",IF($I77&gt;=$L77+config!$B$19,"Y","N"))</f>
        <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
      </c>
    </row>
    <row r="78" customFormat="false" ht="15" hidden="false" customHeight="false" outlineLevel="0" collapsed="false">
      <c r="A78" s="11"/>
      <c r="B78" s="38"/>
      <c r="E78" s="10"/>
      <c r="I78" s="11"/>
      <c r="J78" s="10"/>
      <c r="L78" s="31" t="str">
        <f aca="false">IF($C78="","",IFERROR(IF(INDEX(campaigns!$BG$2:$BG$51,MATCH($C78,campaigns!$A$2:$A$51,0))="","",INDEX(campaigns!$BG$2:$BG$51,MATCH($C78,campaigns!$A$2:$A$51,0))),""))</f>
        <v/>
      </c>
      <c r="M78" s="30" t="str">
        <f aca="false">IF($C78="","",IF(OR($E78="received"),N($G78),IF(OR($E78="rejected",$E78="delivered",$E78="topped_up"),-N($G78),IF(AND(OR($E78="returned_to_brand",$E78="given_to_roster_office",$E78="released_to_office",$E78="disposed"),IF($F78="","reserve",$F78)="reserve"),-N($G78),IF(AND($E78="correction",IF($F78="","reserve",$F78)="reserve"),N($G78),0)))))</f>
        <v/>
      </c>
      <c r="N78" s="30" t="str">
        <f aca="false">IF($C78="","",IF($E78="rejected",N($G78),IF(AND(OR($E78="returned_to_brand",$E78="given_to_roster_office",$E78="released_to_office",$E78="disposed"),IF($F78="","reserve",$F78)="rejected"),-N($G78),IF(AND($E78="correction",IF($F78="","reserve",$F78)="rejected"),N($G78),0))))</f>
        <v/>
      </c>
      <c r="O78" s="30" t="str">
        <f aca="false">IF($C78="","",IF($E78="collected",N($G78),IF(AND(OR($E78="returned_to_brand",$E78="given_to_roster_office",$E78="released_to_office",$E78="disposed"),IF($F78="","reserve",$F78)="leftover"),-N($G78),IF(AND($E78="correction",IF($F78="","reserve",$F78)="leftover"),N($G78),0))))</f>
        <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
      </c>
    </row>
    <row r="79" customFormat="false" ht="15" hidden="false" customHeight="false" outlineLevel="0" collapsed="false">
      <c r="A79" s="11"/>
      <c r="B79" s="38"/>
      <c r="E79" s="10"/>
      <c r="I79" s="11"/>
      <c r="J79" s="10"/>
      <c r="L79" s="31" t="str">
        <f aca="false">IF($C79="","",IFERROR(IF(INDEX(campaigns!$BG$2:$BG$51,MATCH($C79,campaigns!$A$2:$A$51,0))="","",INDEX(campaigns!$BG$2:$BG$51,MATCH($C79,campaigns!$A$2:$A$51,0))),""))</f>
        <v/>
      </c>
      <c r="M79" s="30" t="str">
        <f aca="false">IF($C79="","",IF(OR($E79="received"),N($G79),IF(OR($E79="rejected",$E79="delivered",$E79="topped_up"),-N($G79),IF(AND(OR($E79="returned_to_brand",$E79="given_to_roster_office",$E79="released_to_office",$E79="disposed"),IF($F79="","reserve",$F79)="reserve"),-N($G79),IF(AND($E79="correction",IF($F79="","reserve",$F79)="reserve"),N($G79),0)))))</f>
        <v/>
      </c>
      <c r="N79" s="30" t="str">
        <f aca="false">IF($C79="","",IF($E79="rejected",N($G79),IF(AND(OR($E79="returned_to_brand",$E79="given_to_roster_office",$E79="released_to_office",$E79="disposed"),IF($F79="","reserve",$F79)="rejected"),-N($G79),IF(AND($E79="correction",IF($F79="","reserve",$F79)="rejected"),N($G79),0))))</f>
        <v/>
      </c>
      <c r="O79" s="30" t="str">
        <f aca="false">IF($C79="","",IF($E79="collected",N($G79),IF(AND(OR($E79="returned_to_brand",$E79="given_to_roster_office",$E79="released_to_office",$E79="disposed"),IF($F79="","reserve",$F79)="leftover"),-N($G79),IF(AND($E79="correction",IF($F79="","reserve",$F79)="leftover"),N($G79),0))))</f>
        <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
      </c>
    </row>
    <row r="80" customFormat="false" ht="15" hidden="false" customHeight="false" outlineLevel="0" collapsed="false">
      <c r="A80" s="11"/>
      <c r="B80" s="38"/>
      <c r="E80" s="10"/>
      <c r="I80" s="11"/>
      <c r="J80" s="10"/>
      <c r="L80" s="31" t="str">
        <f aca="false">IF($C80="","",IFERROR(IF(INDEX(campaigns!$BG$2:$BG$51,MATCH($C80,campaigns!$A$2:$A$51,0))="","",INDEX(campaigns!$BG$2:$BG$51,MATCH($C80,campaigns!$A$2:$A$51,0))),""))</f>
        <v/>
      </c>
      <c r="M80" s="30" t="str">
        <f aca="false">IF($C80="","",IF(OR($E80="received"),N($G80),IF(OR($E80="rejected",$E80="delivered",$E80="topped_up"),-N($G80),IF(AND(OR($E80="returned_to_brand",$E80="given_to_roster_office",$E80="released_to_office",$E80="disposed"),IF($F80="","reserve",$F80)="reserve"),-N($G80),IF(AND($E80="correction",IF($F80="","reserve",$F80)="reserve"),N($G80),0)))))</f>
        <v/>
      </c>
      <c r="N80" s="30" t="str">
        <f aca="false">IF($C80="","",IF($E80="rejected",N($G80),IF(AND(OR($E80="returned_to_brand",$E80="given_to_roster_office",$E80="released_to_office",$E80="disposed"),IF($F80="","reserve",$F80)="rejected"),-N($G80),IF(AND($E80="correction",IF($F80="","reserve",$F80)="rejected"),N($G80),0))))</f>
        <v/>
      </c>
      <c r="O80" s="30" t="str">
        <f aca="false">IF($C80="","",IF($E80="collected",N($G80),IF(AND(OR($E80="returned_to_brand",$E80="given_to_roster_office",$E80="released_to_office",$E80="disposed"),IF($F80="","reserve",$F80)="leftover"),-N($G80),IF(AND($E80="correction",IF($F80="","reserve",$F80)="leftover"),N($G80),0))))</f>
        <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
      </c>
    </row>
    <row r="81" customFormat="false" ht="15" hidden="false" customHeight="false" outlineLevel="0" collapsed="false">
      <c r="A81" s="11"/>
      <c r="B81" s="38"/>
      <c r="E81" s="10"/>
      <c r="I81" s="11"/>
      <c r="J81" s="10"/>
      <c r="L81" s="31" t="str">
        <f aca="false">IF($C81="","",IFERROR(IF(INDEX(campaigns!$BG$2:$BG$51,MATCH($C81,campaigns!$A$2:$A$51,0))="","",INDEX(campaigns!$BG$2:$BG$51,MATCH($C81,campaigns!$A$2:$A$51,0))),""))</f>
        <v/>
      </c>
      <c r="M81" s="30" t="str">
        <f aca="false">IF($C81="","",IF(OR($E81="received"),N($G81),IF(OR($E81="rejected",$E81="delivered",$E81="topped_up"),-N($G81),IF(AND(OR($E81="returned_to_brand",$E81="given_to_roster_office",$E81="released_to_office",$E81="disposed"),IF($F81="","reserve",$F81)="reserve"),-N($G81),IF(AND($E81="correction",IF($F81="","reserve",$F81)="reserve"),N($G81),0)))))</f>
        <v/>
      </c>
      <c r="N81" s="30" t="str">
        <f aca="false">IF($C81="","",IF($E81="rejected",N($G81),IF(AND(OR($E81="returned_to_brand",$E81="given_to_roster_office",$E81="released_to_office",$E81="disposed"),IF($F81="","reserve",$F81)="rejected"),-N($G81),IF(AND($E81="correction",IF($F81="","reserve",$F81)="rejected"),N($G81),0))))</f>
        <v/>
      </c>
      <c r="O81" s="30" t="str">
        <f aca="false">IF($C81="","",IF($E81="collected",N($G81),IF(AND(OR($E81="returned_to_brand",$E81="given_to_roster_office",$E81="released_to_office",$E81="disposed"),IF($F81="","reserve",$F81)="leftover"),-N($G81),IF(AND($E81="correction",IF($F81="","reserve",$F81)="leftover"),N($G81),0))))</f>
        <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
      </c>
    </row>
    <row r="82" customFormat="false" ht="15" hidden="false" customHeight="false" outlineLevel="0" collapsed="false">
      <c r="A82" s="11"/>
      <c r="B82" s="38"/>
      <c r="E82" s="10"/>
      <c r="I82" s="11"/>
      <c r="J82" s="10"/>
      <c r="L82" s="31" t="str">
        <f aca="false">IF($C82="","",IFERROR(IF(INDEX(campaigns!$BG$2:$BG$51,MATCH($C82,campaigns!$A$2:$A$51,0))="","",INDEX(campaigns!$BG$2:$BG$51,MATCH($C82,campaigns!$A$2:$A$51,0))),""))</f>
        <v/>
      </c>
      <c r="M82" s="30" t="str">
        <f aca="false">IF($C82="","",IF(OR($E82="received"),N($G82),IF(OR($E82="rejected",$E82="delivered",$E82="topped_up"),-N($G82),IF(AND(OR($E82="returned_to_brand",$E82="given_to_roster_office",$E82="released_to_office",$E82="disposed"),IF($F82="","reserve",$F82)="reserve"),-N($G82),IF(AND($E82="correction",IF($F82="","reserve",$F82)="reserve"),N($G82),0)))))</f>
        <v/>
      </c>
      <c r="N82" s="30" t="str">
        <f aca="false">IF($C82="","",IF($E82="rejected",N($G82),IF(AND(OR($E82="returned_to_brand",$E82="given_to_roster_office",$E82="released_to_office",$E82="disposed"),IF($F82="","reserve",$F82)="rejected"),-N($G82),IF(AND($E82="correction",IF($F82="","reserve",$F82)="rejected"),N($G82),0))))</f>
        <v/>
      </c>
      <c r="O82" s="30" t="str">
        <f aca="false">IF($C82="","",IF($E82="collected",N($G82),IF(AND(OR($E82="returned_to_brand",$E82="given_to_roster_office",$E82="released_to_office",$E82="disposed"),IF($F82="","reserve",$F82)="leftover"),-N($G82),IF(AND($E82="correction",IF($F82="","reserve",$F82)="leftover"),N($G82),0))))</f>
        <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
      </c>
    </row>
    <row r="83" customFormat="false" ht="15" hidden="false" customHeight="false" outlineLevel="0" collapsed="false">
      <c r="A83" s="11"/>
      <c r="B83" s="38"/>
      <c r="E83" s="10"/>
      <c r="I83" s="11"/>
      <c r="J83" s="10"/>
      <c r="L83" s="31" t="str">
        <f aca="false">IF($C83="","",IFERROR(IF(INDEX(campaigns!$BG$2:$BG$51,MATCH($C83,campaigns!$A$2:$A$51,0))="","",INDEX(campaigns!$BG$2:$BG$51,MATCH($C83,campaigns!$A$2:$A$51,0))),""))</f>
        <v/>
      </c>
      <c r="M83" s="30" t="str">
        <f aca="false">IF($C83="","",IF(OR($E83="received"),N($G83),IF(OR($E83="rejected",$E83="delivered",$E83="topped_up"),-N($G83),IF(AND(OR($E83="returned_to_brand",$E83="given_to_roster_office",$E83="released_to_office",$E83="disposed"),IF($F83="","reserve",$F83)="reserve"),-N($G83),IF(AND($E83="correction",IF($F83="","reserve",$F83)="reserve"),N($G83),0)))))</f>
        <v/>
      </c>
      <c r="N83" s="30" t="str">
        <f aca="false">IF($C83="","",IF($E83="rejected",N($G83),IF(AND(OR($E83="returned_to_brand",$E83="given_to_roster_office",$E83="released_to_office",$E83="disposed"),IF($F83="","reserve",$F83)="rejected"),-N($G83),IF(AND($E83="correction",IF($F83="","reserve",$F83)="rejected"),N($G83),0))))</f>
        <v/>
      </c>
      <c r="O83" s="30" t="str">
        <f aca="false">IF($C83="","",IF($E83="collected",N($G83),IF(AND(OR($E83="returned_to_brand",$E83="given_to_roster_office",$E83="released_to_office",$E83="disposed"),IF($F83="","reserve",$F83)="leftover"),-N($G83),IF(AND($E83="correction",IF($F83="","reserve",$F83)="leftover"),N($G83),0))))</f>
        <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
      </c>
    </row>
    <row r="84" customFormat="false" ht="15" hidden="false" customHeight="false" outlineLevel="0" collapsed="false">
      <c r="A84" s="11"/>
      <c r="B84" s="38"/>
      <c r="E84" s="10"/>
      <c r="I84" s="11"/>
      <c r="J84" s="10"/>
      <c r="L84" s="31" t="str">
        <f aca="false">IF($C84="","",IFERROR(IF(INDEX(campaigns!$BG$2:$BG$51,MATCH($C84,campaigns!$A$2:$A$51,0))="","",INDEX(campaigns!$BG$2:$BG$51,MATCH($C84,campaigns!$A$2:$A$51,0))),""))</f>
        <v/>
      </c>
      <c r="M84" s="30" t="str">
        <f aca="false">IF($C84="","",IF(OR($E84="received"),N($G84),IF(OR($E84="rejected",$E84="delivered",$E84="topped_up"),-N($G84),IF(AND(OR($E84="returned_to_brand",$E84="given_to_roster_office",$E84="released_to_office",$E84="disposed"),IF($F84="","reserve",$F84)="reserve"),-N($G84),IF(AND($E84="correction",IF($F84="","reserve",$F84)="reserve"),N($G84),0)))))</f>
        <v/>
      </c>
      <c r="N84" s="30" t="str">
        <f aca="false">IF($C84="","",IF($E84="rejected",N($G84),IF(AND(OR($E84="returned_to_brand",$E84="given_to_roster_office",$E84="released_to_office",$E84="disposed"),IF($F84="","reserve",$F84)="rejected"),-N($G84),IF(AND($E84="correction",IF($F84="","reserve",$F84)="rejected"),N($G84),0))))</f>
        <v/>
      </c>
      <c r="O84" s="30" t="str">
        <f aca="false">IF($C84="","",IF($E84="collected",N($G84),IF(AND(OR($E84="returned_to_brand",$E84="given_to_roster_office",$E84="released_to_office",$E84="disposed"),IF($F84="","reserve",$F84)="leftover"),-N($G84),IF(AND($E84="correction",IF($F84="","reserve",$F84)="leftover"),N($G84),0))))</f>
        <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
      </c>
    </row>
    <row r="85" customFormat="false" ht="15" hidden="false" customHeight="false" outlineLevel="0" collapsed="false">
      <c r="A85" s="11"/>
      <c r="B85" s="38"/>
      <c r="E85" s="10"/>
      <c r="I85" s="11"/>
      <c r="J85" s="10"/>
      <c r="L85" s="31" t="str">
        <f aca="false">IF($C85="","",IFERROR(IF(INDEX(campaigns!$BG$2:$BG$51,MATCH($C85,campaigns!$A$2:$A$51,0))="","",INDEX(campaigns!$BG$2:$BG$51,MATCH($C85,campaigns!$A$2:$A$51,0))),""))</f>
        <v/>
      </c>
      <c r="M85" s="30" t="str">
        <f aca="false">IF($C85="","",IF(OR($E85="received"),N($G85),IF(OR($E85="rejected",$E85="delivered",$E85="topped_up"),-N($G85),IF(AND(OR($E85="returned_to_brand",$E85="given_to_roster_office",$E85="released_to_office",$E85="disposed"),IF($F85="","reserve",$F85)="reserve"),-N($G85),IF(AND($E85="correction",IF($F85="","reserve",$F85)="reserve"),N($G85),0)))))</f>
        <v/>
      </c>
      <c r="N85" s="30" t="str">
        <f aca="false">IF($C85="","",IF($E85="rejected",N($G85),IF(AND(OR($E85="returned_to_brand",$E85="given_to_roster_office",$E85="released_to_office",$E85="disposed"),IF($F85="","reserve",$F85)="rejected"),-N($G85),IF(AND($E85="correction",IF($F85="","reserve",$F85)="rejected"),N($G85),0))))</f>
        <v/>
      </c>
      <c r="O85" s="30" t="str">
        <f aca="false">IF($C85="","",IF($E85="collected",N($G85),IF(AND(OR($E85="returned_to_brand",$E85="given_to_roster_office",$E85="released_to_office",$E85="disposed"),IF($F85="","reserve",$F85)="leftover"),-N($G85),IF(AND($E85="correction",IF($F85="","reserve",$F85)="leftover"),N($G85),0))))</f>
        <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
      </c>
    </row>
    <row r="86" customFormat="false" ht="15" hidden="false" customHeight="false" outlineLevel="0" collapsed="false">
      <c r="A86" s="11"/>
      <c r="B86" s="38"/>
      <c r="E86" s="10"/>
      <c r="I86" s="11"/>
      <c r="J86" s="10"/>
      <c r="L86" s="31" t="str">
        <f aca="false">IF($C86="","",IFERROR(IF(INDEX(campaigns!$BG$2:$BG$51,MATCH($C86,campaigns!$A$2:$A$51,0))="","",INDEX(campaigns!$BG$2:$BG$51,MATCH($C86,campaigns!$A$2:$A$51,0))),""))</f>
        <v/>
      </c>
      <c r="M86" s="30" t="str">
        <f aca="false">IF($C86="","",IF(OR($E86="received"),N($G86),IF(OR($E86="rejected",$E86="delivered",$E86="topped_up"),-N($G86),IF(AND(OR($E86="returned_to_brand",$E86="given_to_roster_office",$E86="released_to_office",$E86="disposed"),IF($F86="","reserve",$F86)="reserve"),-N($G86),IF(AND($E86="correction",IF($F86="","reserve",$F86)="reserve"),N($G86),0)))))</f>
        <v/>
      </c>
      <c r="N86" s="30" t="str">
        <f aca="false">IF($C86="","",IF($E86="rejected",N($G86),IF(AND(OR($E86="returned_to_brand",$E86="given_to_roster_office",$E86="released_to_office",$E86="disposed"),IF($F86="","reserve",$F86)="rejected"),-N($G86),IF(AND($E86="correction",IF($F86="","reserve",$F86)="rejected"),N($G86),0))))</f>
        <v/>
      </c>
      <c r="O86" s="30" t="str">
        <f aca="false">IF($C86="","",IF($E86="collected",N($G86),IF(AND(OR($E86="returned_to_brand",$E86="given_to_roster_office",$E86="released_to_office",$E86="disposed"),IF($F86="","reserve",$F86)="leftover"),-N($G86),IF(AND($E86="correction",IF($F86="","reserve",$F86)="leftover"),N($G86),0))))</f>
        <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649</v>
      </c>
      <c r="C1" s="28" t="s">
        <v>344</v>
      </c>
      <c r="D1" s="28" t="s">
        <v>540</v>
      </c>
      <c r="E1" s="28" t="s">
        <v>677</v>
      </c>
      <c r="F1" s="28" t="s">
        <v>85</v>
      </c>
      <c r="G1" s="28" t="s">
        <v>678</v>
      </c>
      <c r="H1" s="28" t="s">
        <v>679</v>
      </c>
      <c r="I1" s="28" t="s">
        <v>178</v>
      </c>
      <c r="J1" s="29" t="s">
        <v>680</v>
      </c>
      <c r="K1" s="29" t="s">
        <v>120</v>
      </c>
    </row>
    <row r="2" customFormat="false" ht="15" hidden="false" customHeight="false" outlineLevel="0" collapsed="false">
      <c r="A2" s="11" t="n">
        <v>46399</v>
      </c>
      <c r="B2" s="38" t="n">
        <v>0.356944444444445</v>
      </c>
      <c r="C2" s="10" t="s">
        <v>458</v>
      </c>
      <c r="D2" s="10" t="s">
        <v>576</v>
      </c>
      <c r="E2" s="10" t="s">
        <v>681</v>
      </c>
      <c r="F2" s="0" t="n">
        <v>40</v>
      </c>
      <c r="G2" s="10" t="s">
        <v>682</v>
      </c>
      <c r="H2" s="10" t="s">
        <v>683</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458</v>
      </c>
      <c r="D3" s="10" t="s">
        <v>576</v>
      </c>
      <c r="E3" s="10" t="s">
        <v>608</v>
      </c>
      <c r="F3" s="0" t="n">
        <v>4</v>
      </c>
      <c r="G3" s="10" t="s">
        <v>684</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458</v>
      </c>
      <c r="D4" s="10" t="s">
        <v>576</v>
      </c>
      <c r="E4" s="10" t="s">
        <v>609</v>
      </c>
      <c r="F4" s="0" t="n">
        <v>1</v>
      </c>
      <c r="G4" s="10" t="s">
        <v>682</v>
      </c>
      <c r="H4" s="10" t="s">
        <v>685</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458</v>
      </c>
      <c r="D5" s="10" t="s">
        <v>579</v>
      </c>
      <c r="E5" s="10" t="s">
        <v>681</v>
      </c>
      <c r="F5" s="0" t="n">
        <v>38</v>
      </c>
      <c r="G5" s="10" t="s">
        <v>682</v>
      </c>
      <c r="H5" s="10" t="s">
        <v>686</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458</v>
      </c>
      <c r="D6" s="10" t="s">
        <v>579</v>
      </c>
      <c r="E6" s="10" t="s">
        <v>608</v>
      </c>
      <c r="F6" s="0" t="n">
        <v>15</v>
      </c>
      <c r="G6" s="10" t="s">
        <v>684</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458</v>
      </c>
      <c r="D7" s="10" t="s">
        <v>579</v>
      </c>
      <c r="E7" s="10" t="s">
        <v>609</v>
      </c>
      <c r="F7" s="0" t="n">
        <v>7</v>
      </c>
      <c r="G7" s="10" t="s">
        <v>682</v>
      </c>
      <c r="H7" s="10" t="s">
        <v>687</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458</v>
      </c>
      <c r="D8" s="10" t="s">
        <v>581</v>
      </c>
      <c r="E8" s="10" t="s">
        <v>681</v>
      </c>
      <c r="F8" s="0" t="n">
        <v>50</v>
      </c>
      <c r="G8" s="10" t="s">
        <v>682</v>
      </c>
      <c r="H8" s="10" t="s">
        <v>688</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458</v>
      </c>
      <c r="D9" s="10" t="s">
        <v>581</v>
      </c>
      <c r="E9" s="10" t="s">
        <v>608</v>
      </c>
      <c r="F9" s="0" t="n">
        <v>18</v>
      </c>
      <c r="G9" s="10" t="s">
        <v>684</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458</v>
      </c>
      <c r="D10" s="10" t="s">
        <v>581</v>
      </c>
      <c r="E10" s="10" t="s">
        <v>609</v>
      </c>
      <c r="F10" s="0" t="n">
        <v>9</v>
      </c>
      <c r="G10" s="10" t="s">
        <v>682</v>
      </c>
      <c r="H10" s="10" t="s">
        <v>689</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458</v>
      </c>
      <c r="D11" s="10" t="s">
        <v>584</v>
      </c>
      <c r="E11" s="10" t="s">
        <v>681</v>
      </c>
      <c r="F11" s="0" t="n">
        <v>50</v>
      </c>
      <c r="G11" s="10" t="s">
        <v>682</v>
      </c>
      <c r="H11" s="10" t="s">
        <v>690</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458</v>
      </c>
      <c r="D12" s="10" t="s">
        <v>584</v>
      </c>
      <c r="E12" s="10" t="s">
        <v>608</v>
      </c>
      <c r="F12" s="0" t="n">
        <v>41</v>
      </c>
      <c r="G12" s="10" t="s">
        <v>684</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458</v>
      </c>
      <c r="D13" s="10" t="s">
        <v>584</v>
      </c>
      <c r="E13" s="10" t="s">
        <v>609</v>
      </c>
      <c r="F13" s="0" t="n">
        <v>28</v>
      </c>
      <c r="G13" s="10" t="s">
        <v>682</v>
      </c>
      <c r="H13" s="10" t="s">
        <v>691</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458</v>
      </c>
      <c r="D14" s="10" t="s">
        <v>586</v>
      </c>
      <c r="E14" s="10" t="s">
        <v>681</v>
      </c>
      <c r="F14" s="0" t="n">
        <v>70</v>
      </c>
      <c r="G14" s="10" t="s">
        <v>682</v>
      </c>
      <c r="H14" s="10" t="s">
        <v>692</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458</v>
      </c>
      <c r="D15" s="10" t="s">
        <v>586</v>
      </c>
      <c r="E15" s="10" t="s">
        <v>608</v>
      </c>
      <c r="F15" s="0" t="n">
        <v>22</v>
      </c>
      <c r="G15" s="10" t="s">
        <v>684</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458</v>
      </c>
      <c r="D16" s="10" t="s">
        <v>586</v>
      </c>
      <c r="E16" s="10" t="s">
        <v>609</v>
      </c>
      <c r="F16" s="0" t="n">
        <v>8</v>
      </c>
      <c r="G16" s="10" t="s">
        <v>682</v>
      </c>
      <c r="H16" s="10" t="s">
        <v>693</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484</v>
      </c>
      <c r="D17" s="10" t="s">
        <v>576</v>
      </c>
      <c r="E17" s="10" t="s">
        <v>681</v>
      </c>
      <c r="F17" s="0" t="n">
        <v>40</v>
      </c>
      <c r="G17" s="10" t="s">
        <v>682</v>
      </c>
      <c r="H17" s="10" t="s">
        <v>694</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484</v>
      </c>
      <c r="D18" s="10" t="s">
        <v>576</v>
      </c>
      <c r="E18" s="10" t="s">
        <v>608</v>
      </c>
      <c r="F18" s="0" t="n">
        <v>14</v>
      </c>
      <c r="G18" s="10" t="s">
        <v>684</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484</v>
      </c>
      <c r="D19" s="10" t="s">
        <v>576</v>
      </c>
      <c r="E19" s="10" t="s">
        <v>609</v>
      </c>
      <c r="F19" s="0" t="n">
        <v>3</v>
      </c>
      <c r="G19" s="10" t="s">
        <v>661</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484</v>
      </c>
      <c r="D20" s="10" t="s">
        <v>579</v>
      </c>
      <c r="E20" s="10" t="s">
        <v>681</v>
      </c>
      <c r="F20" s="0" t="n">
        <v>40</v>
      </c>
      <c r="G20" s="10" t="s">
        <v>682</v>
      </c>
      <c r="H20" s="10" t="s">
        <v>695</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484</v>
      </c>
      <c r="D21" s="10" t="s">
        <v>579</v>
      </c>
      <c r="E21" s="10" t="s">
        <v>608</v>
      </c>
      <c r="F21" s="0" t="n">
        <v>16</v>
      </c>
      <c r="G21" s="10" t="s">
        <v>684</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484</v>
      </c>
      <c r="D22" s="10" t="s">
        <v>579</v>
      </c>
      <c r="E22" s="10" t="s">
        <v>609</v>
      </c>
      <c r="F22" s="0" t="n">
        <v>4</v>
      </c>
      <c r="G22" s="10" t="s">
        <v>661</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484</v>
      </c>
      <c r="D23" s="10" t="s">
        <v>581</v>
      </c>
      <c r="E23" s="10" t="s">
        <v>681</v>
      </c>
      <c r="F23" s="0" t="n">
        <v>50</v>
      </c>
      <c r="G23" s="10" t="s">
        <v>682</v>
      </c>
      <c r="H23" s="10" t="s">
        <v>696</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484</v>
      </c>
      <c r="D24" s="10" t="s">
        <v>581</v>
      </c>
      <c r="E24" s="10" t="s">
        <v>608</v>
      </c>
      <c r="F24" s="0" t="n">
        <v>3</v>
      </c>
      <c r="G24" s="10" t="s">
        <v>684</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484</v>
      </c>
      <c r="D25" s="10" t="s">
        <v>581</v>
      </c>
      <c r="E25" s="10" t="s">
        <v>609</v>
      </c>
      <c r="F25" s="0" t="n">
        <v>6</v>
      </c>
      <c r="G25" s="10" t="s">
        <v>661</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484</v>
      </c>
      <c r="D26" s="10" t="s">
        <v>584</v>
      </c>
      <c r="E26" s="10" t="s">
        <v>681</v>
      </c>
      <c r="F26" s="0" t="n">
        <v>50</v>
      </c>
      <c r="G26" s="10" t="s">
        <v>682</v>
      </c>
      <c r="H26" s="10" t="s">
        <v>697</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484</v>
      </c>
      <c r="D27" s="10" t="s">
        <v>584</v>
      </c>
      <c r="E27" s="10" t="s">
        <v>608</v>
      </c>
      <c r="F27" s="0" t="n">
        <v>28</v>
      </c>
      <c r="G27" s="10" t="s">
        <v>684</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484</v>
      </c>
      <c r="D28" s="10" t="s">
        <v>584</v>
      </c>
      <c r="E28" s="10" t="s">
        <v>609</v>
      </c>
      <c r="F28" s="0" t="n">
        <v>2</v>
      </c>
      <c r="G28" s="10" t="s">
        <v>661</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484</v>
      </c>
      <c r="D29" s="10" t="s">
        <v>586</v>
      </c>
      <c r="E29" s="10" t="s">
        <v>681</v>
      </c>
      <c r="F29" s="0" t="n">
        <v>70</v>
      </c>
      <c r="G29" s="10" t="s">
        <v>682</v>
      </c>
      <c r="H29" s="10" t="s">
        <v>698</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484</v>
      </c>
      <c r="D30" s="10" t="s">
        <v>586</v>
      </c>
      <c r="E30" s="10" t="s">
        <v>608</v>
      </c>
      <c r="F30" s="0" t="n">
        <v>25</v>
      </c>
      <c r="G30" s="10" t="s">
        <v>684</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484</v>
      </c>
      <c r="D31" s="10" t="s">
        <v>586</v>
      </c>
      <c r="E31" s="10" t="s">
        <v>609</v>
      </c>
      <c r="F31" s="0" t="n">
        <v>3</v>
      </c>
      <c r="G31" s="10" t="s">
        <v>661</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c r="B32" s="38"/>
      <c r="E32" s="10"/>
      <c r="G32" s="10"/>
      <c r="J32" s="30" t="str">
        <f aca="false">IF(OR($C32="",$A32=""),"",IF($A32&lt;IFERROR(IF(INDEX(campaigns!$BG$2:$BG$51,MATCH($C32,campaigns!$A$2:$A$51,0))="","",INDEX(campaigns!$BG$2:$BG$51,MATCH($C32,campaigns!$A$2:$A$51,0))),""),0,NETWORKDAYS(IFERROR(IF(INDEX(campaigns!$BG$2:$BG$51,MATCH($C32,campaigns!$A$2:$A$51,0))="","",INDEX(campaigns!$BG$2:$BG$51,MATCH($C32,campaigns!$A$2:$A$51,0))),""),$A32,calendar!$A$2:$A$80)))</f>
        <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c r="B33" s="38"/>
      <c r="E33" s="10"/>
      <c r="G33" s="10"/>
      <c r="J33" s="30" t="str">
        <f aca="false">IF(OR($C33="",$A33=""),"",IF($A33&lt;IFERROR(IF(INDEX(campaigns!$BG$2:$BG$51,MATCH($C33,campaigns!$A$2:$A$51,0))="","",INDEX(campaigns!$BG$2:$BG$51,MATCH($C33,campaigns!$A$2:$A$51,0))),""),0,NETWORKDAYS(IFERROR(IF(INDEX(campaigns!$BG$2:$BG$51,MATCH($C33,campaigns!$A$2:$A$51,0))="","",INDEX(campaigns!$BG$2:$BG$51,MATCH($C33,campaigns!$A$2:$A$51,0))),""),$A33,calendar!$A$2:$A$80)))</f>
        <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c r="B34" s="38"/>
      <c r="E34" s="10"/>
      <c r="G34" s="10"/>
      <c r="J34" s="30" t="str">
        <f aca="false">IF(OR($C34="",$A34=""),"",IF($A34&lt;IFERROR(IF(INDEX(campaigns!$BG$2:$BG$51,MATCH($C34,campaigns!$A$2:$A$51,0))="","",INDEX(campaigns!$BG$2:$BG$51,MATCH($C34,campaigns!$A$2:$A$51,0))),""),0,NETWORKDAYS(IFERROR(IF(INDEX(campaigns!$BG$2:$BG$51,MATCH($C34,campaigns!$A$2:$A$51,0))="","",INDEX(campaigns!$BG$2:$BG$51,MATCH($C34,campaigns!$A$2:$A$51,0))),""),$A34,calendar!$A$2:$A$80)))</f>
        <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c r="B35" s="38"/>
      <c r="E35" s="10"/>
      <c r="G35" s="10"/>
      <c r="J35" s="30" t="str">
        <f aca="false">IF(OR($C35="",$A35=""),"",IF($A35&lt;IFERROR(IF(INDEX(campaigns!$BG$2:$BG$51,MATCH($C35,campaigns!$A$2:$A$51,0))="","",INDEX(campaigns!$BG$2:$BG$51,MATCH($C35,campaigns!$A$2:$A$51,0))),""),0,NETWORKDAYS(IFERROR(IF(INDEX(campaigns!$BG$2:$BG$51,MATCH($C35,campaigns!$A$2:$A$51,0))="","",INDEX(campaigns!$BG$2:$BG$51,MATCH($C35,campaigns!$A$2:$A$51,0))),""),$A35,calendar!$A$2:$A$80)))</f>
        <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c r="B36" s="38"/>
      <c r="E36" s="10"/>
      <c r="G36" s="10"/>
      <c r="J36" s="30" t="str">
        <f aca="false">IF(OR($C36="",$A36=""),"",IF($A36&lt;IFERROR(IF(INDEX(campaigns!$BG$2:$BG$51,MATCH($C36,campaigns!$A$2:$A$51,0))="","",INDEX(campaigns!$BG$2:$BG$51,MATCH($C36,campaigns!$A$2:$A$51,0))),""),0,NETWORKDAYS(IFERROR(IF(INDEX(campaigns!$BG$2:$BG$51,MATCH($C36,campaigns!$A$2:$A$51,0))="","",INDEX(campaigns!$BG$2:$BG$51,MATCH($C36,campaigns!$A$2:$A$51,0))),""),$A36,calendar!$A$2:$A$80)))</f>
        <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c r="B37" s="38"/>
      <c r="E37" s="10"/>
      <c r="G37" s="10"/>
      <c r="J37" s="30" t="str">
        <f aca="false">IF(OR($C37="",$A37=""),"",IF($A37&lt;IFERROR(IF(INDEX(campaigns!$BG$2:$BG$51,MATCH($C37,campaigns!$A$2:$A$51,0))="","",INDEX(campaigns!$BG$2:$BG$51,MATCH($C37,campaigns!$A$2:$A$51,0))),""),0,NETWORKDAYS(IFERROR(IF(INDEX(campaigns!$BG$2:$BG$51,MATCH($C37,campaigns!$A$2:$A$51,0))="","",INDEX(campaigns!$BG$2:$BG$51,MATCH($C37,campaigns!$A$2:$A$51,0))),""),$A37,calendar!$A$2:$A$80)))</f>
        <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c r="B38" s="38"/>
      <c r="E38" s="10"/>
      <c r="G38" s="10"/>
      <c r="J38" s="30" t="str">
        <f aca="false">IF(OR($C38="",$A38=""),"",IF($A38&lt;IFERROR(IF(INDEX(campaigns!$BG$2:$BG$51,MATCH($C38,campaigns!$A$2:$A$51,0))="","",INDEX(campaigns!$BG$2:$BG$51,MATCH($C38,campaigns!$A$2:$A$51,0))),""),0,NETWORKDAYS(IFERROR(IF(INDEX(campaigns!$BG$2:$BG$51,MATCH($C38,campaigns!$A$2:$A$51,0))="","",INDEX(campaigns!$BG$2:$BG$51,MATCH($C38,campaigns!$A$2:$A$51,0))),""),$A38,calendar!$A$2:$A$80)))</f>
        <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c r="B39" s="38"/>
      <c r="E39" s="10"/>
      <c r="G39" s="10"/>
      <c r="J39" s="30" t="str">
        <f aca="false">IF(OR($C39="",$A39=""),"",IF($A39&lt;IFERROR(IF(INDEX(campaigns!$BG$2:$BG$51,MATCH($C39,campaigns!$A$2:$A$51,0))="","",INDEX(campaigns!$BG$2:$BG$51,MATCH($C39,campaigns!$A$2:$A$51,0))),""),0,NETWORKDAYS(IFERROR(IF(INDEX(campaigns!$BG$2:$BG$51,MATCH($C39,campaigns!$A$2:$A$51,0))="","",INDEX(campaigns!$BG$2:$BG$51,MATCH($C39,campaigns!$A$2:$A$51,0))),""),$A39,calendar!$A$2:$A$80)))</f>
        <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c r="B40" s="38"/>
      <c r="E40" s="10"/>
      <c r="G40" s="10"/>
      <c r="J40" s="30" t="str">
        <f aca="false">IF(OR($C40="",$A40=""),"",IF($A40&lt;IFERROR(IF(INDEX(campaigns!$BG$2:$BG$51,MATCH($C40,campaigns!$A$2:$A$51,0))="","",INDEX(campaigns!$BG$2:$BG$51,MATCH($C40,campaigns!$A$2:$A$51,0))),""),0,NETWORKDAYS(IFERROR(IF(INDEX(campaigns!$BG$2:$BG$51,MATCH($C40,campaigns!$A$2:$A$51,0))="","",INDEX(campaigns!$BG$2:$BG$51,MATCH($C40,campaigns!$A$2:$A$51,0))),""),$A40,calendar!$A$2:$A$80)))</f>
        <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c r="B41" s="38"/>
      <c r="E41" s="10"/>
      <c r="G41" s="10"/>
      <c r="J41" s="30" t="str">
        <f aca="false">IF(OR($C41="",$A41=""),"",IF($A41&lt;IFERROR(IF(INDEX(campaigns!$BG$2:$BG$51,MATCH($C41,campaigns!$A$2:$A$51,0))="","",INDEX(campaigns!$BG$2:$BG$51,MATCH($C41,campaigns!$A$2:$A$51,0))),""),0,NETWORKDAYS(IFERROR(IF(INDEX(campaigns!$BG$2:$BG$51,MATCH($C41,campaigns!$A$2:$A$51,0))="","",INDEX(campaigns!$BG$2:$BG$51,MATCH($C41,campaigns!$A$2:$A$51,0))),""),$A41,calendar!$A$2:$A$80)))</f>
        <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c r="B42" s="38"/>
      <c r="E42" s="10"/>
      <c r="G42" s="10"/>
      <c r="J42" s="30" t="str">
        <f aca="false">IF(OR($C42="",$A42=""),"",IF($A42&lt;IFERROR(IF(INDEX(campaigns!$BG$2:$BG$51,MATCH($C42,campaigns!$A$2:$A$51,0))="","",INDEX(campaigns!$BG$2:$BG$51,MATCH($C42,campaigns!$A$2:$A$51,0))),""),0,NETWORKDAYS(IFERROR(IF(INDEX(campaigns!$BG$2:$BG$51,MATCH($C42,campaigns!$A$2:$A$51,0))="","",INDEX(campaigns!$BG$2:$BG$51,MATCH($C42,campaigns!$A$2:$A$51,0))),""),$A42,calendar!$A$2:$A$80)))</f>
        <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c r="B43" s="38"/>
      <c r="E43" s="10"/>
      <c r="G43" s="10"/>
      <c r="J43" s="30" t="str">
        <f aca="false">IF(OR($C43="",$A43=""),"",IF($A43&lt;IFERROR(IF(INDEX(campaigns!$BG$2:$BG$51,MATCH($C43,campaigns!$A$2:$A$51,0))="","",INDEX(campaigns!$BG$2:$BG$51,MATCH($C43,campaigns!$A$2:$A$51,0))),""),0,NETWORKDAYS(IFERROR(IF(INDEX(campaigns!$BG$2:$BG$51,MATCH($C43,campaigns!$A$2:$A$51,0))="","",INDEX(campaigns!$BG$2:$BG$51,MATCH($C43,campaigns!$A$2:$A$51,0))),""),$A43,calendar!$A$2:$A$80)))</f>
        <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c r="B44" s="38"/>
      <c r="E44" s="10"/>
      <c r="G44" s="10"/>
      <c r="J44" s="30" t="str">
        <f aca="false">IF(OR($C44="",$A44=""),"",IF($A44&lt;IFERROR(IF(INDEX(campaigns!$BG$2:$BG$51,MATCH($C44,campaigns!$A$2:$A$51,0))="","",INDEX(campaigns!$BG$2:$BG$51,MATCH($C44,campaigns!$A$2:$A$51,0))),""),0,NETWORKDAYS(IFERROR(IF(INDEX(campaigns!$BG$2:$BG$51,MATCH($C44,campaigns!$A$2:$A$51,0))="","",INDEX(campaigns!$BG$2:$BG$51,MATCH($C44,campaigns!$A$2:$A$51,0))),""),$A44,calendar!$A$2:$A$80)))</f>
        <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c r="B45" s="38"/>
      <c r="E45" s="10"/>
      <c r="G45" s="10"/>
      <c r="J45" s="30" t="str">
        <f aca="false">IF(OR($C45="",$A45=""),"",IF($A45&lt;IFERROR(IF(INDEX(campaigns!$BG$2:$BG$51,MATCH($C45,campaigns!$A$2:$A$51,0))="","",INDEX(campaigns!$BG$2:$BG$51,MATCH($C45,campaigns!$A$2:$A$51,0))),""),0,NETWORKDAYS(IFERROR(IF(INDEX(campaigns!$BG$2:$BG$51,MATCH($C45,campaigns!$A$2:$A$51,0))="","",INDEX(campaigns!$BG$2:$BG$51,MATCH($C45,campaigns!$A$2:$A$51,0))),""),$A45,calendar!$A$2:$A$80)))</f>
        <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c r="B46" s="38"/>
      <c r="E46" s="10"/>
      <c r="G46" s="10"/>
      <c r="J46" s="30" t="str">
        <f aca="false">IF(OR($C46="",$A46=""),"",IF($A46&lt;IFERROR(IF(INDEX(campaigns!$BG$2:$BG$51,MATCH($C46,campaigns!$A$2:$A$51,0))="","",INDEX(campaigns!$BG$2:$BG$51,MATCH($C46,campaigns!$A$2:$A$51,0))),""),0,NETWORKDAYS(IFERROR(IF(INDEX(campaigns!$BG$2:$BG$51,MATCH($C46,campaigns!$A$2:$A$51,0))="","",INDEX(campaigns!$BG$2:$BG$51,MATCH($C46,campaigns!$A$2:$A$51,0))),""),$A46,calendar!$A$2:$A$80)))</f>
        <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c r="B47" s="38"/>
      <c r="E47" s="10"/>
      <c r="G47" s="10"/>
      <c r="J47" s="30" t="str">
        <f aca="false">IF(OR($C47="",$A47=""),"",IF($A47&lt;IFERROR(IF(INDEX(campaigns!$BG$2:$BG$51,MATCH($C47,campaigns!$A$2:$A$51,0))="","",INDEX(campaigns!$BG$2:$BG$51,MATCH($C47,campaigns!$A$2:$A$51,0))),""),0,NETWORKDAYS(IFERROR(IF(INDEX(campaigns!$BG$2:$BG$51,MATCH($C47,campaigns!$A$2:$A$51,0))="","",INDEX(campaigns!$BG$2:$BG$51,MATCH($C47,campaigns!$A$2:$A$51,0))),""),$A47,calendar!$A$2:$A$80)))</f>
        <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c r="B48" s="38"/>
      <c r="E48" s="10"/>
      <c r="G48" s="10"/>
      <c r="J48" s="30" t="str">
        <f aca="false">IF(OR($C48="",$A48=""),"",IF($A48&lt;IFERROR(IF(INDEX(campaigns!$BG$2:$BG$51,MATCH($C48,campaigns!$A$2:$A$51,0))="","",INDEX(campaigns!$BG$2:$BG$51,MATCH($C48,campaigns!$A$2:$A$51,0))),""),0,NETWORKDAYS(IFERROR(IF(INDEX(campaigns!$BG$2:$BG$51,MATCH($C48,campaigns!$A$2:$A$51,0))="","",INDEX(campaigns!$BG$2:$BG$51,MATCH($C48,campaigns!$A$2:$A$51,0))),""),$A48,calendar!$A$2:$A$80)))</f>
        <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c r="B49" s="38"/>
      <c r="E49" s="10"/>
      <c r="G49" s="10"/>
      <c r="J49" s="30" t="str">
        <f aca="false">IF(OR($C49="",$A49=""),"",IF($A49&lt;IFERROR(IF(INDEX(campaigns!$BG$2:$BG$51,MATCH($C49,campaigns!$A$2:$A$51,0))="","",INDEX(campaigns!$BG$2:$BG$51,MATCH($C49,campaigns!$A$2:$A$51,0))),""),0,NETWORKDAYS(IFERROR(IF(INDEX(campaigns!$BG$2:$BG$51,MATCH($C49,campaigns!$A$2:$A$51,0))="","",INDEX(campaigns!$BG$2:$BG$51,MATCH($C49,campaigns!$A$2:$A$51,0))),""),$A49,calendar!$A$2:$A$80)))</f>
        <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c r="B50" s="38"/>
      <c r="E50" s="10"/>
      <c r="G50" s="10"/>
      <c r="J50" s="30" t="str">
        <f aca="false">IF(OR($C50="",$A50=""),"",IF($A50&lt;IFERROR(IF(INDEX(campaigns!$BG$2:$BG$51,MATCH($C50,campaigns!$A$2:$A$51,0))="","",INDEX(campaigns!$BG$2:$BG$51,MATCH($C50,campaigns!$A$2:$A$51,0))),""),0,NETWORKDAYS(IFERROR(IF(INDEX(campaigns!$BG$2:$BG$51,MATCH($C50,campaigns!$A$2:$A$51,0))="","",INDEX(campaigns!$BG$2:$BG$51,MATCH($C50,campaigns!$A$2:$A$51,0))),""),$A50,calendar!$A$2:$A$80)))</f>
        <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c r="B51" s="38"/>
      <c r="E51" s="10"/>
      <c r="G51" s="10"/>
      <c r="J51" s="30" t="str">
        <f aca="false">IF(OR($C51="",$A51=""),"",IF($A51&lt;IFERROR(IF(INDEX(campaigns!$BG$2:$BG$51,MATCH($C51,campaigns!$A$2:$A$51,0))="","",INDEX(campaigns!$BG$2:$BG$51,MATCH($C51,campaigns!$A$2:$A$51,0))),""),0,NETWORKDAYS(IFERROR(IF(INDEX(campaigns!$BG$2:$BG$51,MATCH($C51,campaigns!$A$2:$A$51,0))="","",INDEX(campaigns!$BG$2:$BG$51,MATCH($C51,campaigns!$A$2:$A$51,0))),""),$A51,calendar!$A$2:$A$80)))</f>
        <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c r="B52" s="38"/>
      <c r="E52" s="10"/>
      <c r="G52" s="10"/>
      <c r="J52" s="30" t="str">
        <f aca="false">IF(OR($C52="",$A52=""),"",IF($A52&lt;IFERROR(IF(INDEX(campaigns!$BG$2:$BG$51,MATCH($C52,campaigns!$A$2:$A$51,0))="","",INDEX(campaigns!$BG$2:$BG$51,MATCH($C52,campaigns!$A$2:$A$51,0))),""),0,NETWORKDAYS(IFERROR(IF(INDEX(campaigns!$BG$2:$BG$51,MATCH($C52,campaigns!$A$2:$A$51,0))="","",INDEX(campaigns!$BG$2:$BG$51,MATCH($C52,campaigns!$A$2:$A$51,0))),""),$A52,calendar!$A$2:$A$80)))</f>
        <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c r="B53" s="38"/>
      <c r="E53" s="10"/>
      <c r="G53" s="10"/>
      <c r="J53" s="30" t="str">
        <f aca="false">IF(OR($C53="",$A53=""),"",IF($A53&lt;IFERROR(IF(INDEX(campaigns!$BG$2:$BG$51,MATCH($C53,campaigns!$A$2:$A$51,0))="","",INDEX(campaigns!$BG$2:$BG$51,MATCH($C53,campaigns!$A$2:$A$51,0))),""),0,NETWORKDAYS(IFERROR(IF(INDEX(campaigns!$BG$2:$BG$51,MATCH($C53,campaigns!$A$2:$A$51,0))="","",INDEX(campaigns!$BG$2:$BG$51,MATCH($C53,campaigns!$A$2:$A$51,0))),""),$A53,calendar!$A$2:$A$80)))</f>
        <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c r="B54" s="38"/>
      <c r="E54" s="10"/>
      <c r="G54" s="10"/>
      <c r="J54" s="30" t="str">
        <f aca="false">IF(OR($C54="",$A54=""),"",IF($A54&lt;IFERROR(IF(INDEX(campaigns!$BG$2:$BG$51,MATCH($C54,campaigns!$A$2:$A$51,0))="","",INDEX(campaigns!$BG$2:$BG$51,MATCH($C54,campaigns!$A$2:$A$51,0))),""),0,NETWORKDAYS(IFERROR(IF(INDEX(campaigns!$BG$2:$BG$51,MATCH($C54,campaigns!$A$2:$A$51,0))="","",INDEX(campaigns!$BG$2:$BG$51,MATCH($C54,campaigns!$A$2:$A$51,0))),""),$A54,calendar!$A$2:$A$80)))</f>
        <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c r="B55" s="38"/>
      <c r="E55" s="10"/>
      <c r="G55" s="10"/>
      <c r="J55" s="30" t="str">
        <f aca="false">IF(OR($C55="",$A55=""),"",IF($A55&lt;IFERROR(IF(INDEX(campaigns!$BG$2:$BG$51,MATCH($C55,campaigns!$A$2:$A$51,0))="","",INDEX(campaigns!$BG$2:$BG$51,MATCH($C55,campaigns!$A$2:$A$51,0))),""),0,NETWORKDAYS(IFERROR(IF(INDEX(campaigns!$BG$2:$BG$51,MATCH($C55,campaigns!$A$2:$A$51,0))="","",INDEX(campaigns!$BG$2:$BG$51,MATCH($C55,campaigns!$A$2:$A$51,0))),""),$A55,calendar!$A$2:$A$80)))</f>
        <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c r="B56" s="38"/>
      <c r="E56" s="10"/>
      <c r="G56" s="10"/>
      <c r="J56" s="30" t="str">
        <f aca="false">IF(OR($C56="",$A56=""),"",IF($A56&lt;IFERROR(IF(INDEX(campaigns!$BG$2:$BG$51,MATCH($C56,campaigns!$A$2:$A$51,0))="","",INDEX(campaigns!$BG$2:$BG$51,MATCH($C56,campaigns!$A$2:$A$51,0))),""),0,NETWORKDAYS(IFERROR(IF(INDEX(campaigns!$BG$2:$BG$51,MATCH($C56,campaigns!$A$2:$A$51,0))="","",INDEX(campaigns!$BG$2:$BG$51,MATCH($C56,campaigns!$A$2:$A$51,0))),""),$A56,calendar!$A$2:$A$80)))</f>
        <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c r="B57" s="38"/>
      <c r="E57" s="10"/>
      <c r="G57" s="10"/>
      <c r="J57" s="30" t="str">
        <f aca="false">IF(OR($C57="",$A57=""),"",IF($A57&lt;IFERROR(IF(INDEX(campaigns!$BG$2:$BG$51,MATCH($C57,campaigns!$A$2:$A$51,0))="","",INDEX(campaigns!$BG$2:$BG$51,MATCH($C57,campaigns!$A$2:$A$51,0))),""),0,NETWORKDAYS(IFERROR(IF(INDEX(campaigns!$BG$2:$BG$51,MATCH($C57,campaigns!$A$2:$A$51,0))="","",INDEX(campaigns!$BG$2:$BG$51,MATCH($C57,campaigns!$A$2:$A$51,0))),""),$A57,calendar!$A$2:$A$80)))</f>
        <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c r="B58" s="38"/>
      <c r="E58" s="10"/>
      <c r="G58" s="10"/>
      <c r="J58" s="30" t="str">
        <f aca="false">IF(OR($C58="",$A58=""),"",IF($A58&lt;IFERROR(IF(INDEX(campaigns!$BG$2:$BG$51,MATCH($C58,campaigns!$A$2:$A$51,0))="","",INDEX(campaigns!$BG$2:$BG$51,MATCH($C58,campaigns!$A$2:$A$51,0))),""),0,NETWORKDAYS(IFERROR(IF(INDEX(campaigns!$BG$2:$BG$51,MATCH($C58,campaigns!$A$2:$A$51,0))="","",INDEX(campaigns!$BG$2:$BG$51,MATCH($C58,campaigns!$A$2:$A$51,0))),""),$A58,calendar!$A$2:$A$80)))</f>
        <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c r="B59" s="38"/>
      <c r="E59" s="10"/>
      <c r="G59" s="10"/>
      <c r="J59" s="30" t="str">
        <f aca="false">IF(OR($C59="",$A59=""),"",IF($A59&lt;IFERROR(IF(INDEX(campaigns!$BG$2:$BG$51,MATCH($C59,campaigns!$A$2:$A$51,0))="","",INDEX(campaigns!$BG$2:$BG$51,MATCH($C59,campaigns!$A$2:$A$51,0))),""),0,NETWORKDAYS(IFERROR(IF(INDEX(campaigns!$BG$2:$BG$51,MATCH($C59,campaigns!$A$2:$A$51,0))="","",INDEX(campaigns!$BG$2:$BG$51,MATCH($C59,campaigns!$A$2:$A$51,0))),""),$A59,calendar!$A$2:$A$80)))</f>
        <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c r="B60" s="38"/>
      <c r="E60" s="10"/>
      <c r="G60" s="10"/>
      <c r="J60" s="30" t="str">
        <f aca="false">IF(OR($C60="",$A60=""),"",IF($A60&lt;IFERROR(IF(INDEX(campaigns!$BG$2:$BG$51,MATCH($C60,campaigns!$A$2:$A$51,0))="","",INDEX(campaigns!$BG$2:$BG$51,MATCH($C60,campaigns!$A$2:$A$51,0))),""),0,NETWORKDAYS(IFERROR(IF(INDEX(campaigns!$BG$2:$BG$51,MATCH($C60,campaigns!$A$2:$A$51,0))="","",INDEX(campaigns!$BG$2:$BG$51,MATCH($C60,campaigns!$A$2:$A$51,0))),""),$A60,calendar!$A$2:$A$80)))</f>
        <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c r="B61" s="38"/>
      <c r="E61" s="10"/>
      <c r="G61" s="10"/>
      <c r="J61" s="30" t="str">
        <f aca="false">IF(OR($C61="",$A61=""),"",IF($A61&lt;IFERROR(IF(INDEX(campaigns!$BG$2:$BG$51,MATCH($C61,campaigns!$A$2:$A$51,0))="","",INDEX(campaigns!$BG$2:$BG$51,MATCH($C61,campaigns!$A$2:$A$51,0))),""),0,NETWORKDAYS(IFERROR(IF(INDEX(campaigns!$BG$2:$BG$51,MATCH($C61,campaigns!$A$2:$A$51,0))="","",INDEX(campaigns!$BG$2:$BG$51,MATCH($C61,campaigns!$A$2:$A$51,0))),""),$A61,calendar!$A$2:$A$80)))</f>
        <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c r="B62" s="38"/>
      <c r="E62" s="10"/>
      <c r="G62" s="10"/>
      <c r="J62" s="30" t="str">
        <f aca="false">IF(OR($C62="",$A62=""),"",IF($A62&lt;IFERROR(IF(INDEX(campaigns!$BG$2:$BG$51,MATCH($C62,campaigns!$A$2:$A$51,0))="","",INDEX(campaigns!$BG$2:$BG$51,MATCH($C62,campaigns!$A$2:$A$51,0))),""),0,NETWORKDAYS(IFERROR(IF(INDEX(campaigns!$BG$2:$BG$51,MATCH($C62,campaigns!$A$2:$A$51,0))="","",INDEX(campaigns!$BG$2:$BG$51,MATCH($C62,campaigns!$A$2:$A$51,0))),""),$A62,calendar!$A$2:$A$80)))</f>
        <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c r="B63" s="38"/>
      <c r="E63" s="10"/>
      <c r="G63" s="10"/>
      <c r="J63" s="30" t="str">
        <f aca="false">IF(OR($C63="",$A63=""),"",IF($A63&lt;IFERROR(IF(INDEX(campaigns!$BG$2:$BG$51,MATCH($C63,campaigns!$A$2:$A$51,0))="","",INDEX(campaigns!$BG$2:$BG$51,MATCH($C63,campaigns!$A$2:$A$51,0))),""),0,NETWORKDAYS(IFERROR(IF(INDEX(campaigns!$BG$2:$BG$51,MATCH($C63,campaigns!$A$2:$A$51,0))="","",INDEX(campaigns!$BG$2:$BG$51,MATCH($C63,campaigns!$A$2:$A$51,0))),""),$A63,calendar!$A$2:$A$80)))</f>
        <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c r="B64" s="38"/>
      <c r="E64" s="10"/>
      <c r="G64" s="10"/>
      <c r="J64" s="30" t="str">
        <f aca="false">IF(OR($C64="",$A64=""),"",IF($A64&lt;IFERROR(IF(INDEX(campaigns!$BG$2:$BG$51,MATCH($C64,campaigns!$A$2:$A$51,0))="","",INDEX(campaigns!$BG$2:$BG$51,MATCH($C64,campaigns!$A$2:$A$51,0))),""),0,NETWORKDAYS(IFERROR(IF(INDEX(campaigns!$BG$2:$BG$51,MATCH($C64,campaigns!$A$2:$A$51,0))="","",INDEX(campaigns!$BG$2:$BG$51,MATCH($C64,campaigns!$A$2:$A$51,0))),""),$A64,calendar!$A$2:$A$80)))</f>
        <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c r="B65" s="38"/>
      <c r="E65" s="10"/>
      <c r="G65" s="10"/>
      <c r="J65" s="30" t="str">
        <f aca="false">IF(OR($C65="",$A65=""),"",IF($A65&lt;IFERROR(IF(INDEX(campaigns!$BG$2:$BG$51,MATCH($C65,campaigns!$A$2:$A$51,0))="","",INDEX(campaigns!$BG$2:$BG$51,MATCH($C65,campaigns!$A$2:$A$51,0))),""),0,NETWORKDAYS(IFERROR(IF(INDEX(campaigns!$BG$2:$BG$51,MATCH($C65,campaigns!$A$2:$A$51,0))="","",INDEX(campaigns!$BG$2:$BG$51,MATCH($C65,campaigns!$A$2:$A$51,0))),""),$A65,calendar!$A$2:$A$80)))</f>
        <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c r="B66" s="38"/>
      <c r="E66" s="10"/>
      <c r="G66" s="10"/>
      <c r="J66" s="30" t="str">
        <f aca="false">IF(OR($C66="",$A66=""),"",IF($A66&lt;IFERROR(IF(INDEX(campaigns!$BG$2:$BG$51,MATCH($C66,campaigns!$A$2:$A$51,0))="","",INDEX(campaigns!$BG$2:$BG$51,MATCH($C66,campaigns!$A$2:$A$51,0))),""),0,NETWORKDAYS(IFERROR(IF(INDEX(campaigns!$BG$2:$BG$51,MATCH($C66,campaigns!$A$2:$A$51,0))="","",INDEX(campaigns!$BG$2:$BG$51,MATCH($C66,campaigns!$A$2:$A$51,0))),""),$A66,calendar!$A$2:$A$80)))</f>
        <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c r="B67" s="38"/>
      <c r="E67" s="10"/>
      <c r="G67" s="10"/>
      <c r="J67" s="30" t="str">
        <f aca="false">IF(OR($C67="",$A67=""),"",IF($A67&lt;IFERROR(IF(INDEX(campaigns!$BG$2:$BG$51,MATCH($C67,campaigns!$A$2:$A$51,0))="","",INDEX(campaigns!$BG$2:$BG$51,MATCH($C67,campaigns!$A$2:$A$51,0))),""),0,NETWORKDAYS(IFERROR(IF(INDEX(campaigns!$BG$2:$BG$51,MATCH($C67,campaigns!$A$2:$A$51,0))="","",INDEX(campaigns!$BG$2:$BG$51,MATCH($C67,campaigns!$A$2:$A$51,0))),""),$A67,calendar!$A$2:$A$80)))</f>
        <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c r="B68" s="38"/>
      <c r="E68" s="10"/>
      <c r="G68" s="10"/>
      <c r="J68" s="30" t="str">
        <f aca="false">IF(OR($C68="",$A68=""),"",IF($A68&lt;IFERROR(IF(INDEX(campaigns!$BG$2:$BG$51,MATCH($C68,campaigns!$A$2:$A$51,0))="","",INDEX(campaigns!$BG$2:$BG$51,MATCH($C68,campaigns!$A$2:$A$51,0))),""),0,NETWORKDAYS(IFERROR(IF(INDEX(campaigns!$BG$2:$BG$51,MATCH($C68,campaigns!$A$2:$A$51,0))="","",INDEX(campaigns!$BG$2:$BG$51,MATCH($C68,campaigns!$A$2:$A$51,0))),""),$A68,calendar!$A$2:$A$80)))</f>
        <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c r="B69" s="38"/>
      <c r="E69" s="10"/>
      <c r="G69" s="10"/>
      <c r="J69" s="30" t="str">
        <f aca="false">IF(OR($C69="",$A69=""),"",IF($A69&lt;IFERROR(IF(INDEX(campaigns!$BG$2:$BG$51,MATCH($C69,campaigns!$A$2:$A$51,0))="","",INDEX(campaigns!$BG$2:$BG$51,MATCH($C69,campaigns!$A$2:$A$51,0))),""),0,NETWORKDAYS(IFERROR(IF(INDEX(campaigns!$BG$2:$BG$51,MATCH($C69,campaigns!$A$2:$A$51,0))="","",INDEX(campaigns!$BG$2:$BG$51,MATCH($C69,campaigns!$A$2:$A$51,0))),""),$A69,calendar!$A$2:$A$80)))</f>
        <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c r="B70" s="38"/>
      <c r="E70" s="10"/>
      <c r="G70" s="10"/>
      <c r="J70" s="30" t="str">
        <f aca="false">IF(OR($C70="",$A70=""),"",IF($A70&lt;IFERROR(IF(INDEX(campaigns!$BG$2:$BG$51,MATCH($C70,campaigns!$A$2:$A$51,0))="","",INDEX(campaigns!$BG$2:$BG$51,MATCH($C70,campaigns!$A$2:$A$51,0))),""),0,NETWORKDAYS(IFERROR(IF(INDEX(campaigns!$BG$2:$BG$51,MATCH($C70,campaigns!$A$2:$A$51,0))="","",INDEX(campaigns!$BG$2:$BG$51,MATCH($C70,campaigns!$A$2:$A$51,0))),""),$A70,calendar!$A$2:$A$80)))</f>
        <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c r="B71" s="38"/>
      <c r="E71" s="10"/>
      <c r="G71" s="10"/>
      <c r="J71" s="30" t="str">
        <f aca="false">IF(OR($C71="",$A71=""),"",IF($A71&lt;IFERROR(IF(INDEX(campaigns!$BG$2:$BG$51,MATCH($C71,campaigns!$A$2:$A$51,0))="","",INDEX(campaigns!$BG$2:$BG$51,MATCH($C71,campaigns!$A$2:$A$51,0))),""),0,NETWORKDAYS(IFERROR(IF(INDEX(campaigns!$BG$2:$BG$51,MATCH($C71,campaigns!$A$2:$A$51,0))="","",INDEX(campaigns!$BG$2:$BG$51,MATCH($C71,campaigns!$A$2:$A$51,0))),""),$A71,calendar!$A$2:$A$80)))</f>
        <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c r="B72" s="38"/>
      <c r="E72" s="10"/>
      <c r="G72" s="10"/>
      <c r="J72" s="30" t="str">
        <f aca="false">IF(OR($C72="",$A72=""),"",IF($A72&lt;IFERROR(IF(INDEX(campaigns!$BG$2:$BG$51,MATCH($C72,campaigns!$A$2:$A$51,0))="","",INDEX(campaigns!$BG$2:$BG$51,MATCH($C72,campaigns!$A$2:$A$51,0))),""),0,NETWORKDAYS(IFERROR(IF(INDEX(campaigns!$BG$2:$BG$51,MATCH($C72,campaigns!$A$2:$A$51,0))="","",INDEX(campaigns!$BG$2:$BG$51,MATCH($C72,campaigns!$A$2:$A$51,0))),""),$A72,calendar!$A$2:$A$80)))</f>
        <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c r="B73" s="38"/>
      <c r="E73" s="10"/>
      <c r="G73" s="10"/>
      <c r="J73" s="30" t="str">
        <f aca="false">IF(OR($C73="",$A73=""),"",IF($A73&lt;IFERROR(IF(INDEX(campaigns!$BG$2:$BG$51,MATCH($C73,campaigns!$A$2:$A$51,0))="","",INDEX(campaigns!$BG$2:$BG$51,MATCH($C73,campaigns!$A$2:$A$51,0))),""),0,NETWORKDAYS(IFERROR(IF(INDEX(campaigns!$BG$2:$BG$51,MATCH($C73,campaigns!$A$2:$A$51,0))="","",INDEX(campaigns!$BG$2:$BG$51,MATCH($C73,campaigns!$A$2:$A$51,0))),""),$A73,calendar!$A$2:$A$80)))</f>
        <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c r="B74" s="38"/>
      <c r="E74" s="10"/>
      <c r="G74" s="10"/>
      <c r="J74" s="30" t="str">
        <f aca="false">IF(OR($C74="",$A74=""),"",IF($A74&lt;IFERROR(IF(INDEX(campaigns!$BG$2:$BG$51,MATCH($C74,campaigns!$A$2:$A$51,0))="","",INDEX(campaigns!$BG$2:$BG$51,MATCH($C74,campaigns!$A$2:$A$51,0))),""),0,NETWORKDAYS(IFERROR(IF(INDEX(campaigns!$BG$2:$BG$51,MATCH($C74,campaigns!$A$2:$A$51,0))="","",INDEX(campaigns!$BG$2:$BG$51,MATCH($C74,campaigns!$A$2:$A$51,0))),""),$A74,calendar!$A$2:$A$80)))</f>
        <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c r="B75" s="38"/>
      <c r="E75" s="10"/>
      <c r="G75" s="10"/>
      <c r="J75" s="30" t="str">
        <f aca="false">IF(OR($C75="",$A75=""),"",IF($A75&lt;IFERROR(IF(INDEX(campaigns!$BG$2:$BG$51,MATCH($C75,campaigns!$A$2:$A$51,0))="","",INDEX(campaigns!$BG$2:$BG$51,MATCH($C75,campaigns!$A$2:$A$51,0))),""),0,NETWORKDAYS(IFERROR(IF(INDEX(campaigns!$BG$2:$BG$51,MATCH($C75,campaigns!$A$2:$A$51,0))="","",INDEX(campaigns!$BG$2:$BG$51,MATCH($C75,campaigns!$A$2:$A$51,0))),""),$A75,calendar!$A$2:$A$80)))</f>
        <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c r="B76" s="38"/>
      <c r="E76" s="10"/>
      <c r="G76" s="10"/>
      <c r="J76" s="30" t="str">
        <f aca="false">IF(OR($C76="",$A76=""),"",IF($A76&lt;IFERROR(IF(INDEX(campaigns!$BG$2:$BG$51,MATCH($C76,campaigns!$A$2:$A$51,0))="","",INDEX(campaigns!$BG$2:$BG$51,MATCH($C76,campaigns!$A$2:$A$51,0))),""),0,NETWORKDAYS(IFERROR(IF(INDEX(campaigns!$BG$2:$BG$51,MATCH($C76,campaigns!$A$2:$A$51,0))="","",INDEX(campaigns!$BG$2:$BG$51,MATCH($C76,campaigns!$A$2:$A$51,0))),""),$A76,calendar!$A$2:$A$80)))</f>
        <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c r="B77" s="38"/>
      <c r="E77" s="10"/>
      <c r="G77" s="10"/>
      <c r="J77" s="30" t="str">
        <f aca="false">IF(OR($C77="",$A77=""),"",IF($A77&lt;IFERROR(IF(INDEX(campaigns!$BG$2:$BG$51,MATCH($C77,campaigns!$A$2:$A$51,0))="","",INDEX(campaigns!$BG$2:$BG$51,MATCH($C77,campaigns!$A$2:$A$51,0))),""),0,NETWORKDAYS(IFERROR(IF(INDEX(campaigns!$BG$2:$BG$51,MATCH($C77,campaigns!$A$2:$A$51,0))="","",INDEX(campaigns!$BG$2:$BG$51,MATCH($C77,campaigns!$A$2:$A$51,0))),""),$A77,calendar!$A$2:$A$80)))</f>
        <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c r="B78" s="38"/>
      <c r="E78" s="10"/>
      <c r="G78" s="10"/>
      <c r="J78" s="30" t="str">
        <f aca="false">IF(OR($C78="",$A78=""),"",IF($A78&lt;IFERROR(IF(INDEX(campaigns!$BG$2:$BG$51,MATCH($C78,campaigns!$A$2:$A$51,0))="","",INDEX(campaigns!$BG$2:$BG$51,MATCH($C78,campaigns!$A$2:$A$51,0))),""),0,NETWORKDAYS(IFERROR(IF(INDEX(campaigns!$BG$2:$BG$51,MATCH($C78,campaigns!$A$2:$A$51,0))="","",INDEX(campaigns!$BG$2:$BG$51,MATCH($C78,campaigns!$A$2:$A$51,0))),""),$A78,calendar!$A$2:$A$80)))</f>
        <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c r="B79" s="38"/>
      <c r="E79" s="10"/>
      <c r="G79" s="10"/>
      <c r="J79" s="30" t="str">
        <f aca="false">IF(OR($C79="",$A79=""),"",IF($A79&lt;IFERROR(IF(INDEX(campaigns!$BG$2:$BG$51,MATCH($C79,campaigns!$A$2:$A$51,0))="","",INDEX(campaigns!$BG$2:$BG$51,MATCH($C79,campaigns!$A$2:$A$51,0))),""),0,NETWORKDAYS(IFERROR(IF(INDEX(campaigns!$BG$2:$BG$51,MATCH($C79,campaigns!$A$2:$A$51,0))="","",INDEX(campaigns!$BG$2:$BG$51,MATCH($C79,campaigns!$A$2:$A$51,0))),""),$A79,calendar!$A$2:$A$80)))</f>
        <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c r="B80" s="38"/>
      <c r="E80" s="10"/>
      <c r="G80" s="10"/>
      <c r="J80" s="30" t="str">
        <f aca="false">IF(OR($C80="",$A80=""),"",IF($A80&lt;IFERROR(IF(INDEX(campaigns!$BG$2:$BG$51,MATCH($C80,campaigns!$A$2:$A$51,0))="","",INDEX(campaigns!$BG$2:$BG$51,MATCH($C80,campaigns!$A$2:$A$51,0))),""),0,NETWORKDAYS(IFERROR(IF(INDEX(campaigns!$BG$2:$BG$51,MATCH($C80,campaigns!$A$2:$A$51,0))="","",INDEX(campaigns!$BG$2:$BG$51,MATCH($C80,campaigns!$A$2:$A$51,0))),""),$A80,calendar!$A$2:$A$80)))</f>
        <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c r="B81" s="38"/>
      <c r="E81" s="10"/>
      <c r="G81" s="10"/>
      <c r="J81" s="30" t="str">
        <f aca="false">IF(OR($C81="",$A81=""),"",IF($A81&lt;IFERROR(IF(INDEX(campaigns!$BG$2:$BG$51,MATCH($C81,campaigns!$A$2:$A$51,0))="","",INDEX(campaigns!$BG$2:$BG$51,MATCH($C81,campaigns!$A$2:$A$51,0))),""),0,NETWORKDAYS(IFERROR(IF(INDEX(campaigns!$BG$2:$BG$51,MATCH($C81,campaigns!$A$2:$A$51,0))="","",INDEX(campaigns!$BG$2:$BG$51,MATCH($C81,campaigns!$A$2:$A$51,0))),""),$A81,calendar!$A$2:$A$80)))</f>
        <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c r="B82" s="38"/>
      <c r="E82" s="10"/>
      <c r="G82" s="10"/>
      <c r="J82" s="30" t="str">
        <f aca="false">IF(OR($C82="",$A82=""),"",IF($A82&lt;IFERROR(IF(INDEX(campaigns!$BG$2:$BG$51,MATCH($C82,campaigns!$A$2:$A$51,0))="","",INDEX(campaigns!$BG$2:$BG$51,MATCH($C82,campaigns!$A$2:$A$51,0))),""),0,NETWORKDAYS(IFERROR(IF(INDEX(campaigns!$BG$2:$BG$51,MATCH($C82,campaigns!$A$2:$A$51,0))="","",INDEX(campaigns!$BG$2:$BG$51,MATCH($C82,campaigns!$A$2:$A$51,0))),""),$A82,calendar!$A$2:$A$80)))</f>
        <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c r="B83" s="38"/>
      <c r="E83" s="10"/>
      <c r="G83" s="10"/>
      <c r="J83" s="30" t="str">
        <f aca="false">IF(OR($C83="",$A83=""),"",IF($A83&lt;IFERROR(IF(INDEX(campaigns!$BG$2:$BG$51,MATCH($C83,campaigns!$A$2:$A$51,0))="","",INDEX(campaigns!$BG$2:$BG$51,MATCH($C83,campaigns!$A$2:$A$51,0))),""),0,NETWORKDAYS(IFERROR(IF(INDEX(campaigns!$BG$2:$BG$51,MATCH($C83,campaigns!$A$2:$A$51,0))="","",INDEX(campaigns!$BG$2:$BG$51,MATCH($C83,campaigns!$A$2:$A$51,0))),""),$A83,calendar!$A$2:$A$80)))</f>
        <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c r="B84" s="38"/>
      <c r="E84" s="10"/>
      <c r="G84" s="10"/>
      <c r="J84" s="30" t="str">
        <f aca="false">IF(OR($C84="",$A84=""),"",IF($A84&lt;IFERROR(IF(INDEX(campaigns!$BG$2:$BG$51,MATCH($C84,campaigns!$A$2:$A$51,0))="","",INDEX(campaigns!$BG$2:$BG$51,MATCH($C84,campaigns!$A$2:$A$51,0))),""),0,NETWORKDAYS(IFERROR(IF(INDEX(campaigns!$BG$2:$BG$51,MATCH($C84,campaigns!$A$2:$A$51,0))="","",INDEX(campaigns!$BG$2:$BG$51,MATCH($C84,campaigns!$A$2:$A$51,0))),""),$A84,calendar!$A$2:$A$80)))</f>
        <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c r="B85" s="38"/>
      <c r="E85" s="10"/>
      <c r="G85" s="10"/>
      <c r="J85" s="30" t="str">
        <f aca="false">IF(OR($C85="",$A85=""),"",IF($A85&lt;IFERROR(IF(INDEX(campaigns!$BG$2:$BG$51,MATCH($C85,campaigns!$A$2:$A$51,0))="","",INDEX(campaigns!$BG$2:$BG$51,MATCH($C85,campaigns!$A$2:$A$51,0))),""),0,NETWORKDAYS(IFERROR(IF(INDEX(campaigns!$BG$2:$BG$51,MATCH($C85,campaigns!$A$2:$A$51,0))="","",INDEX(campaigns!$BG$2:$BG$51,MATCH($C85,campaigns!$A$2:$A$51,0))),""),$A85,calendar!$A$2:$A$80)))</f>
        <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c r="B86" s="38"/>
      <c r="E86" s="10"/>
      <c r="G86" s="10"/>
      <c r="J86" s="30" t="str">
        <f aca="false">IF(OR($C86="",$A86=""),"",IF($A86&lt;IFERROR(IF(INDEX(campaigns!$BG$2:$BG$51,MATCH($C86,campaigns!$A$2:$A$51,0))="","",INDEX(campaigns!$BG$2:$BG$51,MATCH($C86,campaigns!$A$2:$A$51,0))),""),0,NETWORKDAYS(IFERROR(IF(INDEX(campaigns!$BG$2:$BG$51,MATCH($C86,campaigns!$A$2:$A$51,0))="","",INDEX(campaigns!$BG$2:$BG$51,MATCH($C86,campaigns!$A$2:$A$51,0))),""),$A86,calendar!$A$2:$A$80)))</f>
        <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c r="B87" s="38"/>
      <c r="E87" s="10"/>
      <c r="G87" s="10"/>
      <c r="J87" s="30" t="str">
        <f aca="false">IF(OR($C87="",$A87=""),"",IF($A87&lt;IFERROR(IF(INDEX(campaigns!$BG$2:$BG$51,MATCH($C87,campaigns!$A$2:$A$51,0))="","",INDEX(campaigns!$BG$2:$BG$51,MATCH($C87,campaigns!$A$2:$A$51,0))),""),0,NETWORKDAYS(IFERROR(IF(INDEX(campaigns!$BG$2:$BG$51,MATCH($C87,campaigns!$A$2:$A$51,0))="","",INDEX(campaigns!$BG$2:$BG$51,MATCH($C87,campaigns!$A$2:$A$51,0))),""),$A87,calendar!$A$2:$A$80)))</f>
        <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c r="B88" s="38"/>
      <c r="E88" s="10"/>
      <c r="G88" s="10"/>
      <c r="J88" s="30" t="str">
        <f aca="false">IF(OR($C88="",$A88=""),"",IF($A88&lt;IFERROR(IF(INDEX(campaigns!$BG$2:$BG$51,MATCH($C88,campaigns!$A$2:$A$51,0))="","",INDEX(campaigns!$BG$2:$BG$51,MATCH($C88,campaigns!$A$2:$A$51,0))),""),0,NETWORKDAYS(IFERROR(IF(INDEX(campaigns!$BG$2:$BG$51,MATCH($C88,campaigns!$A$2:$A$51,0))="","",INDEX(campaigns!$BG$2:$BG$51,MATCH($C88,campaigns!$A$2:$A$51,0))),""),$A88,calendar!$A$2:$A$80)))</f>
        <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c r="B89" s="38"/>
      <c r="E89" s="10"/>
      <c r="G89" s="10"/>
      <c r="J89" s="30" t="str">
        <f aca="false">IF(OR($C89="",$A89=""),"",IF($A89&lt;IFERROR(IF(INDEX(campaigns!$BG$2:$BG$51,MATCH($C89,campaigns!$A$2:$A$51,0))="","",INDEX(campaigns!$BG$2:$BG$51,MATCH($C89,campaigns!$A$2:$A$51,0))),""),0,NETWORKDAYS(IFERROR(IF(INDEX(campaigns!$BG$2:$BG$51,MATCH($C89,campaigns!$A$2:$A$51,0))="","",INDEX(campaigns!$BG$2:$BG$51,MATCH($C89,campaigns!$A$2:$A$51,0))),""),$A89,calendar!$A$2:$A$80)))</f>
        <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c r="B90" s="38"/>
      <c r="E90" s="10"/>
      <c r="G90" s="10"/>
      <c r="J90" s="30" t="str">
        <f aca="false">IF(OR($C90="",$A90=""),"",IF($A90&lt;IFERROR(IF(INDEX(campaigns!$BG$2:$BG$51,MATCH($C90,campaigns!$A$2:$A$51,0))="","",INDEX(campaigns!$BG$2:$BG$51,MATCH($C90,campaigns!$A$2:$A$51,0))),""),0,NETWORKDAYS(IFERROR(IF(INDEX(campaigns!$BG$2:$BG$51,MATCH($C90,campaigns!$A$2:$A$51,0))="","",INDEX(campaigns!$BG$2:$BG$51,MATCH($C90,campaigns!$A$2:$A$51,0))),""),$A90,calendar!$A$2:$A$80)))</f>
        <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c r="B91" s="38"/>
      <c r="E91" s="10"/>
      <c r="G91" s="10"/>
      <c r="J91" s="30" t="str">
        <f aca="false">IF(OR($C91="",$A91=""),"",IF($A91&lt;IFERROR(IF(INDEX(campaigns!$BG$2:$BG$51,MATCH($C91,campaigns!$A$2:$A$51,0))="","",INDEX(campaigns!$BG$2:$BG$51,MATCH($C91,campaigns!$A$2:$A$51,0))),""),0,NETWORKDAYS(IFERROR(IF(INDEX(campaigns!$BG$2:$BG$51,MATCH($C91,campaigns!$A$2:$A$51,0))="","",INDEX(campaigns!$BG$2:$BG$51,MATCH($C91,campaigns!$A$2:$A$51,0))),""),$A91,calendar!$A$2:$A$80)))</f>
        <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c r="B92" s="38"/>
      <c r="E92" s="10"/>
      <c r="G92" s="10"/>
      <c r="J92" s="30" t="str">
        <f aca="false">IF(OR($C92="",$A92=""),"",IF($A92&lt;IFERROR(IF(INDEX(campaigns!$BG$2:$BG$51,MATCH($C92,campaigns!$A$2:$A$51,0))="","",INDEX(campaigns!$BG$2:$BG$51,MATCH($C92,campaigns!$A$2:$A$51,0))),""),0,NETWORKDAYS(IFERROR(IF(INDEX(campaigns!$BG$2:$BG$51,MATCH($C92,campaigns!$A$2:$A$51,0))="","",INDEX(campaigns!$BG$2:$BG$51,MATCH($C92,campaigns!$A$2:$A$51,0))),""),$A92,calendar!$A$2:$A$80)))</f>
        <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c r="B93" s="38"/>
      <c r="E93" s="10"/>
      <c r="G93" s="10"/>
      <c r="J93" s="30" t="str">
        <f aca="false">IF(OR($C93="",$A93=""),"",IF($A93&lt;IFERROR(IF(INDEX(campaigns!$BG$2:$BG$51,MATCH($C93,campaigns!$A$2:$A$51,0))="","",INDEX(campaigns!$BG$2:$BG$51,MATCH($C93,campaigns!$A$2:$A$51,0))),""),0,NETWORKDAYS(IFERROR(IF(INDEX(campaigns!$BG$2:$BG$51,MATCH($C93,campaigns!$A$2:$A$51,0))="","",INDEX(campaigns!$BG$2:$BG$51,MATCH($C93,campaigns!$A$2:$A$51,0))),""),$A93,calendar!$A$2:$A$80)))</f>
        <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c r="B94" s="38"/>
      <c r="E94" s="10"/>
      <c r="G94" s="10"/>
      <c r="J94" s="30" t="str">
        <f aca="false">IF(OR($C94="",$A94=""),"",IF($A94&lt;IFERROR(IF(INDEX(campaigns!$BG$2:$BG$51,MATCH($C94,campaigns!$A$2:$A$51,0))="","",INDEX(campaigns!$BG$2:$BG$51,MATCH($C94,campaigns!$A$2:$A$51,0))),""),0,NETWORKDAYS(IFERROR(IF(INDEX(campaigns!$BG$2:$BG$51,MATCH($C94,campaigns!$A$2:$A$51,0))="","",INDEX(campaigns!$BG$2:$BG$51,MATCH($C94,campaigns!$A$2:$A$51,0))),""),$A94,calendar!$A$2:$A$80)))</f>
        <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c r="B95" s="38"/>
      <c r="E95" s="10"/>
      <c r="G95" s="10"/>
      <c r="J95" s="30" t="str">
        <f aca="false">IF(OR($C95="",$A95=""),"",IF($A95&lt;IFERROR(IF(INDEX(campaigns!$BG$2:$BG$51,MATCH($C95,campaigns!$A$2:$A$51,0))="","",INDEX(campaigns!$BG$2:$BG$51,MATCH($C95,campaigns!$A$2:$A$51,0))),""),0,NETWORKDAYS(IFERROR(IF(INDEX(campaigns!$BG$2:$BG$51,MATCH($C95,campaigns!$A$2:$A$51,0))="","",INDEX(campaigns!$BG$2:$BG$51,MATCH($C95,campaigns!$A$2:$A$51,0))),""),$A95,calendar!$A$2:$A$80)))</f>
        <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c r="B96" s="38"/>
      <c r="E96" s="10"/>
      <c r="G96" s="10"/>
      <c r="J96" s="30" t="str">
        <f aca="false">IF(OR($C96="",$A96=""),"",IF($A96&lt;IFERROR(IF(INDEX(campaigns!$BG$2:$BG$51,MATCH($C96,campaigns!$A$2:$A$51,0))="","",INDEX(campaigns!$BG$2:$BG$51,MATCH($C96,campaigns!$A$2:$A$51,0))),""),0,NETWORKDAYS(IFERROR(IF(INDEX(campaigns!$BG$2:$BG$51,MATCH($C96,campaigns!$A$2:$A$51,0))="","",INDEX(campaigns!$BG$2:$BG$51,MATCH($C96,campaigns!$A$2:$A$51,0))),""),$A96,calendar!$A$2:$A$80)))</f>
        <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c r="B97" s="38"/>
      <c r="E97" s="10"/>
      <c r="G97" s="10"/>
      <c r="J97" s="30" t="str">
        <f aca="false">IF(OR($C97="",$A97=""),"",IF($A97&lt;IFERROR(IF(INDEX(campaigns!$BG$2:$BG$51,MATCH($C97,campaigns!$A$2:$A$51,0))="","",INDEX(campaigns!$BG$2:$BG$51,MATCH($C97,campaigns!$A$2:$A$51,0))),""),0,NETWORKDAYS(IFERROR(IF(INDEX(campaigns!$BG$2:$BG$51,MATCH($C97,campaigns!$A$2:$A$51,0))="","",INDEX(campaigns!$BG$2:$BG$51,MATCH($C97,campaigns!$A$2:$A$51,0))),""),$A97,calendar!$A$2:$A$80)))</f>
        <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c r="B98" s="38"/>
      <c r="E98" s="10"/>
      <c r="G98" s="10"/>
      <c r="J98" s="30" t="str">
        <f aca="false">IF(OR($C98="",$A98=""),"",IF($A98&lt;IFERROR(IF(INDEX(campaigns!$BG$2:$BG$51,MATCH($C98,campaigns!$A$2:$A$51,0))="","",INDEX(campaigns!$BG$2:$BG$51,MATCH($C98,campaigns!$A$2:$A$51,0))),""),0,NETWORKDAYS(IFERROR(IF(INDEX(campaigns!$BG$2:$BG$51,MATCH($C98,campaigns!$A$2:$A$51,0))="","",INDEX(campaigns!$BG$2:$BG$51,MATCH($C98,campaigns!$A$2:$A$51,0))),""),$A98,calendar!$A$2:$A$80)))</f>
        <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c r="B99" s="38"/>
      <c r="E99" s="10"/>
      <c r="G99" s="10"/>
      <c r="J99" s="30" t="str">
        <f aca="false">IF(OR($C99="",$A99=""),"",IF($A99&lt;IFERROR(IF(INDEX(campaigns!$BG$2:$BG$51,MATCH($C99,campaigns!$A$2:$A$51,0))="","",INDEX(campaigns!$BG$2:$BG$51,MATCH($C99,campaigns!$A$2:$A$51,0))),""),0,NETWORKDAYS(IFERROR(IF(INDEX(campaigns!$BG$2:$BG$51,MATCH($C99,campaigns!$A$2:$A$51,0))="","",INDEX(campaigns!$BG$2:$BG$51,MATCH($C99,campaigns!$A$2:$A$51,0))),""),$A99,calendar!$A$2:$A$80)))</f>
        <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c r="B100" s="38"/>
      <c r="E100" s="10"/>
      <c r="G100" s="10"/>
      <c r="J100" s="30" t="str">
        <f aca="false">IF(OR($C100="",$A100=""),"",IF($A100&lt;IFERROR(IF(INDEX(campaigns!$BG$2:$BG$51,MATCH($C100,campaigns!$A$2:$A$51,0))="","",INDEX(campaigns!$BG$2:$BG$51,MATCH($C100,campaigns!$A$2:$A$51,0))),""),0,NETWORKDAYS(IFERROR(IF(INDEX(campaigns!$BG$2:$BG$51,MATCH($C100,campaigns!$A$2:$A$51,0))="","",INDEX(campaigns!$BG$2:$BG$51,MATCH($C100,campaigns!$A$2:$A$51,0))),""),$A100,calendar!$A$2:$A$80)))</f>
        <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c r="B101" s="38"/>
      <c r="E101" s="10"/>
      <c r="G101" s="10"/>
      <c r="J101" s="30" t="str">
        <f aca="false">IF(OR($C101="",$A101=""),"",IF($A101&lt;IFERROR(IF(INDEX(campaigns!$BG$2:$BG$51,MATCH($C101,campaigns!$A$2:$A$51,0))="","",INDEX(campaigns!$BG$2:$BG$51,MATCH($C101,campaigns!$A$2:$A$51,0))),""),0,NETWORKDAYS(IFERROR(IF(INDEX(campaigns!$BG$2:$BG$51,MATCH($C101,campaigns!$A$2:$A$51,0))="","",INDEX(campaigns!$BG$2:$BG$51,MATCH($C101,campaigns!$A$2:$A$51,0))),""),$A101,calendar!$A$2:$A$80)))</f>
        <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c r="B102" s="38"/>
      <c r="E102" s="10"/>
      <c r="G102" s="10"/>
      <c r="J102" s="30" t="str">
        <f aca="false">IF(OR($C102="",$A102=""),"",IF($A102&lt;IFERROR(IF(INDEX(campaigns!$BG$2:$BG$51,MATCH($C102,campaigns!$A$2:$A$51,0))="","",INDEX(campaigns!$BG$2:$BG$51,MATCH($C102,campaigns!$A$2:$A$51,0))),""),0,NETWORKDAYS(IFERROR(IF(INDEX(campaigns!$BG$2:$BG$51,MATCH($C102,campaigns!$A$2:$A$51,0))="","",INDEX(campaigns!$BG$2:$BG$51,MATCH($C102,campaigns!$A$2:$A$51,0))),""),$A102,calendar!$A$2:$A$80)))</f>
        <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c r="B103" s="38"/>
      <c r="E103" s="10"/>
      <c r="G103" s="10"/>
      <c r="J103" s="30" t="str">
        <f aca="false">IF(OR($C103="",$A103=""),"",IF($A103&lt;IFERROR(IF(INDEX(campaigns!$BG$2:$BG$51,MATCH($C103,campaigns!$A$2:$A$51,0))="","",INDEX(campaigns!$BG$2:$BG$51,MATCH($C103,campaigns!$A$2:$A$51,0))),""),0,NETWORKDAYS(IFERROR(IF(INDEX(campaigns!$BG$2:$BG$51,MATCH($C103,campaigns!$A$2:$A$51,0))="","",INDEX(campaigns!$BG$2:$BG$51,MATCH($C103,campaigns!$A$2:$A$51,0))),""),$A103,calendar!$A$2:$A$80)))</f>
        <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c r="B104" s="38"/>
      <c r="E104" s="10"/>
      <c r="G104" s="10"/>
      <c r="J104" s="30" t="str">
        <f aca="false">IF(OR($C104="",$A104=""),"",IF($A104&lt;IFERROR(IF(INDEX(campaigns!$BG$2:$BG$51,MATCH($C104,campaigns!$A$2:$A$51,0))="","",INDEX(campaigns!$BG$2:$BG$51,MATCH($C104,campaigns!$A$2:$A$51,0))),""),0,NETWORKDAYS(IFERROR(IF(INDEX(campaigns!$BG$2:$BG$51,MATCH($C104,campaigns!$A$2:$A$51,0))="","",INDEX(campaigns!$BG$2:$BG$51,MATCH($C104,campaigns!$A$2:$A$51,0))),""),$A104,calendar!$A$2:$A$80)))</f>
        <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c r="B105" s="38"/>
      <c r="E105" s="10"/>
      <c r="G105" s="10"/>
      <c r="J105" s="30" t="str">
        <f aca="false">IF(OR($C105="",$A105=""),"",IF($A105&lt;IFERROR(IF(INDEX(campaigns!$BG$2:$BG$51,MATCH($C105,campaigns!$A$2:$A$51,0))="","",INDEX(campaigns!$BG$2:$BG$51,MATCH($C105,campaigns!$A$2:$A$51,0))),""),0,NETWORKDAYS(IFERROR(IF(INDEX(campaigns!$BG$2:$BG$51,MATCH($C105,campaigns!$A$2:$A$51,0))="","",INDEX(campaigns!$BG$2:$BG$51,MATCH($C105,campaigns!$A$2:$A$51,0))),""),$A105,calendar!$A$2:$A$80)))</f>
        <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c r="B106" s="38"/>
      <c r="E106" s="10"/>
      <c r="G106" s="10"/>
      <c r="J106" s="30" t="str">
        <f aca="false">IF(OR($C106="",$A106=""),"",IF($A106&lt;IFERROR(IF(INDEX(campaigns!$BG$2:$BG$51,MATCH($C106,campaigns!$A$2:$A$51,0))="","",INDEX(campaigns!$BG$2:$BG$51,MATCH($C106,campaigns!$A$2:$A$51,0))),""),0,NETWORKDAYS(IFERROR(IF(INDEX(campaigns!$BG$2:$BG$51,MATCH($C106,campaigns!$A$2:$A$51,0))="","",INDEX(campaigns!$BG$2:$BG$51,MATCH($C106,campaigns!$A$2:$A$51,0))),""),$A106,calendar!$A$2:$A$80)))</f>
        <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c r="B107" s="38"/>
      <c r="E107" s="10"/>
      <c r="G107" s="10"/>
      <c r="J107" s="30" t="str">
        <f aca="false">IF(OR($C107="",$A107=""),"",IF($A107&lt;IFERROR(IF(INDEX(campaigns!$BG$2:$BG$51,MATCH($C107,campaigns!$A$2:$A$51,0))="","",INDEX(campaigns!$BG$2:$BG$51,MATCH($C107,campaigns!$A$2:$A$51,0))),""),0,NETWORKDAYS(IFERROR(IF(INDEX(campaigns!$BG$2:$BG$51,MATCH($C107,campaigns!$A$2:$A$51,0))="","",INDEX(campaigns!$BG$2:$BG$51,MATCH($C107,campaigns!$A$2:$A$51,0))),""),$A107,calendar!$A$2:$A$80)))</f>
        <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c r="B108" s="38"/>
      <c r="E108" s="10"/>
      <c r="G108" s="10"/>
      <c r="J108" s="30" t="str">
        <f aca="false">IF(OR($C108="",$A108=""),"",IF($A108&lt;IFERROR(IF(INDEX(campaigns!$BG$2:$BG$51,MATCH($C108,campaigns!$A$2:$A$51,0))="","",INDEX(campaigns!$BG$2:$BG$51,MATCH($C108,campaigns!$A$2:$A$51,0))),""),0,NETWORKDAYS(IFERROR(IF(INDEX(campaigns!$BG$2:$BG$51,MATCH($C108,campaigns!$A$2:$A$51,0))="","",INDEX(campaigns!$BG$2:$BG$51,MATCH($C108,campaigns!$A$2:$A$51,0))),""),$A108,calendar!$A$2:$A$80)))</f>
        <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c r="B109" s="38"/>
      <c r="E109" s="10"/>
      <c r="G109" s="10"/>
      <c r="J109" s="30" t="str">
        <f aca="false">IF(OR($C109="",$A109=""),"",IF($A109&lt;IFERROR(IF(INDEX(campaigns!$BG$2:$BG$51,MATCH($C109,campaigns!$A$2:$A$51,0))="","",INDEX(campaigns!$BG$2:$BG$51,MATCH($C109,campaigns!$A$2:$A$51,0))),""),0,NETWORKDAYS(IFERROR(IF(INDEX(campaigns!$BG$2:$BG$51,MATCH($C109,campaigns!$A$2:$A$51,0))="","",INDEX(campaigns!$BG$2:$BG$51,MATCH($C109,campaigns!$A$2:$A$51,0))),""),$A109,calendar!$A$2:$A$80)))</f>
        <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c r="B110" s="38"/>
      <c r="E110" s="10"/>
      <c r="G110" s="10"/>
      <c r="J110" s="30" t="str">
        <f aca="false">IF(OR($C110="",$A110=""),"",IF($A110&lt;IFERROR(IF(INDEX(campaigns!$BG$2:$BG$51,MATCH($C110,campaigns!$A$2:$A$51,0))="","",INDEX(campaigns!$BG$2:$BG$51,MATCH($C110,campaigns!$A$2:$A$51,0))),""),0,NETWORKDAYS(IFERROR(IF(INDEX(campaigns!$BG$2:$BG$51,MATCH($C110,campaigns!$A$2:$A$51,0))="","",INDEX(campaigns!$BG$2:$BG$51,MATCH($C110,campaigns!$A$2:$A$51,0))),""),$A110,calendar!$A$2:$A$80)))</f>
        <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c r="B111" s="38"/>
      <c r="E111" s="10"/>
      <c r="G111" s="10"/>
      <c r="J111" s="30" t="str">
        <f aca="false">IF(OR($C111="",$A111=""),"",IF($A111&lt;IFERROR(IF(INDEX(campaigns!$BG$2:$BG$51,MATCH($C111,campaigns!$A$2:$A$51,0))="","",INDEX(campaigns!$BG$2:$BG$51,MATCH($C111,campaigns!$A$2:$A$51,0))),""),0,NETWORKDAYS(IFERROR(IF(INDEX(campaigns!$BG$2:$BG$51,MATCH($C111,campaigns!$A$2:$A$51,0))="","",INDEX(campaigns!$BG$2:$BG$51,MATCH($C111,campaigns!$A$2:$A$51,0))),""),$A111,calendar!$A$2:$A$80)))</f>
        <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c r="B112" s="38"/>
      <c r="E112" s="10"/>
      <c r="G112" s="10"/>
      <c r="J112" s="30" t="str">
        <f aca="false">IF(OR($C112="",$A112=""),"",IF($A112&lt;IFERROR(IF(INDEX(campaigns!$BG$2:$BG$51,MATCH($C112,campaigns!$A$2:$A$51,0))="","",INDEX(campaigns!$BG$2:$BG$51,MATCH($C112,campaigns!$A$2:$A$51,0))),""),0,NETWORKDAYS(IFERROR(IF(INDEX(campaigns!$BG$2:$BG$51,MATCH($C112,campaigns!$A$2:$A$51,0))="","",INDEX(campaigns!$BG$2:$BG$51,MATCH($C112,campaigns!$A$2:$A$51,0))),""),$A112,calendar!$A$2:$A$80)))</f>
        <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c r="B113" s="38"/>
      <c r="E113" s="10"/>
      <c r="G113" s="10"/>
      <c r="J113" s="30" t="str">
        <f aca="false">IF(OR($C113="",$A113=""),"",IF($A113&lt;IFERROR(IF(INDEX(campaigns!$BG$2:$BG$51,MATCH($C113,campaigns!$A$2:$A$51,0))="","",INDEX(campaigns!$BG$2:$BG$51,MATCH($C113,campaigns!$A$2:$A$51,0))),""),0,NETWORKDAYS(IFERROR(IF(INDEX(campaigns!$BG$2:$BG$51,MATCH($C113,campaigns!$A$2:$A$51,0))="","",INDEX(campaigns!$BG$2:$BG$51,MATCH($C113,campaigns!$A$2:$A$51,0))),""),$A113,calendar!$A$2:$A$80)))</f>
        <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c r="B114" s="38"/>
      <c r="E114" s="10"/>
      <c r="G114" s="10"/>
      <c r="J114" s="30" t="str">
        <f aca="false">IF(OR($C114="",$A114=""),"",IF($A114&lt;IFERROR(IF(INDEX(campaigns!$BG$2:$BG$51,MATCH($C114,campaigns!$A$2:$A$51,0))="","",INDEX(campaigns!$BG$2:$BG$51,MATCH($C114,campaigns!$A$2:$A$51,0))),""),0,NETWORKDAYS(IFERROR(IF(INDEX(campaigns!$BG$2:$BG$51,MATCH($C114,campaigns!$A$2:$A$51,0))="","",INDEX(campaigns!$BG$2:$BG$51,MATCH($C114,campaigns!$A$2:$A$51,0))),""),$A114,calendar!$A$2:$A$80)))</f>
        <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c r="B115" s="38"/>
      <c r="E115" s="10"/>
      <c r="G115" s="10"/>
      <c r="J115" s="30" t="str">
        <f aca="false">IF(OR($C115="",$A115=""),"",IF($A115&lt;IFERROR(IF(INDEX(campaigns!$BG$2:$BG$51,MATCH($C115,campaigns!$A$2:$A$51,0))="","",INDEX(campaigns!$BG$2:$BG$51,MATCH($C115,campaigns!$A$2:$A$51,0))),""),0,NETWORKDAYS(IFERROR(IF(INDEX(campaigns!$BG$2:$BG$51,MATCH($C115,campaigns!$A$2:$A$51,0))="","",INDEX(campaigns!$BG$2:$BG$51,MATCH($C115,campaigns!$A$2:$A$51,0))),""),$A115,calendar!$A$2:$A$80)))</f>
        <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c r="B116" s="38"/>
      <c r="E116" s="10"/>
      <c r="G116" s="10"/>
      <c r="J116" s="30" t="str">
        <f aca="false">IF(OR($C116="",$A116=""),"",IF($A116&lt;IFERROR(IF(INDEX(campaigns!$BG$2:$BG$51,MATCH($C116,campaigns!$A$2:$A$51,0))="","",INDEX(campaigns!$BG$2:$BG$51,MATCH($C116,campaigns!$A$2:$A$51,0))),""),0,NETWORKDAYS(IFERROR(IF(INDEX(campaigns!$BG$2:$BG$51,MATCH($C116,campaigns!$A$2:$A$51,0))="","",INDEX(campaigns!$BG$2:$BG$51,MATCH($C116,campaigns!$A$2:$A$51,0))),""),$A116,calendar!$A$2:$A$80)))</f>
        <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c r="B117" s="38"/>
      <c r="E117" s="10"/>
      <c r="G117" s="10"/>
      <c r="J117" s="30" t="str">
        <f aca="false">IF(OR($C117="",$A117=""),"",IF($A117&lt;IFERROR(IF(INDEX(campaigns!$BG$2:$BG$51,MATCH($C117,campaigns!$A$2:$A$51,0))="","",INDEX(campaigns!$BG$2:$BG$51,MATCH($C117,campaigns!$A$2:$A$51,0))),""),0,NETWORKDAYS(IFERROR(IF(INDEX(campaigns!$BG$2:$BG$51,MATCH($C117,campaigns!$A$2:$A$51,0))="","",INDEX(campaigns!$BG$2:$BG$51,MATCH($C117,campaigns!$A$2:$A$51,0))),""),$A117,calendar!$A$2:$A$80)))</f>
        <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c r="B118" s="38"/>
      <c r="E118" s="10"/>
      <c r="G118" s="10"/>
      <c r="J118" s="30" t="str">
        <f aca="false">IF(OR($C118="",$A118=""),"",IF($A118&lt;IFERROR(IF(INDEX(campaigns!$BG$2:$BG$51,MATCH($C118,campaigns!$A$2:$A$51,0))="","",INDEX(campaigns!$BG$2:$BG$51,MATCH($C118,campaigns!$A$2:$A$51,0))),""),0,NETWORKDAYS(IFERROR(IF(INDEX(campaigns!$BG$2:$BG$51,MATCH($C118,campaigns!$A$2:$A$51,0))="","",INDEX(campaigns!$BG$2:$BG$51,MATCH($C118,campaigns!$A$2:$A$51,0))),""),$A118,calendar!$A$2:$A$80)))</f>
        <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8"/>
      <c r="E119" s="10"/>
      <c r="G119" s="10"/>
      <c r="J119" s="30" t="str">
        <f aca="false">IF(OR($C119="",$A119=""),"",IF($A119&lt;IFERROR(IF(INDEX(campaigns!$BG$2:$BG$51,MATCH($C119,campaigns!$A$2:$A$51,0))="","",INDEX(campaigns!$BG$2:$BG$51,MATCH($C119,campaigns!$A$2:$A$51,0))),""),0,NETWORKDAYS(IFERROR(IF(INDEX(campaigns!$BG$2:$BG$51,MATCH($C119,campaigns!$A$2:$A$51,0))="","",INDEX(campaigns!$BG$2:$BG$51,MATCH($C119,campaigns!$A$2:$A$51,0))),""),$A119,calendar!$A$2:$A$80)))</f>
        <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8"/>
      <c r="E120" s="10"/>
      <c r="G120" s="10"/>
      <c r="J120" s="30" t="str">
        <f aca="false">IF(OR($C120="",$A120=""),"",IF($A120&lt;IFERROR(IF(INDEX(campaigns!$BG$2:$BG$51,MATCH($C120,campaigns!$A$2:$A$51,0))="","",INDEX(campaigns!$BG$2:$BG$51,MATCH($C120,campaigns!$A$2:$A$51,0))),""),0,NETWORKDAYS(IFERROR(IF(INDEX(campaigns!$BG$2:$BG$51,MATCH($C120,campaigns!$A$2:$A$51,0))="","",INDEX(campaigns!$BG$2:$BG$51,MATCH($C120,campaigns!$A$2:$A$51,0))),""),$A120,calendar!$A$2:$A$80)))</f>
        <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8"/>
      <c r="E121" s="10"/>
      <c r="G121" s="10"/>
      <c r="J121" s="30" t="str">
        <f aca="false">IF(OR($C121="",$A121=""),"",IF($A121&lt;IFERROR(IF(INDEX(campaigns!$BG$2:$BG$51,MATCH($C121,campaigns!$A$2:$A$51,0))="","",INDEX(campaigns!$BG$2:$BG$51,MATCH($C121,campaigns!$A$2:$A$51,0))),""),0,NETWORKDAYS(IFERROR(IF(INDEX(campaigns!$BG$2:$BG$51,MATCH($C121,campaigns!$A$2:$A$51,0))="","",INDEX(campaigns!$BG$2:$BG$51,MATCH($C121,campaigns!$A$2:$A$51,0))),""),$A121,calendar!$A$2:$A$80)))</f>
        <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8"/>
      <c r="E122" s="10"/>
      <c r="G122" s="10"/>
      <c r="J122" s="30" t="str">
        <f aca="false">IF(OR($C122="",$A122=""),"",IF($A122&lt;IFERROR(IF(INDEX(campaigns!$BG$2:$BG$51,MATCH($C122,campaigns!$A$2:$A$51,0))="","",INDEX(campaigns!$BG$2:$BG$51,MATCH($C122,campaigns!$A$2:$A$51,0))),""),0,NETWORKDAYS(IFERROR(IF(INDEX(campaigns!$BG$2:$BG$51,MATCH($C122,campaigns!$A$2:$A$51,0))="","",INDEX(campaigns!$BG$2:$BG$51,MATCH($C122,campaigns!$A$2:$A$51,0))),""),$A122,calendar!$A$2:$A$80)))</f>
        <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8"/>
      <c r="E123" s="10"/>
      <c r="G123" s="10"/>
      <c r="J123" s="30" t="str">
        <f aca="false">IF(OR($C123="",$A123=""),"",IF($A123&lt;IFERROR(IF(INDEX(campaigns!$BG$2:$BG$51,MATCH($C123,campaigns!$A$2:$A$51,0))="","",INDEX(campaigns!$BG$2:$BG$51,MATCH($C123,campaigns!$A$2:$A$51,0))),""),0,NETWORKDAYS(IFERROR(IF(INDEX(campaigns!$BG$2:$BG$51,MATCH($C123,campaigns!$A$2:$A$51,0))="","",INDEX(campaigns!$BG$2:$BG$51,MATCH($C123,campaigns!$A$2:$A$51,0))),""),$A123,calendar!$A$2:$A$80)))</f>
        <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8"/>
      <c r="E124" s="10"/>
      <c r="G124" s="10"/>
      <c r="J124" s="30" t="str">
        <f aca="false">IF(OR($C124="",$A124=""),"",IF($A124&lt;IFERROR(IF(INDEX(campaigns!$BG$2:$BG$51,MATCH($C124,campaigns!$A$2:$A$51,0))="","",INDEX(campaigns!$BG$2:$BG$51,MATCH($C124,campaigns!$A$2:$A$51,0))),""),0,NETWORKDAYS(IFERROR(IF(INDEX(campaigns!$BG$2:$BG$51,MATCH($C124,campaigns!$A$2:$A$51,0))="","",INDEX(campaigns!$BG$2:$BG$51,MATCH($C124,campaigns!$A$2:$A$51,0))),""),$A124,calendar!$A$2:$A$80)))</f>
        <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8"/>
      <c r="E125" s="10"/>
      <c r="G125" s="10"/>
      <c r="J125" s="30" t="str">
        <f aca="false">IF(OR($C125="",$A125=""),"",IF($A125&lt;IFERROR(IF(INDEX(campaigns!$BG$2:$BG$51,MATCH($C125,campaigns!$A$2:$A$51,0))="","",INDEX(campaigns!$BG$2:$BG$51,MATCH($C125,campaigns!$A$2:$A$51,0))),""),0,NETWORKDAYS(IFERROR(IF(INDEX(campaigns!$BG$2:$BG$51,MATCH($C125,campaigns!$A$2:$A$51,0))="","",INDEX(campaigns!$BG$2:$BG$51,MATCH($C125,campaigns!$A$2:$A$51,0))),""),$A125,calendar!$A$2:$A$80)))</f>
        <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8"/>
      <c r="E126" s="10"/>
      <c r="G126" s="10"/>
      <c r="J126" s="30" t="str">
        <f aca="false">IF(OR($C126="",$A126=""),"",IF($A126&lt;IFERROR(IF(INDEX(campaigns!$BG$2:$BG$51,MATCH($C126,campaigns!$A$2:$A$51,0))="","",INDEX(campaigns!$BG$2:$BG$51,MATCH($C126,campaigns!$A$2:$A$51,0))),""),0,NETWORKDAYS(IFERROR(IF(INDEX(campaigns!$BG$2:$BG$51,MATCH($C126,campaigns!$A$2:$A$51,0))="","",INDEX(campaigns!$BG$2:$BG$51,MATCH($C126,campaigns!$A$2:$A$51,0))),""),$A126,calendar!$A$2:$A$80)))</f>
        <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8"/>
      <c r="E127" s="10"/>
      <c r="G127" s="10"/>
      <c r="J127" s="30" t="str">
        <f aca="false">IF(OR($C127="",$A127=""),"",IF($A127&lt;IFERROR(IF(INDEX(campaigns!$BG$2:$BG$51,MATCH($C127,campaigns!$A$2:$A$51,0))="","",INDEX(campaigns!$BG$2:$BG$51,MATCH($C127,campaigns!$A$2:$A$51,0))),""),0,NETWORKDAYS(IFERROR(IF(INDEX(campaigns!$BG$2:$BG$51,MATCH($C127,campaigns!$A$2:$A$51,0))="","",INDEX(campaigns!$BG$2:$BG$51,MATCH($C127,campaigns!$A$2:$A$51,0))),""),$A127,calendar!$A$2:$A$80)))</f>
        <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679</v>
      </c>
      <c r="B1" s="28" t="s">
        <v>344</v>
      </c>
      <c r="C1" s="28" t="s">
        <v>540</v>
      </c>
      <c r="D1" s="28" t="s">
        <v>699</v>
      </c>
      <c r="E1" s="28" t="s">
        <v>700</v>
      </c>
      <c r="F1" s="28" t="s">
        <v>701</v>
      </c>
      <c r="G1" s="28" t="s">
        <v>678</v>
      </c>
      <c r="H1" s="28" t="s">
        <v>702</v>
      </c>
      <c r="I1" s="28" t="s">
        <v>703</v>
      </c>
      <c r="J1" s="28" t="s">
        <v>704</v>
      </c>
      <c r="K1" s="28" t="s">
        <v>705</v>
      </c>
      <c r="L1" s="28" t="s">
        <v>178</v>
      </c>
      <c r="M1" s="29" t="s">
        <v>300</v>
      </c>
      <c r="N1" s="29" t="s">
        <v>680</v>
      </c>
      <c r="O1" s="29" t="s">
        <v>706</v>
      </c>
      <c r="P1" s="29" t="s">
        <v>707</v>
      </c>
      <c r="Q1" s="29" t="s">
        <v>120</v>
      </c>
      <c r="R1" s="29" t="s">
        <v>176</v>
      </c>
      <c r="S1" s="29" t="s">
        <v>708</v>
      </c>
    </row>
    <row r="2" customFormat="false" ht="15" hidden="false" customHeight="false" outlineLevel="0" collapsed="false">
      <c r="A2" s="0" t="s">
        <v>683</v>
      </c>
      <c r="B2" s="0" t="s">
        <v>458</v>
      </c>
      <c r="C2" s="0" t="s">
        <v>576</v>
      </c>
      <c r="D2" s="10" t="s">
        <v>709</v>
      </c>
      <c r="E2" s="11" t="n">
        <v>46399</v>
      </c>
      <c r="F2" s="38" t="n">
        <v>0.356944444444445</v>
      </c>
      <c r="G2" s="10" t="s">
        <v>338</v>
      </c>
      <c r="H2" s="10" t="s">
        <v>710</v>
      </c>
      <c r="I2" s="11" t="n">
        <v>46399</v>
      </c>
      <c r="J2" s="10" t="s">
        <v>472</v>
      </c>
      <c r="K2" s="10" t="s">
        <v>472</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685</v>
      </c>
      <c r="B3" s="0" t="s">
        <v>458</v>
      </c>
      <c r="C3" s="0" t="s">
        <v>576</v>
      </c>
      <c r="D3" s="10" t="s">
        <v>711</v>
      </c>
      <c r="E3" s="11" t="n">
        <v>46406</v>
      </c>
      <c r="F3" s="38" t="n">
        <v>0.645833333333333</v>
      </c>
      <c r="G3" s="10" t="s">
        <v>137</v>
      </c>
      <c r="H3" s="10" t="s">
        <v>712</v>
      </c>
      <c r="I3" s="11" t="n">
        <v>46406</v>
      </c>
      <c r="J3" s="10" t="s">
        <v>472</v>
      </c>
      <c r="K3" s="10" t="s">
        <v>472</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686</v>
      </c>
      <c r="B4" s="0" t="s">
        <v>458</v>
      </c>
      <c r="C4" s="0" t="s">
        <v>579</v>
      </c>
      <c r="D4" s="10" t="s">
        <v>709</v>
      </c>
      <c r="E4" s="11" t="n">
        <v>46399</v>
      </c>
      <c r="F4" s="38" t="n">
        <v>0.486111111111111</v>
      </c>
      <c r="G4" s="10" t="s">
        <v>137</v>
      </c>
      <c r="H4" s="10" t="s">
        <v>713</v>
      </c>
      <c r="I4" s="11" t="n">
        <v>46399</v>
      </c>
      <c r="J4" s="10" t="s">
        <v>472</v>
      </c>
      <c r="K4" s="10" t="s">
        <v>472</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687</v>
      </c>
      <c r="B5" s="0" t="s">
        <v>458</v>
      </c>
      <c r="C5" s="0" t="s">
        <v>579</v>
      </c>
      <c r="D5" s="10" t="s">
        <v>711</v>
      </c>
      <c r="E5" s="11" t="n">
        <v>46406</v>
      </c>
      <c r="F5" s="38" t="n">
        <v>0.645833333333333</v>
      </c>
      <c r="G5" s="10" t="s">
        <v>137</v>
      </c>
      <c r="H5" s="10" t="s">
        <v>714</v>
      </c>
      <c r="I5" s="11" t="n">
        <v>46406</v>
      </c>
      <c r="J5" s="10" t="s">
        <v>472</v>
      </c>
      <c r="K5" s="10" t="s">
        <v>472</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688</v>
      </c>
      <c r="B6" s="0" t="s">
        <v>458</v>
      </c>
      <c r="C6" s="0" t="s">
        <v>581</v>
      </c>
      <c r="D6" s="10" t="s">
        <v>709</v>
      </c>
      <c r="E6" s="11" t="n">
        <v>46399</v>
      </c>
      <c r="F6" s="38" t="n">
        <v>0.381944444444444</v>
      </c>
      <c r="G6" s="10" t="s">
        <v>338</v>
      </c>
      <c r="H6" s="10" t="s">
        <v>715</v>
      </c>
      <c r="I6" s="11" t="n">
        <v>46399</v>
      </c>
      <c r="J6" s="10" t="s">
        <v>472</v>
      </c>
      <c r="K6" s="10" t="s">
        <v>472</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689</v>
      </c>
      <c r="B7" s="0" t="s">
        <v>458</v>
      </c>
      <c r="C7" s="0" t="s">
        <v>581</v>
      </c>
      <c r="D7" s="10" t="s">
        <v>711</v>
      </c>
      <c r="E7" s="11" t="n">
        <v>46406</v>
      </c>
      <c r="F7" s="38" t="n">
        <v>0.645833333333333</v>
      </c>
      <c r="G7" s="10" t="s">
        <v>137</v>
      </c>
      <c r="H7" s="10" t="s">
        <v>716</v>
      </c>
      <c r="I7" s="11" t="n">
        <v>46406</v>
      </c>
      <c r="J7" s="10" t="s">
        <v>472</v>
      </c>
      <c r="K7" s="10" t="s">
        <v>472</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690</v>
      </c>
      <c r="B8" s="0" t="s">
        <v>458</v>
      </c>
      <c r="C8" s="0" t="s">
        <v>584</v>
      </c>
      <c r="D8" s="10" t="s">
        <v>709</v>
      </c>
      <c r="E8" s="11" t="n">
        <v>46401</v>
      </c>
      <c r="F8" s="38" t="n">
        <v>0.40625</v>
      </c>
      <c r="G8" s="10" t="s">
        <v>137</v>
      </c>
      <c r="H8" s="10" t="s">
        <v>717</v>
      </c>
      <c r="I8" s="11" t="n">
        <v>46401</v>
      </c>
      <c r="J8" s="10" t="s">
        <v>472</v>
      </c>
      <c r="K8" s="10" t="s">
        <v>472</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691</v>
      </c>
      <c r="B9" s="0" t="s">
        <v>458</v>
      </c>
      <c r="C9" s="0" t="s">
        <v>584</v>
      </c>
      <c r="D9" s="10" t="s">
        <v>711</v>
      </c>
      <c r="E9" s="11" t="n">
        <v>46406</v>
      </c>
      <c r="F9" s="38" t="n">
        <v>0.645833333333333</v>
      </c>
      <c r="G9" s="10" t="s">
        <v>137</v>
      </c>
      <c r="H9" s="10" t="s">
        <v>718</v>
      </c>
      <c r="I9" s="11" t="n">
        <v>46406</v>
      </c>
      <c r="J9" s="10" t="s">
        <v>472</v>
      </c>
      <c r="K9" s="10" t="s">
        <v>472</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692</v>
      </c>
      <c r="B10" s="0" t="s">
        <v>458</v>
      </c>
      <c r="C10" s="0" t="s">
        <v>586</v>
      </c>
      <c r="D10" s="10" t="s">
        <v>709</v>
      </c>
      <c r="E10" s="11" t="n">
        <v>46399</v>
      </c>
      <c r="F10" s="38" t="n">
        <v>0.590277777777778</v>
      </c>
      <c r="G10" s="10" t="s">
        <v>137</v>
      </c>
      <c r="H10" s="10" t="s">
        <v>719</v>
      </c>
      <c r="I10" s="11" t="n">
        <v>46399</v>
      </c>
      <c r="J10" s="10" t="s">
        <v>472</v>
      </c>
      <c r="K10" s="10" t="s">
        <v>472</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720</v>
      </c>
      <c r="B11" s="0" t="s">
        <v>458</v>
      </c>
      <c r="C11" s="0" t="s">
        <v>586</v>
      </c>
      <c r="D11" s="10" t="s">
        <v>711</v>
      </c>
      <c r="E11" s="11" t="n">
        <v>46406</v>
      </c>
      <c r="F11" s="38" t="n">
        <v>0.626388888888889</v>
      </c>
      <c r="G11" s="10" t="s">
        <v>137</v>
      </c>
      <c r="H11" s="10" t="s">
        <v>721</v>
      </c>
      <c r="I11" s="11" t="n">
        <v>46406</v>
      </c>
      <c r="J11" s="10" t="s">
        <v>472</v>
      </c>
      <c r="K11" s="10" t="s">
        <v>493</v>
      </c>
      <c r="L11" s="10" t="s">
        <v>722</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693</v>
      </c>
      <c r="B12" s="0" t="s">
        <v>458</v>
      </c>
      <c r="C12" s="0" t="s">
        <v>586</v>
      </c>
      <c r="D12" s="10" t="s">
        <v>711</v>
      </c>
      <c r="E12" s="11" t="n">
        <v>46406</v>
      </c>
      <c r="F12" s="38" t="n">
        <v>0.694444444444444</v>
      </c>
      <c r="G12" s="10" t="s">
        <v>137</v>
      </c>
      <c r="H12" s="10" t="s">
        <v>721</v>
      </c>
      <c r="I12" s="11" t="n">
        <v>46406</v>
      </c>
      <c r="J12" s="10" t="s">
        <v>472</v>
      </c>
      <c r="K12" s="10" t="s">
        <v>472</v>
      </c>
      <c r="L12" s="10" t="s">
        <v>723</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694</v>
      </c>
      <c r="B13" s="0" t="s">
        <v>484</v>
      </c>
      <c r="C13" s="0" t="s">
        <v>576</v>
      </c>
      <c r="D13" s="10" t="s">
        <v>709</v>
      </c>
      <c r="E13" s="11" t="n">
        <v>46399</v>
      </c>
      <c r="F13" s="38" t="n">
        <v>0.356944444444445</v>
      </c>
      <c r="G13" s="10" t="s">
        <v>338</v>
      </c>
      <c r="H13" s="10" t="s">
        <v>724</v>
      </c>
      <c r="I13" s="11" t="n">
        <v>46399</v>
      </c>
      <c r="J13" s="10" t="s">
        <v>472</v>
      </c>
      <c r="K13" s="10" t="s">
        <v>472</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725</v>
      </c>
      <c r="B14" s="0" t="s">
        <v>484</v>
      </c>
      <c r="C14" s="0" t="s">
        <v>576</v>
      </c>
      <c r="D14" s="10" t="s">
        <v>711</v>
      </c>
      <c r="E14" s="11" t="n">
        <v>46406</v>
      </c>
      <c r="F14" s="38" t="n">
        <v>0.645833333333333</v>
      </c>
      <c r="G14" s="10" t="s">
        <v>338</v>
      </c>
      <c r="H14" s="10" t="s">
        <v>726</v>
      </c>
      <c r="I14" s="11" t="n">
        <v>46406</v>
      </c>
      <c r="J14" s="10" t="s">
        <v>472</v>
      </c>
      <c r="K14" s="10" t="s">
        <v>472</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695</v>
      </c>
      <c r="B15" s="0" t="s">
        <v>484</v>
      </c>
      <c r="C15" s="0" t="s">
        <v>579</v>
      </c>
      <c r="D15" s="10" t="s">
        <v>709</v>
      </c>
      <c r="E15" s="11" t="n">
        <v>46399</v>
      </c>
      <c r="F15" s="38" t="n">
        <v>0.486111111111111</v>
      </c>
      <c r="G15" s="10" t="s">
        <v>137</v>
      </c>
      <c r="H15" s="10" t="s">
        <v>727</v>
      </c>
      <c r="I15" s="11" t="n">
        <v>46399</v>
      </c>
      <c r="J15" s="10" t="s">
        <v>472</v>
      </c>
      <c r="K15" s="10" t="s">
        <v>472</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728</v>
      </c>
      <c r="B16" s="0" t="s">
        <v>484</v>
      </c>
      <c r="C16" s="0" t="s">
        <v>579</v>
      </c>
      <c r="D16" s="10" t="s">
        <v>711</v>
      </c>
      <c r="E16" s="11" t="n">
        <v>46401</v>
      </c>
      <c r="F16" s="38" t="n">
        <v>0.638888888888889</v>
      </c>
      <c r="G16" s="10" t="s">
        <v>137</v>
      </c>
      <c r="H16" s="10" t="s">
        <v>729</v>
      </c>
      <c r="I16" s="11" t="n">
        <v>46401</v>
      </c>
      <c r="J16" s="10" t="s">
        <v>472</v>
      </c>
      <c r="K16" s="10" t="s">
        <v>472</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696</v>
      </c>
      <c r="B17" s="0" t="s">
        <v>484</v>
      </c>
      <c r="C17" s="0" t="s">
        <v>581</v>
      </c>
      <c r="D17" s="10" t="s">
        <v>709</v>
      </c>
      <c r="E17" s="11" t="n">
        <v>46399</v>
      </c>
      <c r="F17" s="38" t="n">
        <v>0.381944444444444</v>
      </c>
      <c r="G17" s="10" t="s">
        <v>338</v>
      </c>
      <c r="H17" s="10" t="s">
        <v>730</v>
      </c>
      <c r="I17" s="11" t="n">
        <v>46399</v>
      </c>
      <c r="J17" s="10" t="s">
        <v>472</v>
      </c>
      <c r="K17" s="10" t="s">
        <v>472</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697</v>
      </c>
      <c r="B18" s="0" t="s">
        <v>484</v>
      </c>
      <c r="C18" s="0" t="s">
        <v>584</v>
      </c>
      <c r="D18" s="10" t="s">
        <v>709</v>
      </c>
      <c r="E18" s="11" t="n">
        <v>46400</v>
      </c>
      <c r="F18" s="38" t="n">
        <v>0.378472222222222</v>
      </c>
      <c r="G18" s="10" t="s">
        <v>137</v>
      </c>
      <c r="H18" s="10" t="s">
        <v>731</v>
      </c>
      <c r="I18" s="11" t="n">
        <v>46400</v>
      </c>
      <c r="J18" s="10" t="s">
        <v>472</v>
      </c>
      <c r="K18" s="10" t="s">
        <v>472</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732</v>
      </c>
      <c r="B19" s="0" t="s">
        <v>484</v>
      </c>
      <c r="C19" s="0" t="s">
        <v>584</v>
      </c>
      <c r="D19" s="10" t="s">
        <v>711</v>
      </c>
      <c r="E19" s="11" t="n">
        <v>46406</v>
      </c>
      <c r="F19" s="38" t="n">
        <v>0.645833333333333</v>
      </c>
      <c r="G19" s="10" t="s">
        <v>338</v>
      </c>
      <c r="H19" s="10" t="s">
        <v>733</v>
      </c>
      <c r="I19" s="11" t="n">
        <v>46406</v>
      </c>
      <c r="J19" s="10" t="s">
        <v>472</v>
      </c>
      <c r="K19" s="10" t="s">
        <v>472</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698</v>
      </c>
      <c r="B20" s="0" t="s">
        <v>484</v>
      </c>
      <c r="C20" s="0" t="s">
        <v>586</v>
      </c>
      <c r="D20" s="10" t="s">
        <v>709</v>
      </c>
      <c r="E20" s="11" t="n">
        <v>46399</v>
      </c>
      <c r="F20" s="38" t="n">
        <v>0.590277777777778</v>
      </c>
      <c r="G20" s="10" t="s">
        <v>137</v>
      </c>
      <c r="H20" s="10" t="s">
        <v>734</v>
      </c>
      <c r="I20" s="11" t="n">
        <v>46399</v>
      </c>
      <c r="J20" s="10" t="s">
        <v>472</v>
      </c>
      <c r="K20" s="10" t="s">
        <v>472</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735</v>
      </c>
      <c r="B21" s="0" t="s">
        <v>484</v>
      </c>
      <c r="C21" s="0" t="s">
        <v>586</v>
      </c>
      <c r="D21" s="10" t="s">
        <v>711</v>
      </c>
      <c r="E21" s="11" t="n">
        <v>46406</v>
      </c>
      <c r="F21" s="38" t="n">
        <v>0.645833333333333</v>
      </c>
      <c r="G21" s="10" t="s">
        <v>338</v>
      </c>
      <c r="H21" s="10" t="s">
        <v>736</v>
      </c>
      <c r="I21" s="11" t="n">
        <v>46406</v>
      </c>
      <c r="J21" s="10" t="s">
        <v>472</v>
      </c>
      <c r="K21" s="10" t="s">
        <v>472</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D22" s="10"/>
      <c r="E22" s="11"/>
      <c r="F22" s="38"/>
      <c r="G22" s="10"/>
      <c r="I22" s="11"/>
      <c r="J22" s="10"/>
      <c r="K22" s="10"/>
      <c r="M22" s="31" t="str">
        <f aca="false">IF($B22="","",IFERROR(IF(INDEX(campaigns!$BG$2:$BG$51,MATCH($B22,campaigns!$A$2:$A$51,0))="","",INDEX(campaigns!$BG$2:$BG$51,MATCH($B22,campaigns!$A$2:$A$51,0))),""))</f>
        <v/>
      </c>
      <c r="N22" s="30" t="str">
        <f aca="false">IF(OR($B22="",$E22="",$M22=""),"",IF($E22&lt;$M22,0,NETWORKDAYS($M22,$E22,calendar!$A$2:$A$80)))</f>
        <v/>
      </c>
      <c r="O22" s="30" t="str">
        <f aca="false">IF($B22="","",IF(AND($K22="Y",OR($D22="later",$J22="Y")),"Y","N"))</f>
        <v/>
      </c>
      <c r="P22" s="30" t="str">
        <f aca="false">IF(OR($B22="",$E22=""),"",$B22&amp;"_"&amp;$C22&amp;"_"&amp;$D22&amp;"_"&amp;TEXT($E22,"yyyy-mm-dd")&amp;".jpg")</f>
        <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
      </c>
      <c r="S22" s="30" t="str">
        <f aca="false">IF($B22="","",$R22&amp;"|"&amp;N($E22))</f>
        <v/>
      </c>
    </row>
    <row r="23" customFormat="false" ht="15" hidden="false" customHeight="false" outlineLevel="0" collapsed="false">
      <c r="D23" s="10"/>
      <c r="E23" s="11"/>
      <c r="F23" s="38"/>
      <c r="G23" s="10"/>
      <c r="I23" s="11"/>
      <c r="J23" s="10"/>
      <c r="K23" s="10"/>
      <c r="M23" s="31" t="str">
        <f aca="false">IF($B23="","",IFERROR(IF(INDEX(campaigns!$BG$2:$BG$51,MATCH($B23,campaigns!$A$2:$A$51,0))="","",INDEX(campaigns!$BG$2:$BG$51,MATCH($B23,campaigns!$A$2:$A$51,0))),""))</f>
        <v/>
      </c>
      <c r="N23" s="30" t="str">
        <f aca="false">IF(OR($B23="",$E23="",$M23=""),"",IF($E23&lt;$M23,0,NETWORKDAYS($M23,$E23,calendar!$A$2:$A$80)))</f>
        <v/>
      </c>
      <c r="O23" s="30" t="str">
        <f aca="false">IF($B23="","",IF(AND($K23="Y",OR($D23="later",$J23="Y")),"Y","N"))</f>
        <v/>
      </c>
      <c r="P23" s="30" t="str">
        <f aca="false">IF(OR($B23="",$E23=""),"",$B23&amp;"_"&amp;$C23&amp;"_"&amp;$D23&amp;"_"&amp;TEXT($E23,"yyyy-mm-dd")&amp;".jpg")</f>
        <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
      </c>
      <c r="S23" s="30" t="str">
        <f aca="false">IF($B23="","",$R23&amp;"|"&amp;N($E23))</f>
        <v/>
      </c>
    </row>
    <row r="24" customFormat="false" ht="15" hidden="false" customHeight="false" outlineLevel="0" collapsed="false">
      <c r="D24" s="10"/>
      <c r="E24" s="11"/>
      <c r="F24" s="38"/>
      <c r="G24" s="10"/>
      <c r="I24" s="11"/>
      <c r="J24" s="10"/>
      <c r="K24" s="10"/>
      <c r="M24" s="31" t="str">
        <f aca="false">IF($B24="","",IFERROR(IF(INDEX(campaigns!$BG$2:$BG$51,MATCH($B24,campaigns!$A$2:$A$51,0))="","",INDEX(campaigns!$BG$2:$BG$51,MATCH($B24,campaigns!$A$2:$A$51,0))),""))</f>
        <v/>
      </c>
      <c r="N24" s="30" t="str">
        <f aca="false">IF(OR($B24="",$E24="",$M24=""),"",IF($E24&lt;$M24,0,NETWORKDAYS($M24,$E24,calendar!$A$2:$A$80)))</f>
        <v/>
      </c>
      <c r="O24" s="30" t="str">
        <f aca="false">IF($B24="","",IF(AND($K24="Y",OR($D24="later",$J24="Y")),"Y","N"))</f>
        <v/>
      </c>
      <c r="P24" s="30" t="str">
        <f aca="false">IF(OR($B24="",$E24=""),"",$B24&amp;"_"&amp;$C24&amp;"_"&amp;$D24&amp;"_"&amp;TEXT($E24,"yyyy-mm-dd")&amp;".jpg")</f>
        <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
      </c>
      <c r="S24" s="30" t="str">
        <f aca="false">IF($B24="","",$R24&amp;"|"&amp;N($E24))</f>
        <v/>
      </c>
    </row>
    <row r="25" customFormat="false" ht="15" hidden="false" customHeight="false" outlineLevel="0" collapsed="false">
      <c r="D25" s="10"/>
      <c r="E25" s="11"/>
      <c r="F25" s="38"/>
      <c r="G25" s="10"/>
      <c r="I25" s="11"/>
      <c r="J25" s="10"/>
      <c r="K25" s="10"/>
      <c r="M25" s="31" t="str">
        <f aca="false">IF($B25="","",IFERROR(IF(INDEX(campaigns!$BG$2:$BG$51,MATCH($B25,campaigns!$A$2:$A$51,0))="","",INDEX(campaigns!$BG$2:$BG$51,MATCH($B25,campaigns!$A$2:$A$51,0))),""))</f>
        <v/>
      </c>
      <c r="N25" s="30" t="str">
        <f aca="false">IF(OR($B25="",$E25="",$M25=""),"",IF($E25&lt;$M25,0,NETWORKDAYS($M25,$E25,calendar!$A$2:$A$80)))</f>
        <v/>
      </c>
      <c r="O25" s="30" t="str">
        <f aca="false">IF($B25="","",IF(AND($K25="Y",OR($D25="later",$J25="Y")),"Y","N"))</f>
        <v/>
      </c>
      <c r="P25" s="30" t="str">
        <f aca="false">IF(OR($B25="",$E25=""),"",$B25&amp;"_"&amp;$C25&amp;"_"&amp;$D25&amp;"_"&amp;TEXT($E25,"yyyy-mm-dd")&amp;".jpg")</f>
        <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
      </c>
      <c r="S25" s="30" t="str">
        <f aca="false">IF($B25="","",$R25&amp;"|"&amp;N($E25))</f>
        <v/>
      </c>
    </row>
    <row r="26" customFormat="false" ht="15" hidden="false" customHeight="false" outlineLevel="0" collapsed="false">
      <c r="D26" s="10"/>
      <c r="E26" s="11"/>
      <c r="F26" s="38"/>
      <c r="G26" s="10"/>
      <c r="I26" s="11"/>
      <c r="J26" s="10"/>
      <c r="K26" s="10"/>
      <c r="M26" s="31" t="str">
        <f aca="false">IF($B26="","",IFERROR(IF(INDEX(campaigns!$BG$2:$BG$51,MATCH($B26,campaigns!$A$2:$A$51,0))="","",INDEX(campaigns!$BG$2:$BG$51,MATCH($B26,campaigns!$A$2:$A$51,0))),""))</f>
        <v/>
      </c>
      <c r="N26" s="30" t="str">
        <f aca="false">IF(OR($B26="",$E26="",$M26=""),"",IF($E26&lt;$M26,0,NETWORKDAYS($M26,$E26,calendar!$A$2:$A$80)))</f>
        <v/>
      </c>
      <c r="O26" s="30" t="str">
        <f aca="false">IF($B26="","",IF(AND($K26="Y",OR($D26="later",$J26="Y")),"Y","N"))</f>
        <v/>
      </c>
      <c r="P26" s="30" t="str">
        <f aca="false">IF(OR($B26="",$E26=""),"",$B26&amp;"_"&amp;$C26&amp;"_"&amp;$D26&amp;"_"&amp;TEXT($E26,"yyyy-mm-dd")&amp;".jpg")</f>
        <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
      </c>
      <c r="S26" s="30" t="str">
        <f aca="false">IF($B26="","",$R26&amp;"|"&amp;N($E26))</f>
        <v/>
      </c>
    </row>
    <row r="27" customFormat="false" ht="15" hidden="false" customHeight="false" outlineLevel="0" collapsed="false">
      <c r="D27" s="10"/>
      <c r="E27" s="11"/>
      <c r="F27" s="38"/>
      <c r="G27" s="10"/>
      <c r="I27" s="11"/>
      <c r="J27" s="10"/>
      <c r="K27" s="10"/>
      <c r="M27" s="31" t="str">
        <f aca="false">IF($B27="","",IFERROR(IF(INDEX(campaigns!$BG$2:$BG$51,MATCH($B27,campaigns!$A$2:$A$51,0))="","",INDEX(campaigns!$BG$2:$BG$51,MATCH($B27,campaigns!$A$2:$A$51,0))),""))</f>
        <v/>
      </c>
      <c r="N27" s="30" t="str">
        <f aca="false">IF(OR($B27="",$E27="",$M27=""),"",IF($E27&lt;$M27,0,NETWORKDAYS($M27,$E27,calendar!$A$2:$A$80)))</f>
        <v/>
      </c>
      <c r="O27" s="30" t="str">
        <f aca="false">IF($B27="","",IF(AND($K27="Y",OR($D27="later",$J27="Y")),"Y","N"))</f>
        <v/>
      </c>
      <c r="P27" s="30" t="str">
        <f aca="false">IF(OR($B27="",$E27=""),"",$B27&amp;"_"&amp;$C27&amp;"_"&amp;$D27&amp;"_"&amp;TEXT($E27,"yyyy-mm-dd")&amp;".jpg")</f>
        <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
      </c>
      <c r="S27" s="30" t="str">
        <f aca="false">IF($B27="","",$R27&amp;"|"&amp;N($E27))</f>
        <v/>
      </c>
    </row>
    <row r="28" customFormat="false" ht="15" hidden="false" customHeight="false" outlineLevel="0" collapsed="false">
      <c r="D28" s="10"/>
      <c r="E28" s="11"/>
      <c r="F28" s="38"/>
      <c r="G28" s="10"/>
      <c r="I28" s="11"/>
      <c r="J28" s="10"/>
      <c r="K28" s="10"/>
      <c r="M28" s="31" t="str">
        <f aca="false">IF($B28="","",IFERROR(IF(INDEX(campaigns!$BG$2:$BG$51,MATCH($B28,campaigns!$A$2:$A$51,0))="","",INDEX(campaigns!$BG$2:$BG$51,MATCH($B28,campaigns!$A$2:$A$51,0))),""))</f>
        <v/>
      </c>
      <c r="N28" s="30" t="str">
        <f aca="false">IF(OR($B28="",$E28="",$M28=""),"",IF($E28&lt;$M28,0,NETWORKDAYS($M28,$E28,calendar!$A$2:$A$80)))</f>
        <v/>
      </c>
      <c r="O28" s="30" t="str">
        <f aca="false">IF($B28="","",IF(AND($K28="Y",OR($D28="later",$J28="Y")),"Y","N"))</f>
        <v/>
      </c>
      <c r="P28" s="30" t="str">
        <f aca="false">IF(OR($B28="",$E28=""),"",$B28&amp;"_"&amp;$C28&amp;"_"&amp;$D28&amp;"_"&amp;TEXT($E28,"yyyy-mm-dd")&amp;".jpg")</f>
        <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
      </c>
      <c r="S28" s="30" t="str">
        <f aca="false">IF($B28="","",$R28&amp;"|"&amp;N($E28))</f>
        <v/>
      </c>
    </row>
    <row r="29" customFormat="false" ht="15" hidden="false" customHeight="false" outlineLevel="0" collapsed="false">
      <c r="D29" s="10"/>
      <c r="E29" s="11"/>
      <c r="F29" s="38"/>
      <c r="G29" s="10"/>
      <c r="I29" s="11"/>
      <c r="J29" s="10"/>
      <c r="K29" s="10"/>
      <c r="M29" s="31" t="str">
        <f aca="false">IF($B29="","",IFERROR(IF(INDEX(campaigns!$BG$2:$BG$51,MATCH($B29,campaigns!$A$2:$A$51,0))="","",INDEX(campaigns!$BG$2:$BG$51,MATCH($B29,campaigns!$A$2:$A$51,0))),""))</f>
        <v/>
      </c>
      <c r="N29" s="30" t="str">
        <f aca="false">IF(OR($B29="",$E29="",$M29=""),"",IF($E29&lt;$M29,0,NETWORKDAYS($M29,$E29,calendar!$A$2:$A$80)))</f>
        <v/>
      </c>
      <c r="O29" s="30" t="str">
        <f aca="false">IF($B29="","",IF(AND($K29="Y",OR($D29="later",$J29="Y")),"Y","N"))</f>
        <v/>
      </c>
      <c r="P29" s="30" t="str">
        <f aca="false">IF(OR($B29="",$E29=""),"",$B29&amp;"_"&amp;$C29&amp;"_"&amp;$D29&amp;"_"&amp;TEXT($E29,"yyyy-mm-dd")&amp;".jpg")</f>
        <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
      </c>
      <c r="S29" s="30" t="str">
        <f aca="false">IF($B29="","",$R29&amp;"|"&amp;N($E29))</f>
        <v/>
      </c>
    </row>
    <row r="30" customFormat="false" ht="15" hidden="false" customHeight="false" outlineLevel="0" collapsed="false">
      <c r="D30" s="10"/>
      <c r="E30" s="11"/>
      <c r="F30" s="38"/>
      <c r="G30" s="10"/>
      <c r="I30" s="11"/>
      <c r="J30" s="10"/>
      <c r="K30" s="10"/>
      <c r="M30" s="31" t="str">
        <f aca="false">IF($B30="","",IFERROR(IF(INDEX(campaigns!$BG$2:$BG$51,MATCH($B30,campaigns!$A$2:$A$51,0))="","",INDEX(campaigns!$BG$2:$BG$51,MATCH($B30,campaigns!$A$2:$A$51,0))),""))</f>
        <v/>
      </c>
      <c r="N30" s="30" t="str">
        <f aca="false">IF(OR($B30="",$E30="",$M30=""),"",IF($E30&lt;$M30,0,NETWORKDAYS($M30,$E30,calendar!$A$2:$A$80)))</f>
        <v/>
      </c>
      <c r="O30" s="30" t="str">
        <f aca="false">IF($B30="","",IF(AND($K30="Y",OR($D30="later",$J30="Y")),"Y","N"))</f>
        <v/>
      </c>
      <c r="P30" s="30" t="str">
        <f aca="false">IF(OR($B30="",$E30=""),"",$B30&amp;"_"&amp;$C30&amp;"_"&amp;$D30&amp;"_"&amp;TEXT($E30,"yyyy-mm-dd")&amp;".jpg")</f>
        <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
      </c>
      <c r="S30" s="30" t="str">
        <f aca="false">IF($B30="","",$R30&amp;"|"&amp;N($E30))</f>
        <v/>
      </c>
    </row>
    <row r="31" customFormat="false" ht="15" hidden="false" customHeight="false" outlineLevel="0" collapsed="false">
      <c r="D31" s="10"/>
      <c r="E31" s="11"/>
      <c r="F31" s="38"/>
      <c r="G31" s="10"/>
      <c r="I31" s="11"/>
      <c r="J31" s="10"/>
      <c r="K31" s="10"/>
      <c r="M31" s="31" t="str">
        <f aca="false">IF($B31="","",IFERROR(IF(INDEX(campaigns!$BG$2:$BG$51,MATCH($B31,campaigns!$A$2:$A$51,0))="","",INDEX(campaigns!$BG$2:$BG$51,MATCH($B31,campaigns!$A$2:$A$51,0))),""))</f>
        <v/>
      </c>
      <c r="N31" s="30" t="str">
        <f aca="false">IF(OR($B31="",$E31="",$M31=""),"",IF($E31&lt;$M31,0,NETWORKDAYS($M31,$E31,calendar!$A$2:$A$80)))</f>
        <v/>
      </c>
      <c r="O31" s="30" t="str">
        <f aca="false">IF($B31="","",IF(AND($K31="Y",OR($D31="later",$J31="Y")),"Y","N"))</f>
        <v/>
      </c>
      <c r="P31" s="30" t="str">
        <f aca="false">IF(OR($B31="",$E31=""),"",$B31&amp;"_"&amp;$C31&amp;"_"&amp;$D31&amp;"_"&amp;TEXT($E31,"yyyy-mm-dd")&amp;".jpg")</f>
        <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
      </c>
      <c r="S31" s="30" t="str">
        <f aca="false">IF($B31="","",$R31&amp;"|"&amp;N($E31))</f>
        <v/>
      </c>
    </row>
    <row r="32" customFormat="false" ht="15" hidden="false" customHeight="false" outlineLevel="0" collapsed="false">
      <c r="D32" s="10"/>
      <c r="E32" s="11"/>
      <c r="F32" s="38"/>
      <c r="G32" s="10"/>
      <c r="I32" s="11"/>
      <c r="J32" s="10"/>
      <c r="K32" s="10"/>
      <c r="M32" s="31" t="str">
        <f aca="false">IF($B32="","",IFERROR(IF(INDEX(campaigns!$BG$2:$BG$51,MATCH($B32,campaigns!$A$2:$A$51,0))="","",INDEX(campaigns!$BG$2:$BG$51,MATCH($B32,campaigns!$A$2:$A$51,0))),""))</f>
        <v/>
      </c>
      <c r="N32" s="30" t="str">
        <f aca="false">IF(OR($B32="",$E32="",$M32=""),"",IF($E32&lt;$M32,0,NETWORKDAYS($M32,$E32,calendar!$A$2:$A$80)))</f>
        <v/>
      </c>
      <c r="O32" s="30" t="str">
        <f aca="false">IF($B32="","",IF(AND($K32="Y",OR($D32="later",$J32="Y")),"Y","N"))</f>
        <v/>
      </c>
      <c r="P32" s="30" t="str">
        <f aca="false">IF(OR($B32="",$E32=""),"",$B32&amp;"_"&amp;$C32&amp;"_"&amp;$D32&amp;"_"&amp;TEXT($E32,"yyyy-mm-dd")&amp;".jpg")</f>
        <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
      </c>
      <c r="S32" s="30" t="str">
        <f aca="false">IF($B32="","",$R32&amp;"|"&amp;N($E32))</f>
        <v/>
      </c>
    </row>
    <row r="33" customFormat="false" ht="15" hidden="false" customHeight="false" outlineLevel="0" collapsed="false">
      <c r="D33" s="10"/>
      <c r="E33" s="11"/>
      <c r="F33" s="38"/>
      <c r="G33" s="10"/>
      <c r="I33" s="11"/>
      <c r="J33" s="10"/>
      <c r="K33" s="10"/>
      <c r="M33" s="31" t="str">
        <f aca="false">IF($B33="","",IFERROR(IF(INDEX(campaigns!$BG$2:$BG$51,MATCH($B33,campaigns!$A$2:$A$51,0))="","",INDEX(campaigns!$BG$2:$BG$51,MATCH($B33,campaigns!$A$2:$A$51,0))),""))</f>
        <v/>
      </c>
      <c r="N33" s="30" t="str">
        <f aca="false">IF(OR($B33="",$E33="",$M33=""),"",IF($E33&lt;$M33,0,NETWORKDAYS($M33,$E33,calendar!$A$2:$A$80)))</f>
        <v/>
      </c>
      <c r="O33" s="30" t="str">
        <f aca="false">IF($B33="","",IF(AND($K33="Y",OR($D33="later",$J33="Y")),"Y","N"))</f>
        <v/>
      </c>
      <c r="P33" s="30" t="str">
        <f aca="false">IF(OR($B33="",$E33=""),"",$B33&amp;"_"&amp;$C33&amp;"_"&amp;$D33&amp;"_"&amp;TEXT($E33,"yyyy-mm-dd")&amp;".jpg")</f>
        <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
      </c>
      <c r="S33" s="30" t="str">
        <f aca="false">IF($B33="","",$R33&amp;"|"&amp;N($E33))</f>
        <v/>
      </c>
    </row>
    <row r="34" customFormat="false" ht="15" hidden="false" customHeight="false" outlineLevel="0" collapsed="false">
      <c r="D34" s="10"/>
      <c r="E34" s="11"/>
      <c r="F34" s="38"/>
      <c r="G34" s="10"/>
      <c r="I34" s="11"/>
      <c r="J34" s="10"/>
      <c r="K34" s="10"/>
      <c r="M34" s="31" t="str">
        <f aca="false">IF($B34="","",IFERROR(IF(INDEX(campaigns!$BG$2:$BG$51,MATCH($B34,campaigns!$A$2:$A$51,0))="","",INDEX(campaigns!$BG$2:$BG$51,MATCH($B34,campaigns!$A$2:$A$51,0))),""))</f>
        <v/>
      </c>
      <c r="N34" s="30" t="str">
        <f aca="false">IF(OR($B34="",$E34="",$M34=""),"",IF($E34&lt;$M34,0,NETWORKDAYS($M34,$E34,calendar!$A$2:$A$80)))</f>
        <v/>
      </c>
      <c r="O34" s="30" t="str">
        <f aca="false">IF($B34="","",IF(AND($K34="Y",OR($D34="later",$J34="Y")),"Y","N"))</f>
        <v/>
      </c>
      <c r="P34" s="30" t="str">
        <f aca="false">IF(OR($B34="",$E34=""),"",$B34&amp;"_"&amp;$C34&amp;"_"&amp;$D34&amp;"_"&amp;TEXT($E34,"yyyy-mm-dd")&amp;".jpg")</f>
        <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
      </c>
      <c r="S34" s="30" t="str">
        <f aca="false">IF($B34="","",$R34&amp;"|"&amp;N($E34))</f>
        <v/>
      </c>
    </row>
    <row r="35" customFormat="false" ht="15" hidden="false" customHeight="false" outlineLevel="0" collapsed="false">
      <c r="D35" s="10"/>
      <c r="E35" s="11"/>
      <c r="F35" s="38"/>
      <c r="G35" s="10"/>
      <c r="I35" s="11"/>
      <c r="J35" s="10"/>
      <c r="K35" s="10"/>
      <c r="M35" s="31" t="str">
        <f aca="false">IF($B35="","",IFERROR(IF(INDEX(campaigns!$BG$2:$BG$51,MATCH($B35,campaigns!$A$2:$A$51,0))="","",INDEX(campaigns!$BG$2:$BG$51,MATCH($B35,campaigns!$A$2:$A$51,0))),""))</f>
        <v/>
      </c>
      <c r="N35" s="30" t="str">
        <f aca="false">IF(OR($B35="",$E35="",$M35=""),"",IF($E35&lt;$M35,0,NETWORKDAYS($M35,$E35,calendar!$A$2:$A$80)))</f>
        <v/>
      </c>
      <c r="O35" s="30" t="str">
        <f aca="false">IF($B35="","",IF(AND($K35="Y",OR($D35="later",$J35="Y")),"Y","N"))</f>
        <v/>
      </c>
      <c r="P35" s="30" t="str">
        <f aca="false">IF(OR($B35="",$E35=""),"",$B35&amp;"_"&amp;$C35&amp;"_"&amp;$D35&amp;"_"&amp;TEXT($E35,"yyyy-mm-dd")&amp;".jpg")</f>
        <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
      </c>
      <c r="S35" s="30" t="str">
        <f aca="false">IF($B35="","",$R35&amp;"|"&amp;N($E35))</f>
        <v/>
      </c>
    </row>
    <row r="36" customFormat="false" ht="15" hidden="false" customHeight="false" outlineLevel="0" collapsed="false">
      <c r="D36" s="10"/>
      <c r="E36" s="11"/>
      <c r="F36" s="38"/>
      <c r="G36" s="10"/>
      <c r="I36" s="11"/>
      <c r="J36" s="10"/>
      <c r="K36" s="10"/>
      <c r="M36" s="31" t="str">
        <f aca="false">IF($B36="","",IFERROR(IF(INDEX(campaigns!$BG$2:$BG$51,MATCH($B36,campaigns!$A$2:$A$51,0))="","",INDEX(campaigns!$BG$2:$BG$51,MATCH($B36,campaigns!$A$2:$A$51,0))),""))</f>
        <v/>
      </c>
      <c r="N36" s="30" t="str">
        <f aca="false">IF(OR($B36="",$E36="",$M36=""),"",IF($E36&lt;$M36,0,NETWORKDAYS($M36,$E36,calendar!$A$2:$A$80)))</f>
        <v/>
      </c>
      <c r="O36" s="30" t="str">
        <f aca="false">IF($B36="","",IF(AND($K36="Y",OR($D36="later",$J36="Y")),"Y","N"))</f>
        <v/>
      </c>
      <c r="P36" s="30" t="str">
        <f aca="false">IF(OR($B36="",$E36=""),"",$B36&amp;"_"&amp;$C36&amp;"_"&amp;$D36&amp;"_"&amp;TEXT($E36,"yyyy-mm-dd")&amp;".jpg")</f>
        <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
      </c>
      <c r="S36" s="30" t="str">
        <f aca="false">IF($B36="","",$R36&amp;"|"&amp;N($E36))</f>
        <v/>
      </c>
    </row>
    <row r="37" customFormat="false" ht="15" hidden="false" customHeight="false" outlineLevel="0" collapsed="false">
      <c r="D37" s="10"/>
      <c r="E37" s="11"/>
      <c r="F37" s="38"/>
      <c r="G37" s="10"/>
      <c r="I37" s="11"/>
      <c r="J37" s="10"/>
      <c r="K37" s="10"/>
      <c r="M37" s="31" t="str">
        <f aca="false">IF($B37="","",IFERROR(IF(INDEX(campaigns!$BG$2:$BG$51,MATCH($B37,campaigns!$A$2:$A$51,0))="","",INDEX(campaigns!$BG$2:$BG$51,MATCH($B37,campaigns!$A$2:$A$51,0))),""))</f>
        <v/>
      </c>
      <c r="N37" s="30" t="str">
        <f aca="false">IF(OR($B37="",$E37="",$M37=""),"",IF($E37&lt;$M37,0,NETWORKDAYS($M37,$E37,calendar!$A$2:$A$80)))</f>
        <v/>
      </c>
      <c r="O37" s="30" t="str">
        <f aca="false">IF($B37="","",IF(AND($K37="Y",OR($D37="later",$J37="Y")),"Y","N"))</f>
        <v/>
      </c>
      <c r="P37" s="30" t="str">
        <f aca="false">IF(OR($B37="",$E37=""),"",$B37&amp;"_"&amp;$C37&amp;"_"&amp;$D37&amp;"_"&amp;TEXT($E37,"yyyy-mm-dd")&amp;".jpg")</f>
        <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
      </c>
      <c r="S37" s="30" t="str">
        <f aca="false">IF($B37="","",$R37&amp;"|"&amp;N($E37))</f>
        <v/>
      </c>
    </row>
    <row r="38" customFormat="false" ht="15" hidden="false" customHeight="false" outlineLevel="0" collapsed="false">
      <c r="D38" s="10"/>
      <c r="E38" s="11"/>
      <c r="F38" s="38"/>
      <c r="G38" s="10"/>
      <c r="I38" s="11"/>
      <c r="J38" s="10"/>
      <c r="K38" s="10"/>
      <c r="M38" s="31" t="str">
        <f aca="false">IF($B38="","",IFERROR(IF(INDEX(campaigns!$BG$2:$BG$51,MATCH($B38,campaigns!$A$2:$A$51,0))="","",INDEX(campaigns!$BG$2:$BG$51,MATCH($B38,campaigns!$A$2:$A$51,0))),""))</f>
        <v/>
      </c>
      <c r="N38" s="30" t="str">
        <f aca="false">IF(OR($B38="",$E38="",$M38=""),"",IF($E38&lt;$M38,0,NETWORKDAYS($M38,$E38,calendar!$A$2:$A$80)))</f>
        <v/>
      </c>
      <c r="O38" s="30" t="str">
        <f aca="false">IF($B38="","",IF(AND($K38="Y",OR($D38="later",$J38="Y")),"Y","N"))</f>
        <v/>
      </c>
      <c r="P38" s="30" t="str">
        <f aca="false">IF(OR($B38="",$E38=""),"",$B38&amp;"_"&amp;$C38&amp;"_"&amp;$D38&amp;"_"&amp;TEXT($E38,"yyyy-mm-dd")&amp;".jpg")</f>
        <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
      </c>
      <c r="S38" s="30" t="str">
        <f aca="false">IF($B38="","",$R38&amp;"|"&amp;N($E38))</f>
        <v/>
      </c>
    </row>
    <row r="39" customFormat="false" ht="15" hidden="false" customHeight="false" outlineLevel="0" collapsed="false">
      <c r="D39" s="10"/>
      <c r="E39" s="11"/>
      <c r="F39" s="38"/>
      <c r="G39" s="10"/>
      <c r="I39" s="11"/>
      <c r="J39" s="10"/>
      <c r="K39" s="10"/>
      <c r="M39" s="31" t="str">
        <f aca="false">IF($B39="","",IFERROR(IF(INDEX(campaigns!$BG$2:$BG$51,MATCH($B39,campaigns!$A$2:$A$51,0))="","",INDEX(campaigns!$BG$2:$BG$51,MATCH($B39,campaigns!$A$2:$A$51,0))),""))</f>
        <v/>
      </c>
      <c r="N39" s="30" t="str">
        <f aca="false">IF(OR($B39="",$E39="",$M39=""),"",IF($E39&lt;$M39,0,NETWORKDAYS($M39,$E39,calendar!$A$2:$A$80)))</f>
        <v/>
      </c>
      <c r="O39" s="30" t="str">
        <f aca="false">IF($B39="","",IF(AND($K39="Y",OR($D39="later",$J39="Y")),"Y","N"))</f>
        <v/>
      </c>
      <c r="P39" s="30" t="str">
        <f aca="false">IF(OR($B39="",$E39=""),"",$B39&amp;"_"&amp;$C39&amp;"_"&amp;$D39&amp;"_"&amp;TEXT($E39,"yyyy-mm-dd")&amp;".jpg")</f>
        <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
      </c>
      <c r="S39" s="30" t="str">
        <f aca="false">IF($B39="","",$R39&amp;"|"&amp;N($E39))</f>
        <v/>
      </c>
    </row>
    <row r="40" customFormat="false" ht="15" hidden="false" customHeight="false" outlineLevel="0" collapsed="false">
      <c r="D40" s="10"/>
      <c r="E40" s="11"/>
      <c r="F40" s="38"/>
      <c r="G40" s="10"/>
      <c r="I40" s="11"/>
      <c r="J40" s="10"/>
      <c r="K40" s="10"/>
      <c r="M40" s="31" t="str">
        <f aca="false">IF($B40="","",IFERROR(IF(INDEX(campaigns!$BG$2:$BG$51,MATCH($B40,campaigns!$A$2:$A$51,0))="","",INDEX(campaigns!$BG$2:$BG$51,MATCH($B40,campaigns!$A$2:$A$51,0))),""))</f>
        <v/>
      </c>
      <c r="N40" s="30" t="str">
        <f aca="false">IF(OR($B40="",$E40="",$M40=""),"",IF($E40&lt;$M40,0,NETWORKDAYS($M40,$E40,calendar!$A$2:$A$80)))</f>
        <v/>
      </c>
      <c r="O40" s="30" t="str">
        <f aca="false">IF($B40="","",IF(AND($K40="Y",OR($D40="later",$J40="Y")),"Y","N"))</f>
        <v/>
      </c>
      <c r="P40" s="30" t="str">
        <f aca="false">IF(OR($B40="",$E40=""),"",$B40&amp;"_"&amp;$C40&amp;"_"&amp;$D40&amp;"_"&amp;TEXT($E40,"yyyy-mm-dd")&amp;".jpg")</f>
        <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
      </c>
      <c r="S40" s="30" t="str">
        <f aca="false">IF($B40="","",$R40&amp;"|"&amp;N($E40))</f>
        <v/>
      </c>
    </row>
    <row r="41" customFormat="false" ht="15" hidden="false" customHeight="false" outlineLevel="0" collapsed="false">
      <c r="D41" s="10"/>
      <c r="E41" s="11"/>
      <c r="F41" s="38"/>
      <c r="G41" s="10"/>
      <c r="I41" s="11"/>
      <c r="J41" s="10"/>
      <c r="K41" s="10"/>
      <c r="M41" s="31" t="str">
        <f aca="false">IF($B41="","",IFERROR(IF(INDEX(campaigns!$BG$2:$BG$51,MATCH($B41,campaigns!$A$2:$A$51,0))="","",INDEX(campaigns!$BG$2:$BG$51,MATCH($B41,campaigns!$A$2:$A$51,0))),""))</f>
        <v/>
      </c>
      <c r="N41" s="30" t="str">
        <f aca="false">IF(OR($B41="",$E41="",$M41=""),"",IF($E41&lt;$M41,0,NETWORKDAYS($M41,$E41,calendar!$A$2:$A$80)))</f>
        <v/>
      </c>
      <c r="O41" s="30" t="str">
        <f aca="false">IF($B41="","",IF(AND($K41="Y",OR($D41="later",$J41="Y")),"Y","N"))</f>
        <v/>
      </c>
      <c r="P41" s="30" t="str">
        <f aca="false">IF(OR($B41="",$E41=""),"",$B41&amp;"_"&amp;$C41&amp;"_"&amp;$D41&amp;"_"&amp;TEXT($E41,"yyyy-mm-dd")&amp;".jpg")</f>
        <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
      </c>
      <c r="S41" s="30" t="str">
        <f aca="false">IF($B41="","",$R41&amp;"|"&amp;N($E41))</f>
        <v/>
      </c>
    </row>
    <row r="42" customFormat="false" ht="15" hidden="false" customHeight="false" outlineLevel="0" collapsed="false">
      <c r="D42" s="10"/>
      <c r="E42" s="11"/>
      <c r="F42" s="38"/>
      <c r="G42" s="10"/>
      <c r="I42" s="11"/>
      <c r="J42" s="10"/>
      <c r="K42" s="10"/>
      <c r="M42" s="31" t="str">
        <f aca="false">IF($B42="","",IFERROR(IF(INDEX(campaigns!$BG$2:$BG$51,MATCH($B42,campaigns!$A$2:$A$51,0))="","",INDEX(campaigns!$BG$2:$BG$51,MATCH($B42,campaigns!$A$2:$A$51,0))),""))</f>
        <v/>
      </c>
      <c r="N42" s="30" t="str">
        <f aca="false">IF(OR($B42="",$E42="",$M42=""),"",IF($E42&lt;$M42,0,NETWORKDAYS($M42,$E42,calendar!$A$2:$A$80)))</f>
        <v/>
      </c>
      <c r="O42" s="30" t="str">
        <f aca="false">IF($B42="","",IF(AND($K42="Y",OR($D42="later",$J42="Y")),"Y","N"))</f>
        <v/>
      </c>
      <c r="P42" s="30" t="str">
        <f aca="false">IF(OR($B42="",$E42=""),"",$B42&amp;"_"&amp;$C42&amp;"_"&amp;$D42&amp;"_"&amp;TEXT($E42,"yyyy-mm-dd")&amp;".jpg")</f>
        <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
      </c>
      <c r="S42" s="30" t="str">
        <f aca="false">IF($B42="","",$R42&amp;"|"&amp;N($E42))</f>
        <v/>
      </c>
    </row>
    <row r="43" customFormat="false" ht="15" hidden="false" customHeight="false" outlineLevel="0" collapsed="false">
      <c r="D43" s="10"/>
      <c r="E43" s="11"/>
      <c r="F43" s="38"/>
      <c r="G43" s="10"/>
      <c r="I43" s="11"/>
      <c r="J43" s="10"/>
      <c r="K43" s="10"/>
      <c r="M43" s="31" t="str">
        <f aca="false">IF($B43="","",IFERROR(IF(INDEX(campaigns!$BG$2:$BG$51,MATCH($B43,campaigns!$A$2:$A$51,0))="","",INDEX(campaigns!$BG$2:$BG$51,MATCH($B43,campaigns!$A$2:$A$51,0))),""))</f>
        <v/>
      </c>
      <c r="N43" s="30" t="str">
        <f aca="false">IF(OR($B43="",$E43="",$M43=""),"",IF($E43&lt;$M43,0,NETWORKDAYS($M43,$E43,calendar!$A$2:$A$80)))</f>
        <v/>
      </c>
      <c r="O43" s="30" t="str">
        <f aca="false">IF($B43="","",IF(AND($K43="Y",OR($D43="later",$J43="Y")),"Y","N"))</f>
        <v/>
      </c>
      <c r="P43" s="30" t="str">
        <f aca="false">IF(OR($B43="",$E43=""),"",$B43&amp;"_"&amp;$C43&amp;"_"&amp;$D43&amp;"_"&amp;TEXT($E43,"yyyy-mm-dd")&amp;".jpg")</f>
        <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
      </c>
      <c r="S43" s="30" t="str">
        <f aca="false">IF($B43="","",$R43&amp;"|"&amp;N($E43))</f>
        <v/>
      </c>
    </row>
    <row r="44" customFormat="false" ht="15" hidden="false" customHeight="false" outlineLevel="0" collapsed="false">
      <c r="D44" s="10"/>
      <c r="E44" s="11"/>
      <c r="F44" s="38"/>
      <c r="G44" s="10"/>
      <c r="I44" s="11"/>
      <c r="J44" s="10"/>
      <c r="K44" s="10"/>
      <c r="M44" s="31" t="str">
        <f aca="false">IF($B44="","",IFERROR(IF(INDEX(campaigns!$BG$2:$BG$51,MATCH($B44,campaigns!$A$2:$A$51,0))="","",INDEX(campaigns!$BG$2:$BG$51,MATCH($B44,campaigns!$A$2:$A$51,0))),""))</f>
        <v/>
      </c>
      <c r="N44" s="30" t="str">
        <f aca="false">IF(OR($B44="",$E44="",$M44=""),"",IF($E44&lt;$M44,0,NETWORKDAYS($M44,$E44,calendar!$A$2:$A$80)))</f>
        <v/>
      </c>
      <c r="O44" s="30" t="str">
        <f aca="false">IF($B44="","",IF(AND($K44="Y",OR($D44="later",$J44="Y")),"Y","N"))</f>
        <v/>
      </c>
      <c r="P44" s="30" t="str">
        <f aca="false">IF(OR($B44="",$E44=""),"",$B44&amp;"_"&amp;$C44&amp;"_"&amp;$D44&amp;"_"&amp;TEXT($E44,"yyyy-mm-dd")&amp;".jpg")</f>
        <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
      </c>
      <c r="S44" s="30" t="str">
        <f aca="false">IF($B44="","",$R44&amp;"|"&amp;N($E44))</f>
        <v/>
      </c>
    </row>
    <row r="45" customFormat="false" ht="15" hidden="false" customHeight="false" outlineLevel="0" collapsed="false">
      <c r="D45" s="10"/>
      <c r="E45" s="11"/>
      <c r="F45" s="38"/>
      <c r="G45" s="10"/>
      <c r="I45" s="11"/>
      <c r="J45" s="10"/>
      <c r="K45" s="10"/>
      <c r="M45" s="31" t="str">
        <f aca="false">IF($B45="","",IFERROR(IF(INDEX(campaigns!$BG$2:$BG$51,MATCH($B45,campaigns!$A$2:$A$51,0))="","",INDEX(campaigns!$BG$2:$BG$51,MATCH($B45,campaigns!$A$2:$A$51,0))),""))</f>
        <v/>
      </c>
      <c r="N45" s="30" t="str">
        <f aca="false">IF(OR($B45="",$E45="",$M45=""),"",IF($E45&lt;$M45,0,NETWORKDAYS($M45,$E45,calendar!$A$2:$A$80)))</f>
        <v/>
      </c>
      <c r="O45" s="30" t="str">
        <f aca="false">IF($B45="","",IF(AND($K45="Y",OR($D45="later",$J45="Y")),"Y","N"))</f>
        <v/>
      </c>
      <c r="P45" s="30" t="str">
        <f aca="false">IF(OR($B45="",$E45=""),"",$B45&amp;"_"&amp;$C45&amp;"_"&amp;$D45&amp;"_"&amp;TEXT($E45,"yyyy-mm-dd")&amp;".jpg")</f>
        <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
      </c>
      <c r="S45" s="30" t="str">
        <f aca="false">IF($B45="","",$R45&amp;"|"&amp;N($E45))</f>
        <v/>
      </c>
    </row>
    <row r="46" customFormat="false" ht="15" hidden="false" customHeight="false" outlineLevel="0" collapsed="false">
      <c r="D46" s="10"/>
      <c r="E46" s="11"/>
      <c r="F46" s="38"/>
      <c r="G46" s="10"/>
      <c r="I46" s="11"/>
      <c r="J46" s="10"/>
      <c r="K46" s="10"/>
      <c r="M46" s="31" t="str">
        <f aca="false">IF($B46="","",IFERROR(IF(INDEX(campaigns!$BG$2:$BG$51,MATCH($B46,campaigns!$A$2:$A$51,0))="","",INDEX(campaigns!$BG$2:$BG$51,MATCH($B46,campaigns!$A$2:$A$51,0))),""))</f>
        <v/>
      </c>
      <c r="N46" s="30" t="str">
        <f aca="false">IF(OR($B46="",$E46="",$M46=""),"",IF($E46&lt;$M46,0,NETWORKDAYS($M46,$E46,calendar!$A$2:$A$80)))</f>
        <v/>
      </c>
      <c r="O46" s="30" t="str">
        <f aca="false">IF($B46="","",IF(AND($K46="Y",OR($D46="later",$J46="Y")),"Y","N"))</f>
        <v/>
      </c>
      <c r="P46" s="30" t="str">
        <f aca="false">IF(OR($B46="",$E46=""),"",$B46&amp;"_"&amp;$C46&amp;"_"&amp;$D46&amp;"_"&amp;TEXT($E46,"yyyy-mm-dd")&amp;".jpg")</f>
        <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
      </c>
      <c r="S46" s="30" t="str">
        <f aca="false">IF($B46="","",$R46&amp;"|"&amp;N($E46))</f>
        <v/>
      </c>
    </row>
    <row r="47" customFormat="false" ht="15" hidden="false" customHeight="false" outlineLevel="0" collapsed="false">
      <c r="D47" s="10"/>
      <c r="E47" s="11"/>
      <c r="F47" s="38"/>
      <c r="G47" s="10"/>
      <c r="I47" s="11"/>
      <c r="J47" s="10"/>
      <c r="K47" s="10"/>
      <c r="M47" s="31" t="str">
        <f aca="false">IF($B47="","",IFERROR(IF(INDEX(campaigns!$BG$2:$BG$51,MATCH($B47,campaigns!$A$2:$A$51,0))="","",INDEX(campaigns!$BG$2:$BG$51,MATCH($B47,campaigns!$A$2:$A$51,0))),""))</f>
        <v/>
      </c>
      <c r="N47" s="30" t="str">
        <f aca="false">IF(OR($B47="",$E47="",$M47=""),"",IF($E47&lt;$M47,0,NETWORKDAYS($M47,$E47,calendar!$A$2:$A$80)))</f>
        <v/>
      </c>
      <c r="O47" s="30" t="str">
        <f aca="false">IF($B47="","",IF(AND($K47="Y",OR($D47="later",$J47="Y")),"Y","N"))</f>
        <v/>
      </c>
      <c r="P47" s="30" t="str">
        <f aca="false">IF(OR($B47="",$E47=""),"",$B47&amp;"_"&amp;$C47&amp;"_"&amp;$D47&amp;"_"&amp;TEXT($E47,"yyyy-mm-dd")&amp;".jpg")</f>
        <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
      </c>
      <c r="S47" s="30" t="str">
        <f aca="false">IF($B47="","",$R47&amp;"|"&amp;N($E47))</f>
        <v/>
      </c>
    </row>
    <row r="48" customFormat="false" ht="15" hidden="false" customHeight="false" outlineLevel="0" collapsed="false">
      <c r="D48" s="10"/>
      <c r="E48" s="11"/>
      <c r="F48" s="38"/>
      <c r="G48" s="10"/>
      <c r="I48" s="11"/>
      <c r="J48" s="10"/>
      <c r="K48" s="10"/>
      <c r="M48" s="31" t="str">
        <f aca="false">IF($B48="","",IFERROR(IF(INDEX(campaigns!$BG$2:$BG$51,MATCH($B48,campaigns!$A$2:$A$51,0))="","",INDEX(campaigns!$BG$2:$BG$51,MATCH($B48,campaigns!$A$2:$A$51,0))),""))</f>
        <v/>
      </c>
      <c r="N48" s="30" t="str">
        <f aca="false">IF(OR($B48="",$E48="",$M48=""),"",IF($E48&lt;$M48,0,NETWORKDAYS($M48,$E48,calendar!$A$2:$A$80)))</f>
        <v/>
      </c>
      <c r="O48" s="30" t="str">
        <f aca="false">IF($B48="","",IF(AND($K48="Y",OR($D48="later",$J48="Y")),"Y","N"))</f>
        <v/>
      </c>
      <c r="P48" s="30" t="str">
        <f aca="false">IF(OR($B48="",$E48=""),"",$B48&amp;"_"&amp;$C48&amp;"_"&amp;$D48&amp;"_"&amp;TEXT($E48,"yyyy-mm-dd")&amp;".jpg")</f>
        <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
      </c>
      <c r="S48" s="30" t="str">
        <f aca="false">IF($B48="","",$R48&amp;"|"&amp;N($E48))</f>
        <v/>
      </c>
    </row>
    <row r="49" customFormat="false" ht="15" hidden="false" customHeight="false" outlineLevel="0" collapsed="false">
      <c r="D49" s="10"/>
      <c r="E49" s="11"/>
      <c r="F49" s="38"/>
      <c r="G49" s="10"/>
      <c r="I49" s="11"/>
      <c r="J49" s="10"/>
      <c r="K49" s="10"/>
      <c r="M49" s="31" t="str">
        <f aca="false">IF($B49="","",IFERROR(IF(INDEX(campaigns!$BG$2:$BG$51,MATCH($B49,campaigns!$A$2:$A$51,0))="","",INDEX(campaigns!$BG$2:$BG$51,MATCH($B49,campaigns!$A$2:$A$51,0))),""))</f>
        <v/>
      </c>
      <c r="N49" s="30" t="str">
        <f aca="false">IF(OR($B49="",$E49="",$M49=""),"",IF($E49&lt;$M49,0,NETWORKDAYS($M49,$E49,calendar!$A$2:$A$80)))</f>
        <v/>
      </c>
      <c r="O49" s="30" t="str">
        <f aca="false">IF($B49="","",IF(AND($K49="Y",OR($D49="later",$J49="Y")),"Y","N"))</f>
        <v/>
      </c>
      <c r="P49" s="30" t="str">
        <f aca="false">IF(OR($B49="",$E49=""),"",$B49&amp;"_"&amp;$C49&amp;"_"&amp;$D49&amp;"_"&amp;TEXT($E49,"yyyy-mm-dd")&amp;".jpg")</f>
        <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
      </c>
      <c r="S49" s="30" t="str">
        <f aca="false">IF($B49="","",$R49&amp;"|"&amp;N($E49))</f>
        <v/>
      </c>
    </row>
    <row r="50" customFormat="false" ht="15" hidden="false" customHeight="false" outlineLevel="0" collapsed="false">
      <c r="D50" s="10"/>
      <c r="E50" s="11"/>
      <c r="F50" s="38"/>
      <c r="G50" s="10"/>
      <c r="I50" s="11"/>
      <c r="J50" s="10"/>
      <c r="K50" s="10"/>
      <c r="M50" s="31" t="str">
        <f aca="false">IF($B50="","",IFERROR(IF(INDEX(campaigns!$BG$2:$BG$51,MATCH($B50,campaigns!$A$2:$A$51,0))="","",INDEX(campaigns!$BG$2:$BG$51,MATCH($B50,campaigns!$A$2:$A$51,0))),""))</f>
        <v/>
      </c>
      <c r="N50" s="30" t="str">
        <f aca="false">IF(OR($B50="",$E50="",$M50=""),"",IF($E50&lt;$M50,0,NETWORKDAYS($M50,$E50,calendar!$A$2:$A$80)))</f>
        <v/>
      </c>
      <c r="O50" s="30" t="str">
        <f aca="false">IF($B50="","",IF(AND($K50="Y",OR($D50="later",$J50="Y")),"Y","N"))</f>
        <v/>
      </c>
      <c r="P50" s="30" t="str">
        <f aca="false">IF(OR($B50="",$E50=""),"",$B50&amp;"_"&amp;$C50&amp;"_"&amp;$D50&amp;"_"&amp;TEXT($E50,"yyyy-mm-dd")&amp;".jpg")</f>
        <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
      </c>
      <c r="S50" s="30" t="str">
        <f aca="false">IF($B50="","",$R50&amp;"|"&amp;N($E50))</f>
        <v/>
      </c>
    </row>
    <row r="51" customFormat="false" ht="15" hidden="false" customHeight="false" outlineLevel="0" collapsed="false">
      <c r="D51" s="10"/>
      <c r="E51" s="11"/>
      <c r="F51" s="38"/>
      <c r="G51" s="10"/>
      <c r="I51" s="11"/>
      <c r="J51" s="10"/>
      <c r="K51" s="10"/>
      <c r="M51" s="31" t="str">
        <f aca="false">IF($B51="","",IFERROR(IF(INDEX(campaigns!$BG$2:$BG$51,MATCH($B51,campaigns!$A$2:$A$51,0))="","",INDEX(campaigns!$BG$2:$BG$51,MATCH($B51,campaigns!$A$2:$A$51,0))),""))</f>
        <v/>
      </c>
      <c r="N51" s="30" t="str">
        <f aca="false">IF(OR($B51="",$E51="",$M51=""),"",IF($E51&lt;$M51,0,NETWORKDAYS($M51,$E51,calendar!$A$2:$A$80)))</f>
        <v/>
      </c>
      <c r="O51" s="30" t="str">
        <f aca="false">IF($B51="","",IF(AND($K51="Y",OR($D51="later",$J51="Y")),"Y","N"))</f>
        <v/>
      </c>
      <c r="P51" s="30" t="str">
        <f aca="false">IF(OR($B51="",$E51=""),"",$B51&amp;"_"&amp;$C51&amp;"_"&amp;$D51&amp;"_"&amp;TEXT($E51,"yyyy-mm-dd")&amp;".jpg")</f>
        <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
      </c>
      <c r="S51" s="30" t="str">
        <f aca="false">IF($B51="","",$R51&amp;"|"&amp;N($E51))</f>
        <v/>
      </c>
    </row>
    <row r="52" customFormat="false" ht="15" hidden="false" customHeight="false" outlineLevel="0" collapsed="false">
      <c r="D52" s="10"/>
      <c r="E52" s="11"/>
      <c r="F52" s="38"/>
      <c r="G52" s="10"/>
      <c r="I52" s="11"/>
      <c r="J52" s="10"/>
      <c r="K52" s="10"/>
      <c r="M52" s="31" t="str">
        <f aca="false">IF($B52="","",IFERROR(IF(INDEX(campaigns!$BG$2:$BG$51,MATCH($B52,campaigns!$A$2:$A$51,0))="","",INDEX(campaigns!$BG$2:$BG$51,MATCH($B52,campaigns!$A$2:$A$51,0))),""))</f>
        <v/>
      </c>
      <c r="N52" s="30" t="str">
        <f aca="false">IF(OR($B52="",$E52="",$M52=""),"",IF($E52&lt;$M52,0,NETWORKDAYS($M52,$E52,calendar!$A$2:$A$80)))</f>
        <v/>
      </c>
      <c r="O52" s="30" t="str">
        <f aca="false">IF($B52="","",IF(AND($K52="Y",OR($D52="later",$J52="Y")),"Y","N"))</f>
        <v/>
      </c>
      <c r="P52" s="30" t="str">
        <f aca="false">IF(OR($B52="",$E52=""),"",$B52&amp;"_"&amp;$C52&amp;"_"&amp;$D52&amp;"_"&amp;TEXT($E52,"yyyy-mm-dd")&amp;".jpg")</f>
        <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
      </c>
      <c r="S52" s="30" t="str">
        <f aca="false">IF($B52="","",$R52&amp;"|"&amp;N($E52))</f>
        <v/>
      </c>
    </row>
    <row r="53" customFormat="false" ht="15" hidden="false" customHeight="false" outlineLevel="0" collapsed="false">
      <c r="D53" s="10"/>
      <c r="E53" s="11"/>
      <c r="F53" s="38"/>
      <c r="G53" s="10"/>
      <c r="I53" s="11"/>
      <c r="J53" s="10"/>
      <c r="K53" s="10"/>
      <c r="M53" s="31" t="str">
        <f aca="false">IF($B53="","",IFERROR(IF(INDEX(campaigns!$BG$2:$BG$51,MATCH($B53,campaigns!$A$2:$A$51,0))="","",INDEX(campaigns!$BG$2:$BG$51,MATCH($B53,campaigns!$A$2:$A$51,0))),""))</f>
        <v/>
      </c>
      <c r="N53" s="30" t="str">
        <f aca="false">IF(OR($B53="",$E53="",$M53=""),"",IF($E53&lt;$M53,0,NETWORKDAYS($M53,$E53,calendar!$A$2:$A$80)))</f>
        <v/>
      </c>
      <c r="O53" s="30" t="str">
        <f aca="false">IF($B53="","",IF(AND($K53="Y",OR($D53="later",$J53="Y")),"Y","N"))</f>
        <v/>
      </c>
      <c r="P53" s="30" t="str">
        <f aca="false">IF(OR($B53="",$E53=""),"",$B53&amp;"_"&amp;$C53&amp;"_"&amp;$D53&amp;"_"&amp;TEXT($E53,"yyyy-mm-dd")&amp;".jpg")</f>
        <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
      </c>
      <c r="S53" s="30" t="str">
        <f aca="false">IF($B53="","",$R53&amp;"|"&amp;N($E53))</f>
        <v/>
      </c>
    </row>
    <row r="54" customFormat="false" ht="15" hidden="false" customHeight="false" outlineLevel="0" collapsed="false">
      <c r="D54" s="10"/>
      <c r="E54" s="11"/>
      <c r="F54" s="38"/>
      <c r="G54" s="10"/>
      <c r="I54" s="11"/>
      <c r="J54" s="10"/>
      <c r="K54" s="10"/>
      <c r="M54" s="31" t="str">
        <f aca="false">IF($B54="","",IFERROR(IF(INDEX(campaigns!$BG$2:$BG$51,MATCH($B54,campaigns!$A$2:$A$51,0))="","",INDEX(campaigns!$BG$2:$BG$51,MATCH($B54,campaigns!$A$2:$A$51,0))),""))</f>
        <v/>
      </c>
      <c r="N54" s="30" t="str">
        <f aca="false">IF(OR($B54="",$E54="",$M54=""),"",IF($E54&lt;$M54,0,NETWORKDAYS($M54,$E54,calendar!$A$2:$A$80)))</f>
        <v/>
      </c>
      <c r="O54" s="30" t="str">
        <f aca="false">IF($B54="","",IF(AND($K54="Y",OR($D54="later",$J54="Y")),"Y","N"))</f>
        <v/>
      </c>
      <c r="P54" s="30" t="str">
        <f aca="false">IF(OR($B54="",$E54=""),"",$B54&amp;"_"&amp;$C54&amp;"_"&amp;$D54&amp;"_"&amp;TEXT($E54,"yyyy-mm-dd")&amp;".jpg")</f>
        <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
      </c>
      <c r="S54" s="30" t="str">
        <f aca="false">IF($B54="","",$R54&amp;"|"&amp;N($E54))</f>
        <v/>
      </c>
    </row>
    <row r="55" customFormat="false" ht="15" hidden="false" customHeight="false" outlineLevel="0" collapsed="false">
      <c r="D55" s="10"/>
      <c r="E55" s="11"/>
      <c r="F55" s="38"/>
      <c r="G55" s="10"/>
      <c r="I55" s="11"/>
      <c r="J55" s="10"/>
      <c r="K55" s="10"/>
      <c r="M55" s="31" t="str">
        <f aca="false">IF($B55="","",IFERROR(IF(INDEX(campaigns!$BG$2:$BG$51,MATCH($B55,campaigns!$A$2:$A$51,0))="","",INDEX(campaigns!$BG$2:$BG$51,MATCH($B55,campaigns!$A$2:$A$51,0))),""))</f>
        <v/>
      </c>
      <c r="N55" s="30" t="str">
        <f aca="false">IF(OR($B55="",$E55="",$M55=""),"",IF($E55&lt;$M55,0,NETWORKDAYS($M55,$E55,calendar!$A$2:$A$80)))</f>
        <v/>
      </c>
      <c r="O55" s="30" t="str">
        <f aca="false">IF($B55="","",IF(AND($K55="Y",OR($D55="later",$J55="Y")),"Y","N"))</f>
        <v/>
      </c>
      <c r="P55" s="30" t="str">
        <f aca="false">IF(OR($B55="",$E55=""),"",$B55&amp;"_"&amp;$C55&amp;"_"&amp;$D55&amp;"_"&amp;TEXT($E55,"yyyy-mm-dd")&amp;".jpg")</f>
        <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
      </c>
      <c r="S55" s="30" t="str">
        <f aca="false">IF($B55="","",$R55&amp;"|"&amp;N($E55))</f>
        <v/>
      </c>
    </row>
    <row r="56" customFormat="false" ht="15" hidden="false" customHeight="false" outlineLevel="0" collapsed="false">
      <c r="D56" s="10"/>
      <c r="E56" s="11"/>
      <c r="F56" s="38"/>
      <c r="G56" s="10"/>
      <c r="I56" s="11"/>
      <c r="J56" s="10"/>
      <c r="K56" s="10"/>
      <c r="M56" s="31" t="str">
        <f aca="false">IF($B56="","",IFERROR(IF(INDEX(campaigns!$BG$2:$BG$51,MATCH($B56,campaigns!$A$2:$A$51,0))="","",INDEX(campaigns!$BG$2:$BG$51,MATCH($B56,campaigns!$A$2:$A$51,0))),""))</f>
        <v/>
      </c>
      <c r="N56" s="30" t="str">
        <f aca="false">IF(OR($B56="",$E56="",$M56=""),"",IF($E56&lt;$M56,0,NETWORKDAYS($M56,$E56,calendar!$A$2:$A$80)))</f>
        <v/>
      </c>
      <c r="O56" s="30" t="str">
        <f aca="false">IF($B56="","",IF(AND($K56="Y",OR($D56="later",$J56="Y")),"Y","N"))</f>
        <v/>
      </c>
      <c r="P56" s="30" t="str">
        <f aca="false">IF(OR($B56="",$E56=""),"",$B56&amp;"_"&amp;$C56&amp;"_"&amp;$D56&amp;"_"&amp;TEXT($E56,"yyyy-mm-dd")&amp;".jpg")</f>
        <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
      </c>
      <c r="S56" s="30" t="str">
        <f aca="false">IF($B56="","",$R56&amp;"|"&amp;N($E56))</f>
        <v/>
      </c>
    </row>
    <row r="57" customFormat="false" ht="15" hidden="false" customHeight="false" outlineLevel="0" collapsed="false">
      <c r="D57" s="10"/>
      <c r="E57" s="11"/>
      <c r="F57" s="38"/>
      <c r="G57" s="10"/>
      <c r="I57" s="11"/>
      <c r="J57" s="10"/>
      <c r="K57" s="10"/>
      <c r="M57" s="31" t="str">
        <f aca="false">IF($B57="","",IFERROR(IF(INDEX(campaigns!$BG$2:$BG$51,MATCH($B57,campaigns!$A$2:$A$51,0))="","",INDEX(campaigns!$BG$2:$BG$51,MATCH($B57,campaigns!$A$2:$A$51,0))),""))</f>
        <v/>
      </c>
      <c r="N57" s="30" t="str">
        <f aca="false">IF(OR($B57="",$E57="",$M57=""),"",IF($E57&lt;$M57,0,NETWORKDAYS($M57,$E57,calendar!$A$2:$A$80)))</f>
        <v/>
      </c>
      <c r="O57" s="30" t="str">
        <f aca="false">IF($B57="","",IF(AND($K57="Y",OR($D57="later",$J57="Y")),"Y","N"))</f>
        <v/>
      </c>
      <c r="P57" s="30" t="str">
        <f aca="false">IF(OR($B57="",$E57=""),"",$B57&amp;"_"&amp;$C57&amp;"_"&amp;$D57&amp;"_"&amp;TEXT($E57,"yyyy-mm-dd")&amp;".jpg")</f>
        <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
      </c>
      <c r="S57" s="30" t="str">
        <f aca="false">IF($B57="","",$R57&amp;"|"&amp;N($E57))</f>
        <v/>
      </c>
    </row>
    <row r="58" customFormat="false" ht="15" hidden="false" customHeight="false" outlineLevel="0" collapsed="false">
      <c r="D58" s="10"/>
      <c r="E58" s="11"/>
      <c r="F58" s="38"/>
      <c r="G58" s="10"/>
      <c r="I58" s="11"/>
      <c r="J58" s="10"/>
      <c r="K58" s="10"/>
      <c r="M58" s="31" t="str">
        <f aca="false">IF($B58="","",IFERROR(IF(INDEX(campaigns!$BG$2:$BG$51,MATCH($B58,campaigns!$A$2:$A$51,0))="","",INDEX(campaigns!$BG$2:$BG$51,MATCH($B58,campaigns!$A$2:$A$51,0))),""))</f>
        <v/>
      </c>
      <c r="N58" s="30" t="str">
        <f aca="false">IF(OR($B58="",$E58="",$M58=""),"",IF($E58&lt;$M58,0,NETWORKDAYS($M58,$E58,calendar!$A$2:$A$80)))</f>
        <v/>
      </c>
      <c r="O58" s="30" t="str">
        <f aca="false">IF($B58="","",IF(AND($K58="Y",OR($D58="later",$J58="Y")),"Y","N"))</f>
        <v/>
      </c>
      <c r="P58" s="30" t="str">
        <f aca="false">IF(OR($B58="",$E58=""),"",$B58&amp;"_"&amp;$C58&amp;"_"&amp;$D58&amp;"_"&amp;TEXT($E58,"yyyy-mm-dd")&amp;".jpg")</f>
        <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
      </c>
      <c r="S58" s="30" t="str">
        <f aca="false">IF($B58="","",$R58&amp;"|"&amp;N($E58))</f>
        <v/>
      </c>
    </row>
    <row r="59" customFormat="false" ht="15" hidden="false" customHeight="false" outlineLevel="0" collapsed="false">
      <c r="D59" s="10"/>
      <c r="E59" s="11"/>
      <c r="F59" s="38"/>
      <c r="G59" s="10"/>
      <c r="I59" s="11"/>
      <c r="J59" s="10"/>
      <c r="K59" s="10"/>
      <c r="M59" s="31" t="str">
        <f aca="false">IF($B59="","",IFERROR(IF(INDEX(campaigns!$BG$2:$BG$51,MATCH($B59,campaigns!$A$2:$A$51,0))="","",INDEX(campaigns!$BG$2:$BG$51,MATCH($B59,campaigns!$A$2:$A$51,0))),""))</f>
        <v/>
      </c>
      <c r="N59" s="30" t="str">
        <f aca="false">IF(OR($B59="",$E59="",$M59=""),"",IF($E59&lt;$M59,0,NETWORKDAYS($M59,$E59,calendar!$A$2:$A$80)))</f>
        <v/>
      </c>
      <c r="O59" s="30" t="str">
        <f aca="false">IF($B59="","",IF(AND($K59="Y",OR($D59="later",$J59="Y")),"Y","N"))</f>
        <v/>
      </c>
      <c r="P59" s="30" t="str">
        <f aca="false">IF(OR($B59="",$E59=""),"",$B59&amp;"_"&amp;$C59&amp;"_"&amp;$D59&amp;"_"&amp;TEXT($E59,"yyyy-mm-dd")&amp;".jpg")</f>
        <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
      </c>
      <c r="S59" s="30" t="str">
        <f aca="false">IF($B59="","",$R59&amp;"|"&amp;N($E59))</f>
        <v/>
      </c>
    </row>
    <row r="60" customFormat="false" ht="15" hidden="false" customHeight="false" outlineLevel="0" collapsed="false">
      <c r="D60" s="10"/>
      <c r="E60" s="11"/>
      <c r="F60" s="38"/>
      <c r="G60" s="10"/>
      <c r="I60" s="11"/>
      <c r="J60" s="10"/>
      <c r="K60" s="10"/>
      <c r="M60" s="31" t="str">
        <f aca="false">IF($B60="","",IFERROR(IF(INDEX(campaigns!$BG$2:$BG$51,MATCH($B60,campaigns!$A$2:$A$51,0))="","",INDEX(campaigns!$BG$2:$BG$51,MATCH($B60,campaigns!$A$2:$A$51,0))),""))</f>
        <v/>
      </c>
      <c r="N60" s="30" t="str">
        <f aca="false">IF(OR($B60="",$E60="",$M60=""),"",IF($E60&lt;$M60,0,NETWORKDAYS($M60,$E60,calendar!$A$2:$A$80)))</f>
        <v/>
      </c>
      <c r="O60" s="30" t="str">
        <f aca="false">IF($B60="","",IF(AND($K60="Y",OR($D60="later",$J60="Y")),"Y","N"))</f>
        <v/>
      </c>
      <c r="P60" s="30" t="str">
        <f aca="false">IF(OR($B60="",$E60=""),"",$B60&amp;"_"&amp;$C60&amp;"_"&amp;$D60&amp;"_"&amp;TEXT($E60,"yyyy-mm-dd")&amp;".jpg")</f>
        <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
      </c>
      <c r="S60" s="30" t="str">
        <f aca="false">IF($B60="","",$R60&amp;"|"&amp;N($E60))</f>
        <v/>
      </c>
    </row>
    <row r="61" customFormat="false" ht="15" hidden="false" customHeight="false" outlineLevel="0" collapsed="false">
      <c r="D61" s="10"/>
      <c r="E61" s="11"/>
      <c r="F61" s="38"/>
      <c r="G61" s="10"/>
      <c r="I61" s="11"/>
      <c r="J61" s="10"/>
      <c r="K61" s="10"/>
      <c r="M61" s="31" t="str">
        <f aca="false">IF($B61="","",IFERROR(IF(INDEX(campaigns!$BG$2:$BG$51,MATCH($B61,campaigns!$A$2:$A$51,0))="","",INDEX(campaigns!$BG$2:$BG$51,MATCH($B61,campaigns!$A$2:$A$51,0))),""))</f>
        <v/>
      </c>
      <c r="N61" s="30" t="str">
        <f aca="false">IF(OR($B61="",$E61="",$M61=""),"",IF($E61&lt;$M61,0,NETWORKDAYS($M61,$E61,calendar!$A$2:$A$80)))</f>
        <v/>
      </c>
      <c r="O61" s="30" t="str">
        <f aca="false">IF($B61="","",IF(AND($K61="Y",OR($D61="later",$J61="Y")),"Y","N"))</f>
        <v/>
      </c>
      <c r="P61" s="30" t="str">
        <f aca="false">IF(OR($B61="",$E61=""),"",$B61&amp;"_"&amp;$C61&amp;"_"&amp;$D61&amp;"_"&amp;TEXT($E61,"yyyy-mm-dd")&amp;".jpg")</f>
        <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
      </c>
      <c r="S61" s="30" t="str">
        <f aca="false">IF($B61="","",$R61&amp;"|"&amp;N($E61))</f>
        <v/>
      </c>
    </row>
    <row r="62" customFormat="false" ht="15" hidden="false" customHeight="false" outlineLevel="0" collapsed="false">
      <c r="D62" s="10"/>
      <c r="E62" s="11"/>
      <c r="F62" s="38"/>
      <c r="G62" s="10"/>
      <c r="I62" s="11"/>
      <c r="J62" s="10"/>
      <c r="K62" s="10"/>
      <c r="M62" s="31" t="str">
        <f aca="false">IF($B62="","",IFERROR(IF(INDEX(campaigns!$BG$2:$BG$51,MATCH($B62,campaigns!$A$2:$A$51,0))="","",INDEX(campaigns!$BG$2:$BG$51,MATCH($B62,campaigns!$A$2:$A$51,0))),""))</f>
        <v/>
      </c>
      <c r="N62" s="30" t="str">
        <f aca="false">IF(OR($B62="",$E62="",$M62=""),"",IF($E62&lt;$M62,0,NETWORKDAYS($M62,$E62,calendar!$A$2:$A$80)))</f>
        <v/>
      </c>
      <c r="O62" s="30" t="str">
        <f aca="false">IF($B62="","",IF(AND($K62="Y",OR($D62="later",$J62="Y")),"Y","N"))</f>
        <v/>
      </c>
      <c r="P62" s="30" t="str">
        <f aca="false">IF(OR($B62="",$E62=""),"",$B62&amp;"_"&amp;$C62&amp;"_"&amp;$D62&amp;"_"&amp;TEXT($E62,"yyyy-mm-dd")&amp;".jpg")</f>
        <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
      </c>
      <c r="S62" s="30" t="str">
        <f aca="false">IF($B62="","",$R62&amp;"|"&amp;N($E62))</f>
        <v/>
      </c>
    </row>
    <row r="63" customFormat="false" ht="15" hidden="false" customHeight="false" outlineLevel="0" collapsed="false">
      <c r="D63" s="10"/>
      <c r="E63" s="11"/>
      <c r="F63" s="38"/>
      <c r="G63" s="10"/>
      <c r="I63" s="11"/>
      <c r="J63" s="10"/>
      <c r="K63" s="10"/>
      <c r="M63" s="31" t="str">
        <f aca="false">IF($B63="","",IFERROR(IF(INDEX(campaigns!$BG$2:$BG$51,MATCH($B63,campaigns!$A$2:$A$51,0))="","",INDEX(campaigns!$BG$2:$BG$51,MATCH($B63,campaigns!$A$2:$A$51,0))),""))</f>
        <v/>
      </c>
      <c r="N63" s="30" t="str">
        <f aca="false">IF(OR($B63="",$E63="",$M63=""),"",IF($E63&lt;$M63,0,NETWORKDAYS($M63,$E63,calendar!$A$2:$A$80)))</f>
        <v/>
      </c>
      <c r="O63" s="30" t="str">
        <f aca="false">IF($B63="","",IF(AND($K63="Y",OR($D63="later",$J63="Y")),"Y","N"))</f>
        <v/>
      </c>
      <c r="P63" s="30" t="str">
        <f aca="false">IF(OR($B63="",$E63=""),"",$B63&amp;"_"&amp;$C63&amp;"_"&amp;$D63&amp;"_"&amp;TEXT($E63,"yyyy-mm-dd")&amp;".jpg")</f>
        <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
      </c>
      <c r="S63" s="30" t="str">
        <f aca="false">IF($B63="","",$R63&amp;"|"&amp;N($E63))</f>
        <v/>
      </c>
    </row>
    <row r="64" customFormat="false" ht="15" hidden="false" customHeight="false" outlineLevel="0" collapsed="false">
      <c r="D64" s="10"/>
      <c r="E64" s="11"/>
      <c r="F64" s="38"/>
      <c r="G64" s="10"/>
      <c r="I64" s="11"/>
      <c r="J64" s="10"/>
      <c r="K64" s="10"/>
      <c r="M64" s="31" t="str">
        <f aca="false">IF($B64="","",IFERROR(IF(INDEX(campaigns!$BG$2:$BG$51,MATCH($B64,campaigns!$A$2:$A$51,0))="","",INDEX(campaigns!$BG$2:$BG$51,MATCH($B64,campaigns!$A$2:$A$51,0))),""))</f>
        <v/>
      </c>
      <c r="N64" s="30" t="str">
        <f aca="false">IF(OR($B64="",$E64="",$M64=""),"",IF($E64&lt;$M64,0,NETWORKDAYS($M64,$E64,calendar!$A$2:$A$80)))</f>
        <v/>
      </c>
      <c r="O64" s="30" t="str">
        <f aca="false">IF($B64="","",IF(AND($K64="Y",OR($D64="later",$J64="Y")),"Y","N"))</f>
        <v/>
      </c>
      <c r="P64" s="30" t="str">
        <f aca="false">IF(OR($B64="",$E64=""),"",$B64&amp;"_"&amp;$C64&amp;"_"&amp;$D64&amp;"_"&amp;TEXT($E64,"yyyy-mm-dd")&amp;".jpg")</f>
        <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
      </c>
      <c r="S64" s="30" t="str">
        <f aca="false">IF($B64="","",$R64&amp;"|"&amp;N($E64))</f>
        <v/>
      </c>
    </row>
    <row r="65" customFormat="false" ht="15" hidden="false" customHeight="false" outlineLevel="0" collapsed="false">
      <c r="D65" s="10"/>
      <c r="E65" s="11"/>
      <c r="F65" s="38"/>
      <c r="G65" s="10"/>
      <c r="I65" s="11"/>
      <c r="J65" s="10"/>
      <c r="K65" s="10"/>
      <c r="M65" s="31" t="str">
        <f aca="false">IF($B65="","",IFERROR(IF(INDEX(campaigns!$BG$2:$BG$51,MATCH($B65,campaigns!$A$2:$A$51,0))="","",INDEX(campaigns!$BG$2:$BG$51,MATCH($B65,campaigns!$A$2:$A$51,0))),""))</f>
        <v/>
      </c>
      <c r="N65" s="30" t="str">
        <f aca="false">IF(OR($B65="",$E65="",$M65=""),"",IF($E65&lt;$M65,0,NETWORKDAYS($M65,$E65,calendar!$A$2:$A$80)))</f>
        <v/>
      </c>
      <c r="O65" s="30" t="str">
        <f aca="false">IF($B65="","",IF(AND($K65="Y",OR($D65="later",$J65="Y")),"Y","N"))</f>
        <v/>
      </c>
      <c r="P65" s="30" t="str">
        <f aca="false">IF(OR($B65="",$E65=""),"",$B65&amp;"_"&amp;$C65&amp;"_"&amp;$D65&amp;"_"&amp;TEXT($E65,"yyyy-mm-dd")&amp;".jpg")</f>
        <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
      </c>
      <c r="S65" s="30" t="str">
        <f aca="false">IF($B65="","",$R65&amp;"|"&amp;N($E65))</f>
        <v/>
      </c>
    </row>
    <row r="66" customFormat="false" ht="15" hidden="false" customHeight="false" outlineLevel="0" collapsed="false">
      <c r="D66" s="10"/>
      <c r="E66" s="11"/>
      <c r="F66" s="38"/>
      <c r="G66" s="10"/>
      <c r="I66" s="11"/>
      <c r="J66" s="10"/>
      <c r="K66" s="10"/>
      <c r="M66" s="31" t="str">
        <f aca="false">IF($B66="","",IFERROR(IF(INDEX(campaigns!$BG$2:$BG$51,MATCH($B66,campaigns!$A$2:$A$51,0))="","",INDEX(campaigns!$BG$2:$BG$51,MATCH($B66,campaigns!$A$2:$A$51,0))),""))</f>
        <v/>
      </c>
      <c r="N66" s="30" t="str">
        <f aca="false">IF(OR($B66="",$E66="",$M66=""),"",IF($E66&lt;$M66,0,NETWORKDAYS($M66,$E66,calendar!$A$2:$A$80)))</f>
        <v/>
      </c>
      <c r="O66" s="30" t="str">
        <f aca="false">IF($B66="","",IF(AND($K66="Y",OR($D66="later",$J66="Y")),"Y","N"))</f>
        <v/>
      </c>
      <c r="P66" s="30" t="str">
        <f aca="false">IF(OR($B66="",$E66=""),"",$B66&amp;"_"&amp;$C66&amp;"_"&amp;$D66&amp;"_"&amp;TEXT($E66,"yyyy-mm-dd")&amp;".jpg")</f>
        <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
      </c>
      <c r="S66" s="30" t="str">
        <f aca="false">IF($B66="","",$R66&amp;"|"&amp;N($E66))</f>
        <v/>
      </c>
    </row>
    <row r="67" customFormat="false" ht="15" hidden="false" customHeight="false" outlineLevel="0" collapsed="false">
      <c r="D67" s="10"/>
      <c r="E67" s="11"/>
      <c r="F67" s="38"/>
      <c r="G67" s="10"/>
      <c r="I67" s="11"/>
      <c r="J67" s="10"/>
      <c r="K67" s="10"/>
      <c r="M67" s="31" t="str">
        <f aca="false">IF($B67="","",IFERROR(IF(INDEX(campaigns!$BG$2:$BG$51,MATCH($B67,campaigns!$A$2:$A$51,0))="","",INDEX(campaigns!$BG$2:$BG$51,MATCH($B67,campaigns!$A$2:$A$51,0))),""))</f>
        <v/>
      </c>
      <c r="N67" s="30" t="str">
        <f aca="false">IF(OR($B67="",$E67="",$M67=""),"",IF($E67&lt;$M67,0,NETWORKDAYS($M67,$E67,calendar!$A$2:$A$80)))</f>
        <v/>
      </c>
      <c r="O67" s="30" t="str">
        <f aca="false">IF($B67="","",IF(AND($K67="Y",OR($D67="later",$J67="Y")),"Y","N"))</f>
        <v/>
      </c>
      <c r="P67" s="30" t="str">
        <f aca="false">IF(OR($B67="",$E67=""),"",$B67&amp;"_"&amp;$C67&amp;"_"&amp;$D67&amp;"_"&amp;TEXT($E67,"yyyy-mm-dd")&amp;".jpg")</f>
        <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
      </c>
      <c r="S67" s="30" t="str">
        <f aca="false">IF($B67="","",$R67&amp;"|"&amp;N($E67))</f>
        <v/>
      </c>
    </row>
    <row r="68" customFormat="false" ht="15" hidden="false" customHeight="false" outlineLevel="0" collapsed="false">
      <c r="D68" s="10"/>
      <c r="E68" s="11"/>
      <c r="F68" s="38"/>
      <c r="G68" s="10"/>
      <c r="I68" s="11"/>
      <c r="J68" s="10"/>
      <c r="K68" s="10"/>
      <c r="M68" s="31" t="str">
        <f aca="false">IF($B68="","",IFERROR(IF(INDEX(campaigns!$BG$2:$BG$51,MATCH($B68,campaigns!$A$2:$A$51,0))="","",INDEX(campaigns!$BG$2:$BG$51,MATCH($B68,campaigns!$A$2:$A$51,0))),""))</f>
        <v/>
      </c>
      <c r="N68" s="30" t="str">
        <f aca="false">IF(OR($B68="",$E68="",$M68=""),"",IF($E68&lt;$M68,0,NETWORKDAYS($M68,$E68,calendar!$A$2:$A$80)))</f>
        <v/>
      </c>
      <c r="O68" s="30" t="str">
        <f aca="false">IF($B68="","",IF(AND($K68="Y",OR($D68="later",$J68="Y")),"Y","N"))</f>
        <v/>
      </c>
      <c r="P68" s="30" t="str">
        <f aca="false">IF(OR($B68="",$E68=""),"",$B68&amp;"_"&amp;$C68&amp;"_"&amp;$D68&amp;"_"&amp;TEXT($E68,"yyyy-mm-dd")&amp;".jpg")</f>
        <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
      </c>
      <c r="S68" s="30" t="str">
        <f aca="false">IF($B68="","",$R68&amp;"|"&amp;N($E68))</f>
        <v/>
      </c>
    </row>
    <row r="69" customFormat="false" ht="15" hidden="false" customHeight="false" outlineLevel="0" collapsed="false">
      <c r="D69" s="10"/>
      <c r="E69" s="11"/>
      <c r="F69" s="38"/>
      <c r="G69" s="10"/>
      <c r="I69" s="11"/>
      <c r="J69" s="10"/>
      <c r="K69" s="10"/>
      <c r="M69" s="31" t="str">
        <f aca="false">IF($B69="","",IFERROR(IF(INDEX(campaigns!$BG$2:$BG$51,MATCH($B69,campaigns!$A$2:$A$51,0))="","",INDEX(campaigns!$BG$2:$BG$51,MATCH($B69,campaigns!$A$2:$A$51,0))),""))</f>
        <v/>
      </c>
      <c r="N69" s="30" t="str">
        <f aca="false">IF(OR($B69="",$E69="",$M69=""),"",IF($E69&lt;$M69,0,NETWORKDAYS($M69,$E69,calendar!$A$2:$A$80)))</f>
        <v/>
      </c>
      <c r="O69" s="30" t="str">
        <f aca="false">IF($B69="","",IF(AND($K69="Y",OR($D69="later",$J69="Y")),"Y","N"))</f>
        <v/>
      </c>
      <c r="P69" s="30" t="str">
        <f aca="false">IF(OR($B69="",$E69=""),"",$B69&amp;"_"&amp;$C69&amp;"_"&amp;$D69&amp;"_"&amp;TEXT($E69,"yyyy-mm-dd")&amp;".jpg")</f>
        <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
      </c>
      <c r="S69" s="30" t="str">
        <f aca="false">IF($B69="","",$R69&amp;"|"&amp;N($E69))</f>
        <v/>
      </c>
    </row>
    <row r="70" customFormat="false" ht="15" hidden="false" customHeight="false" outlineLevel="0" collapsed="false">
      <c r="D70" s="10"/>
      <c r="E70" s="11"/>
      <c r="F70" s="38"/>
      <c r="G70" s="10"/>
      <c r="I70" s="11"/>
      <c r="J70" s="10"/>
      <c r="K70" s="10"/>
      <c r="M70" s="31" t="str">
        <f aca="false">IF($B70="","",IFERROR(IF(INDEX(campaigns!$BG$2:$BG$51,MATCH($B70,campaigns!$A$2:$A$51,0))="","",INDEX(campaigns!$BG$2:$BG$51,MATCH($B70,campaigns!$A$2:$A$51,0))),""))</f>
        <v/>
      </c>
      <c r="N70" s="30" t="str">
        <f aca="false">IF(OR($B70="",$E70="",$M70=""),"",IF($E70&lt;$M70,0,NETWORKDAYS($M70,$E70,calendar!$A$2:$A$80)))</f>
        <v/>
      </c>
      <c r="O70" s="30" t="str">
        <f aca="false">IF($B70="","",IF(AND($K70="Y",OR($D70="later",$J70="Y")),"Y","N"))</f>
        <v/>
      </c>
      <c r="P70" s="30" t="str">
        <f aca="false">IF(OR($B70="",$E70=""),"",$B70&amp;"_"&amp;$C70&amp;"_"&amp;$D70&amp;"_"&amp;TEXT($E70,"yyyy-mm-dd")&amp;".jpg")</f>
        <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
      </c>
      <c r="S70" s="30" t="str">
        <f aca="false">IF($B70="","",$R70&amp;"|"&amp;N($E70))</f>
        <v/>
      </c>
    </row>
    <row r="71" customFormat="false" ht="15" hidden="false" customHeight="false" outlineLevel="0" collapsed="false">
      <c r="D71" s="10"/>
      <c r="E71" s="11"/>
      <c r="F71" s="38"/>
      <c r="G71" s="10"/>
      <c r="I71" s="11"/>
      <c r="J71" s="10"/>
      <c r="K71" s="10"/>
      <c r="M71" s="31" t="str">
        <f aca="false">IF($B71="","",IFERROR(IF(INDEX(campaigns!$BG$2:$BG$51,MATCH($B71,campaigns!$A$2:$A$51,0))="","",INDEX(campaigns!$BG$2:$BG$51,MATCH($B71,campaigns!$A$2:$A$51,0))),""))</f>
        <v/>
      </c>
      <c r="N71" s="30" t="str">
        <f aca="false">IF(OR($B71="",$E71="",$M71=""),"",IF($E71&lt;$M71,0,NETWORKDAYS($M71,$E71,calendar!$A$2:$A$80)))</f>
        <v/>
      </c>
      <c r="O71" s="30" t="str">
        <f aca="false">IF($B71="","",IF(AND($K71="Y",OR($D71="later",$J71="Y")),"Y","N"))</f>
        <v/>
      </c>
      <c r="P71" s="30" t="str">
        <f aca="false">IF(OR($B71="",$E71=""),"",$B71&amp;"_"&amp;$C71&amp;"_"&amp;$D71&amp;"_"&amp;TEXT($E71,"yyyy-mm-dd")&amp;".jpg")</f>
        <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
      </c>
      <c r="S71" s="30" t="str">
        <f aca="false">IF($B71="","",$R71&amp;"|"&amp;N($E71))</f>
        <v/>
      </c>
    </row>
    <row r="72" customFormat="false" ht="15" hidden="false" customHeight="false" outlineLevel="0" collapsed="false">
      <c r="D72" s="10"/>
      <c r="E72" s="11"/>
      <c r="F72" s="38"/>
      <c r="G72" s="10"/>
      <c r="I72" s="11"/>
      <c r="J72" s="10"/>
      <c r="K72" s="10"/>
      <c r="M72" s="31" t="str">
        <f aca="false">IF($B72="","",IFERROR(IF(INDEX(campaigns!$BG$2:$BG$51,MATCH($B72,campaigns!$A$2:$A$51,0))="","",INDEX(campaigns!$BG$2:$BG$51,MATCH($B72,campaigns!$A$2:$A$51,0))),""))</f>
        <v/>
      </c>
      <c r="N72" s="30" t="str">
        <f aca="false">IF(OR($B72="",$E72="",$M72=""),"",IF($E72&lt;$M72,0,NETWORKDAYS($M72,$E72,calendar!$A$2:$A$80)))</f>
        <v/>
      </c>
      <c r="O72" s="30" t="str">
        <f aca="false">IF($B72="","",IF(AND($K72="Y",OR($D72="later",$J72="Y")),"Y","N"))</f>
        <v/>
      </c>
      <c r="P72" s="30" t="str">
        <f aca="false">IF(OR($B72="",$E72=""),"",$B72&amp;"_"&amp;$C72&amp;"_"&amp;$D72&amp;"_"&amp;TEXT($E72,"yyyy-mm-dd")&amp;".jpg")</f>
        <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
      </c>
      <c r="S72" s="30" t="str">
        <f aca="false">IF($B72="","",$R72&amp;"|"&amp;N($E72))</f>
        <v/>
      </c>
    </row>
    <row r="73" customFormat="false" ht="15" hidden="false" customHeight="false" outlineLevel="0" collapsed="false">
      <c r="D73" s="10"/>
      <c r="E73" s="11"/>
      <c r="F73" s="38"/>
      <c r="G73" s="10"/>
      <c r="I73" s="11"/>
      <c r="J73" s="10"/>
      <c r="K73" s="10"/>
      <c r="M73" s="31" t="str">
        <f aca="false">IF($B73="","",IFERROR(IF(INDEX(campaigns!$BG$2:$BG$51,MATCH($B73,campaigns!$A$2:$A$51,0))="","",INDEX(campaigns!$BG$2:$BG$51,MATCH($B73,campaigns!$A$2:$A$51,0))),""))</f>
        <v/>
      </c>
      <c r="N73" s="30" t="str">
        <f aca="false">IF(OR($B73="",$E73="",$M73=""),"",IF($E73&lt;$M73,0,NETWORKDAYS($M73,$E73,calendar!$A$2:$A$80)))</f>
        <v/>
      </c>
      <c r="O73" s="30" t="str">
        <f aca="false">IF($B73="","",IF(AND($K73="Y",OR($D73="later",$J73="Y")),"Y","N"))</f>
        <v/>
      </c>
      <c r="P73" s="30" t="str">
        <f aca="false">IF(OR($B73="",$E73=""),"",$B73&amp;"_"&amp;$C73&amp;"_"&amp;$D73&amp;"_"&amp;TEXT($E73,"yyyy-mm-dd")&amp;".jpg")</f>
        <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
      </c>
      <c r="S73" s="30" t="str">
        <f aca="false">IF($B73="","",$R73&amp;"|"&amp;N($E73))</f>
        <v/>
      </c>
    </row>
    <row r="74" customFormat="false" ht="15" hidden="false" customHeight="false" outlineLevel="0" collapsed="false">
      <c r="D74" s="10"/>
      <c r="E74" s="11"/>
      <c r="F74" s="38"/>
      <c r="G74" s="10"/>
      <c r="I74" s="11"/>
      <c r="J74" s="10"/>
      <c r="K74" s="10"/>
      <c r="M74" s="31" t="str">
        <f aca="false">IF($B74="","",IFERROR(IF(INDEX(campaigns!$BG$2:$BG$51,MATCH($B74,campaigns!$A$2:$A$51,0))="","",INDEX(campaigns!$BG$2:$BG$51,MATCH($B74,campaigns!$A$2:$A$51,0))),""))</f>
        <v/>
      </c>
      <c r="N74" s="30" t="str">
        <f aca="false">IF(OR($B74="",$E74="",$M74=""),"",IF($E74&lt;$M74,0,NETWORKDAYS($M74,$E74,calendar!$A$2:$A$80)))</f>
        <v/>
      </c>
      <c r="O74" s="30" t="str">
        <f aca="false">IF($B74="","",IF(AND($K74="Y",OR($D74="later",$J74="Y")),"Y","N"))</f>
        <v/>
      </c>
      <c r="P74" s="30" t="str">
        <f aca="false">IF(OR($B74="",$E74=""),"",$B74&amp;"_"&amp;$C74&amp;"_"&amp;$D74&amp;"_"&amp;TEXT($E74,"yyyy-mm-dd")&amp;".jpg")</f>
        <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
      </c>
      <c r="S74" s="30" t="str">
        <f aca="false">IF($B74="","",$R74&amp;"|"&amp;N($E74))</f>
        <v/>
      </c>
    </row>
    <row r="75" customFormat="false" ht="15" hidden="false" customHeight="false" outlineLevel="0" collapsed="false">
      <c r="D75" s="10"/>
      <c r="E75" s="11"/>
      <c r="F75" s="38"/>
      <c r="G75" s="10"/>
      <c r="I75" s="11"/>
      <c r="J75" s="10"/>
      <c r="K75" s="10"/>
      <c r="M75" s="31" t="str">
        <f aca="false">IF($B75="","",IFERROR(IF(INDEX(campaigns!$BG$2:$BG$51,MATCH($B75,campaigns!$A$2:$A$51,0))="","",INDEX(campaigns!$BG$2:$BG$51,MATCH($B75,campaigns!$A$2:$A$51,0))),""))</f>
        <v/>
      </c>
      <c r="N75" s="30" t="str">
        <f aca="false">IF(OR($B75="",$E75="",$M75=""),"",IF($E75&lt;$M75,0,NETWORKDAYS($M75,$E75,calendar!$A$2:$A$80)))</f>
        <v/>
      </c>
      <c r="O75" s="30" t="str">
        <f aca="false">IF($B75="","",IF(AND($K75="Y",OR($D75="later",$J75="Y")),"Y","N"))</f>
        <v/>
      </c>
      <c r="P75" s="30" t="str">
        <f aca="false">IF(OR($B75="",$E75=""),"",$B75&amp;"_"&amp;$C75&amp;"_"&amp;$D75&amp;"_"&amp;TEXT($E75,"yyyy-mm-dd")&amp;".jpg")</f>
        <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
      </c>
      <c r="S75" s="30" t="str">
        <f aca="false">IF($B75="","",$R75&amp;"|"&amp;N($E75))</f>
        <v/>
      </c>
    </row>
    <row r="76" customFormat="false" ht="15" hidden="false" customHeight="false" outlineLevel="0" collapsed="false">
      <c r="D76" s="10"/>
      <c r="E76" s="11"/>
      <c r="F76" s="38"/>
      <c r="G76" s="10"/>
      <c r="I76" s="11"/>
      <c r="J76" s="10"/>
      <c r="K76" s="10"/>
      <c r="M76" s="31" t="str">
        <f aca="false">IF($B76="","",IFERROR(IF(INDEX(campaigns!$BG$2:$BG$51,MATCH($B76,campaigns!$A$2:$A$51,0))="","",INDEX(campaigns!$BG$2:$BG$51,MATCH($B76,campaigns!$A$2:$A$51,0))),""))</f>
        <v/>
      </c>
      <c r="N76" s="30" t="str">
        <f aca="false">IF(OR($B76="",$E76="",$M76=""),"",IF($E76&lt;$M76,0,NETWORKDAYS($M76,$E76,calendar!$A$2:$A$80)))</f>
        <v/>
      </c>
      <c r="O76" s="30" t="str">
        <f aca="false">IF($B76="","",IF(AND($K76="Y",OR($D76="later",$J76="Y")),"Y","N"))</f>
        <v/>
      </c>
      <c r="P76" s="30" t="str">
        <f aca="false">IF(OR($B76="",$E76=""),"",$B76&amp;"_"&amp;$C76&amp;"_"&amp;$D76&amp;"_"&amp;TEXT($E76,"yyyy-mm-dd")&amp;".jpg")</f>
        <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
      </c>
      <c r="S76" s="30" t="str">
        <f aca="false">IF($B76="","",$R76&amp;"|"&amp;N($E76))</f>
        <v/>
      </c>
    </row>
    <row r="77" customFormat="false" ht="15" hidden="false" customHeight="false" outlineLevel="0" collapsed="false">
      <c r="D77" s="10"/>
      <c r="E77" s="11"/>
      <c r="F77" s="38"/>
      <c r="G77" s="10"/>
      <c r="I77" s="11"/>
      <c r="J77" s="10"/>
      <c r="K77" s="10"/>
      <c r="M77" s="31" t="str">
        <f aca="false">IF($B77="","",IFERROR(IF(INDEX(campaigns!$BG$2:$BG$51,MATCH($B77,campaigns!$A$2:$A$51,0))="","",INDEX(campaigns!$BG$2:$BG$51,MATCH($B77,campaigns!$A$2:$A$51,0))),""))</f>
        <v/>
      </c>
      <c r="N77" s="30" t="str">
        <f aca="false">IF(OR($B77="",$E77="",$M77=""),"",IF($E77&lt;$M77,0,NETWORKDAYS($M77,$E77,calendar!$A$2:$A$80)))</f>
        <v/>
      </c>
      <c r="O77" s="30" t="str">
        <f aca="false">IF($B77="","",IF(AND($K77="Y",OR($D77="later",$J77="Y")),"Y","N"))</f>
        <v/>
      </c>
      <c r="P77" s="30" t="str">
        <f aca="false">IF(OR($B77="",$E77=""),"",$B77&amp;"_"&amp;$C77&amp;"_"&amp;$D77&amp;"_"&amp;TEXT($E77,"yyyy-mm-dd")&amp;".jpg")</f>
        <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
      </c>
      <c r="S77" s="30" t="str">
        <f aca="false">IF($B77="","",$R77&amp;"|"&amp;N($E77))</f>
        <v/>
      </c>
    </row>
    <row r="78" customFormat="false" ht="15" hidden="false" customHeight="false" outlineLevel="0" collapsed="false">
      <c r="D78" s="10"/>
      <c r="E78" s="11"/>
      <c r="F78" s="38"/>
      <c r="G78" s="10"/>
      <c r="I78" s="11"/>
      <c r="J78" s="10"/>
      <c r="K78" s="10"/>
      <c r="M78" s="31" t="str">
        <f aca="false">IF($B78="","",IFERROR(IF(INDEX(campaigns!$BG$2:$BG$51,MATCH($B78,campaigns!$A$2:$A$51,0))="","",INDEX(campaigns!$BG$2:$BG$51,MATCH($B78,campaigns!$A$2:$A$51,0))),""))</f>
        <v/>
      </c>
      <c r="N78" s="30" t="str">
        <f aca="false">IF(OR($B78="",$E78="",$M78=""),"",IF($E78&lt;$M78,0,NETWORKDAYS($M78,$E78,calendar!$A$2:$A$80)))</f>
        <v/>
      </c>
      <c r="O78" s="30" t="str">
        <f aca="false">IF($B78="","",IF(AND($K78="Y",OR($D78="later",$J78="Y")),"Y","N"))</f>
        <v/>
      </c>
      <c r="P78" s="30" t="str">
        <f aca="false">IF(OR($B78="",$E78=""),"",$B78&amp;"_"&amp;$C78&amp;"_"&amp;$D78&amp;"_"&amp;TEXT($E78,"yyyy-mm-dd")&amp;".jpg")</f>
        <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
      </c>
      <c r="S78" s="30" t="str">
        <f aca="false">IF($B78="","",$R78&amp;"|"&amp;N($E78))</f>
        <v/>
      </c>
    </row>
    <row r="79" customFormat="false" ht="15" hidden="false" customHeight="false" outlineLevel="0" collapsed="false">
      <c r="D79" s="10"/>
      <c r="E79" s="11"/>
      <c r="F79" s="38"/>
      <c r="G79" s="10"/>
      <c r="I79" s="11"/>
      <c r="J79" s="10"/>
      <c r="K79" s="10"/>
      <c r="M79" s="31" t="str">
        <f aca="false">IF($B79="","",IFERROR(IF(INDEX(campaigns!$BG$2:$BG$51,MATCH($B79,campaigns!$A$2:$A$51,0))="","",INDEX(campaigns!$BG$2:$BG$51,MATCH($B79,campaigns!$A$2:$A$51,0))),""))</f>
        <v/>
      </c>
      <c r="N79" s="30" t="str">
        <f aca="false">IF(OR($B79="",$E79="",$M79=""),"",IF($E79&lt;$M79,0,NETWORKDAYS($M79,$E79,calendar!$A$2:$A$80)))</f>
        <v/>
      </c>
      <c r="O79" s="30" t="str">
        <f aca="false">IF($B79="","",IF(AND($K79="Y",OR($D79="later",$J79="Y")),"Y","N"))</f>
        <v/>
      </c>
      <c r="P79" s="30" t="str">
        <f aca="false">IF(OR($B79="",$E79=""),"",$B79&amp;"_"&amp;$C79&amp;"_"&amp;$D79&amp;"_"&amp;TEXT($E79,"yyyy-mm-dd")&amp;".jpg")</f>
        <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
      </c>
      <c r="S79" s="30" t="str">
        <f aca="false">IF($B79="","",$R79&amp;"|"&amp;N($E79))</f>
        <v/>
      </c>
    </row>
    <row r="80" customFormat="false" ht="15" hidden="false" customHeight="false" outlineLevel="0" collapsed="false">
      <c r="D80" s="10"/>
      <c r="E80" s="11"/>
      <c r="F80" s="38"/>
      <c r="G80" s="10"/>
      <c r="I80" s="11"/>
      <c r="J80" s="10"/>
      <c r="K80" s="10"/>
      <c r="M80" s="31" t="str">
        <f aca="false">IF($B80="","",IFERROR(IF(INDEX(campaigns!$BG$2:$BG$51,MATCH($B80,campaigns!$A$2:$A$51,0))="","",INDEX(campaigns!$BG$2:$BG$51,MATCH($B80,campaigns!$A$2:$A$51,0))),""))</f>
        <v/>
      </c>
      <c r="N80" s="30" t="str">
        <f aca="false">IF(OR($B80="",$E80="",$M80=""),"",IF($E80&lt;$M80,0,NETWORKDAYS($M80,$E80,calendar!$A$2:$A$80)))</f>
        <v/>
      </c>
      <c r="O80" s="30" t="str">
        <f aca="false">IF($B80="","",IF(AND($K80="Y",OR($D80="later",$J80="Y")),"Y","N"))</f>
        <v/>
      </c>
      <c r="P80" s="30" t="str">
        <f aca="false">IF(OR($B80="",$E80=""),"",$B80&amp;"_"&amp;$C80&amp;"_"&amp;$D80&amp;"_"&amp;TEXT($E80,"yyyy-mm-dd")&amp;".jpg")</f>
        <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
      </c>
      <c r="S80" s="30" t="str">
        <f aca="false">IF($B80="","",$R80&amp;"|"&amp;N($E80))</f>
        <v/>
      </c>
    </row>
    <row r="81" customFormat="false" ht="15" hidden="false" customHeight="false" outlineLevel="0" collapsed="false">
      <c r="D81" s="10"/>
      <c r="E81" s="11"/>
      <c r="F81" s="38"/>
      <c r="G81" s="10"/>
      <c r="I81" s="11"/>
      <c r="J81" s="10"/>
      <c r="K81" s="10"/>
      <c r="M81" s="31" t="str">
        <f aca="false">IF($B81="","",IFERROR(IF(INDEX(campaigns!$BG$2:$BG$51,MATCH($B81,campaigns!$A$2:$A$51,0))="","",INDEX(campaigns!$BG$2:$BG$51,MATCH($B81,campaigns!$A$2:$A$51,0))),""))</f>
        <v/>
      </c>
      <c r="N81" s="30" t="str">
        <f aca="false">IF(OR($B81="",$E81="",$M81=""),"",IF($E81&lt;$M81,0,NETWORKDAYS($M81,$E81,calendar!$A$2:$A$80)))</f>
        <v/>
      </c>
      <c r="O81" s="30" t="str">
        <f aca="false">IF($B81="","",IF(AND($K81="Y",OR($D81="later",$J81="Y")),"Y","N"))</f>
        <v/>
      </c>
      <c r="P81" s="30" t="str">
        <f aca="false">IF(OR($B81="",$E81=""),"",$B81&amp;"_"&amp;$C81&amp;"_"&amp;$D81&amp;"_"&amp;TEXT($E81,"yyyy-mm-dd")&amp;".jpg")</f>
        <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
      </c>
      <c r="S81" s="30" t="str">
        <f aca="false">IF($B81="","",$R81&amp;"|"&amp;N($E81))</f>
        <v/>
      </c>
    </row>
    <row r="82" customFormat="false" ht="15" hidden="false" customHeight="false" outlineLevel="0" collapsed="false">
      <c r="D82" s="10"/>
      <c r="E82" s="11"/>
      <c r="F82" s="38"/>
      <c r="G82" s="10"/>
      <c r="I82" s="11"/>
      <c r="J82" s="10"/>
      <c r="K82" s="10"/>
      <c r="M82" s="31" t="str">
        <f aca="false">IF($B82="","",IFERROR(IF(INDEX(campaigns!$BG$2:$BG$51,MATCH($B82,campaigns!$A$2:$A$51,0))="","",INDEX(campaigns!$BG$2:$BG$51,MATCH($B82,campaigns!$A$2:$A$51,0))),""))</f>
        <v/>
      </c>
      <c r="N82" s="30" t="str">
        <f aca="false">IF(OR($B82="",$E82="",$M82=""),"",IF($E82&lt;$M82,0,NETWORKDAYS($M82,$E82,calendar!$A$2:$A$80)))</f>
        <v/>
      </c>
      <c r="O82" s="30" t="str">
        <f aca="false">IF($B82="","",IF(AND($K82="Y",OR($D82="later",$J82="Y")),"Y","N"))</f>
        <v/>
      </c>
      <c r="P82" s="30" t="str">
        <f aca="false">IF(OR($B82="",$E82=""),"",$B82&amp;"_"&amp;$C82&amp;"_"&amp;$D82&amp;"_"&amp;TEXT($E82,"yyyy-mm-dd")&amp;".jpg")</f>
        <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
      </c>
      <c r="S82" s="30" t="str">
        <f aca="false">IF($B82="","",$R82&amp;"|"&amp;N($E82))</f>
        <v/>
      </c>
    </row>
    <row r="83" customFormat="false" ht="15" hidden="false" customHeight="false" outlineLevel="0" collapsed="false">
      <c r="D83" s="10"/>
      <c r="E83" s="11"/>
      <c r="F83" s="38"/>
      <c r="G83" s="10"/>
      <c r="I83" s="11"/>
      <c r="J83" s="10"/>
      <c r="K83" s="10"/>
      <c r="M83" s="31" t="str">
        <f aca="false">IF($B83="","",IFERROR(IF(INDEX(campaigns!$BG$2:$BG$51,MATCH($B83,campaigns!$A$2:$A$51,0))="","",INDEX(campaigns!$BG$2:$BG$51,MATCH($B83,campaigns!$A$2:$A$51,0))),""))</f>
        <v/>
      </c>
      <c r="N83" s="30" t="str">
        <f aca="false">IF(OR($B83="",$E83="",$M83=""),"",IF($E83&lt;$M83,0,NETWORKDAYS($M83,$E83,calendar!$A$2:$A$80)))</f>
        <v/>
      </c>
      <c r="O83" s="30" t="str">
        <f aca="false">IF($B83="","",IF(AND($K83="Y",OR($D83="later",$J83="Y")),"Y","N"))</f>
        <v/>
      </c>
      <c r="P83" s="30" t="str">
        <f aca="false">IF(OR($B83="",$E83=""),"",$B83&amp;"_"&amp;$C83&amp;"_"&amp;$D83&amp;"_"&amp;TEXT($E83,"yyyy-mm-dd")&amp;".jpg")</f>
        <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
      </c>
      <c r="S83" s="30" t="str">
        <f aca="false">IF($B83="","",$R83&amp;"|"&amp;N($E83))</f>
        <v/>
      </c>
    </row>
    <row r="84" customFormat="false" ht="15" hidden="false" customHeight="false" outlineLevel="0" collapsed="false">
      <c r="D84" s="10"/>
      <c r="E84" s="11"/>
      <c r="F84" s="38"/>
      <c r="G84" s="10"/>
      <c r="I84" s="11"/>
      <c r="J84" s="10"/>
      <c r="K84" s="10"/>
      <c r="M84" s="31" t="str">
        <f aca="false">IF($B84="","",IFERROR(IF(INDEX(campaigns!$BG$2:$BG$51,MATCH($B84,campaigns!$A$2:$A$51,0))="","",INDEX(campaigns!$BG$2:$BG$51,MATCH($B84,campaigns!$A$2:$A$51,0))),""))</f>
        <v/>
      </c>
      <c r="N84" s="30" t="str">
        <f aca="false">IF(OR($B84="",$E84="",$M84=""),"",IF($E84&lt;$M84,0,NETWORKDAYS($M84,$E84,calendar!$A$2:$A$80)))</f>
        <v/>
      </c>
      <c r="O84" s="30" t="str">
        <f aca="false">IF($B84="","",IF(AND($K84="Y",OR($D84="later",$J84="Y")),"Y","N"))</f>
        <v/>
      </c>
      <c r="P84" s="30" t="str">
        <f aca="false">IF(OR($B84="",$E84=""),"",$B84&amp;"_"&amp;$C84&amp;"_"&amp;$D84&amp;"_"&amp;TEXT($E84,"yyyy-mm-dd")&amp;".jpg")</f>
        <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
      </c>
      <c r="S84" s="30" t="str">
        <f aca="false">IF($B84="","",$R84&amp;"|"&amp;N($E84))</f>
        <v/>
      </c>
    </row>
    <row r="85" customFormat="false" ht="15" hidden="false" customHeight="false" outlineLevel="0" collapsed="false">
      <c r="D85" s="10"/>
      <c r="E85" s="11"/>
      <c r="F85" s="38"/>
      <c r="G85" s="10"/>
      <c r="I85" s="11"/>
      <c r="J85" s="10"/>
      <c r="K85" s="10"/>
      <c r="M85" s="31" t="str">
        <f aca="false">IF($B85="","",IFERROR(IF(INDEX(campaigns!$BG$2:$BG$51,MATCH($B85,campaigns!$A$2:$A$51,0))="","",INDEX(campaigns!$BG$2:$BG$51,MATCH($B85,campaigns!$A$2:$A$51,0))),""))</f>
        <v/>
      </c>
      <c r="N85" s="30" t="str">
        <f aca="false">IF(OR($B85="",$E85="",$M85=""),"",IF($E85&lt;$M85,0,NETWORKDAYS($M85,$E85,calendar!$A$2:$A$80)))</f>
        <v/>
      </c>
      <c r="O85" s="30" t="str">
        <f aca="false">IF($B85="","",IF(AND($K85="Y",OR($D85="later",$J85="Y")),"Y","N"))</f>
        <v/>
      </c>
      <c r="P85" s="30" t="str">
        <f aca="false">IF(OR($B85="",$E85=""),"",$B85&amp;"_"&amp;$C85&amp;"_"&amp;$D85&amp;"_"&amp;TEXT($E85,"yyyy-mm-dd")&amp;".jpg")</f>
        <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
      </c>
      <c r="S85" s="30" t="str">
        <f aca="false">IF($B85="","",$R85&amp;"|"&amp;N($E85))</f>
        <v/>
      </c>
    </row>
    <row r="86" customFormat="false" ht="15" hidden="false" customHeight="false" outlineLevel="0" collapsed="false">
      <c r="D86" s="10"/>
      <c r="E86" s="11"/>
      <c r="F86" s="38"/>
      <c r="G86" s="10"/>
      <c r="I86" s="11"/>
      <c r="J86" s="10"/>
      <c r="K86" s="10"/>
      <c r="M86" s="31" t="str">
        <f aca="false">IF($B86="","",IFERROR(IF(INDEX(campaigns!$BG$2:$BG$51,MATCH($B86,campaigns!$A$2:$A$51,0))="","",INDEX(campaigns!$BG$2:$BG$51,MATCH($B86,campaigns!$A$2:$A$51,0))),""))</f>
        <v/>
      </c>
      <c r="N86" s="30" t="str">
        <f aca="false">IF(OR($B86="",$E86="",$M86=""),"",IF($E86&lt;$M86,0,NETWORKDAYS($M86,$E86,calendar!$A$2:$A$80)))</f>
        <v/>
      </c>
      <c r="O86" s="30" t="str">
        <f aca="false">IF($B86="","",IF(AND($K86="Y",OR($D86="later",$J86="Y")),"Y","N"))</f>
        <v/>
      </c>
      <c r="P86" s="30" t="str">
        <f aca="false">IF(OR($B86="",$E86=""),"",$B86&amp;"_"&amp;$C86&amp;"_"&amp;$D86&amp;"_"&amp;TEXT($E86,"yyyy-mm-dd")&amp;".jpg")</f>
        <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
      </c>
      <c r="S86" s="30" t="str">
        <f aca="false">IF($B86="","",$R86&amp;"|"&amp;N($E86))</f>
        <v/>
      </c>
    </row>
    <row r="87" customFormat="false" ht="15" hidden="false" customHeight="false" outlineLevel="0" collapsed="false">
      <c r="D87" s="10"/>
      <c r="E87" s="11"/>
      <c r="F87" s="38"/>
      <c r="G87" s="10"/>
      <c r="I87" s="11"/>
      <c r="J87" s="10"/>
      <c r="K87" s="10"/>
      <c r="M87" s="31" t="str">
        <f aca="false">IF($B87="","",IFERROR(IF(INDEX(campaigns!$BG$2:$BG$51,MATCH($B87,campaigns!$A$2:$A$51,0))="","",INDEX(campaigns!$BG$2:$BG$51,MATCH($B87,campaigns!$A$2:$A$51,0))),""))</f>
        <v/>
      </c>
      <c r="N87" s="30" t="str">
        <f aca="false">IF(OR($B87="",$E87="",$M87=""),"",IF($E87&lt;$M87,0,NETWORKDAYS($M87,$E87,calendar!$A$2:$A$80)))</f>
        <v/>
      </c>
      <c r="O87" s="30" t="str">
        <f aca="false">IF($B87="","",IF(AND($K87="Y",OR($D87="later",$J87="Y")),"Y","N"))</f>
        <v/>
      </c>
      <c r="P87" s="30" t="str">
        <f aca="false">IF(OR($B87="",$E87=""),"",$B87&amp;"_"&amp;$C87&amp;"_"&amp;$D87&amp;"_"&amp;TEXT($E87,"yyyy-mm-dd")&amp;".jpg")</f>
        <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
      </c>
      <c r="S87" s="30" t="str">
        <f aca="false">IF($B87="","",$R87&amp;"|"&amp;N($E87))</f>
        <v/>
      </c>
    </row>
    <row r="88" customFormat="false" ht="15" hidden="false" customHeight="false" outlineLevel="0" collapsed="false">
      <c r="D88" s="10"/>
      <c r="E88" s="11"/>
      <c r="F88" s="38"/>
      <c r="G88" s="10"/>
      <c r="I88" s="11"/>
      <c r="J88" s="10"/>
      <c r="K88" s="10"/>
      <c r="M88" s="31" t="str">
        <f aca="false">IF($B88="","",IFERROR(IF(INDEX(campaigns!$BG$2:$BG$51,MATCH($B88,campaigns!$A$2:$A$51,0))="","",INDEX(campaigns!$BG$2:$BG$51,MATCH($B88,campaigns!$A$2:$A$51,0))),""))</f>
        <v/>
      </c>
      <c r="N88" s="30" t="str">
        <f aca="false">IF(OR($B88="",$E88="",$M88=""),"",IF($E88&lt;$M88,0,NETWORKDAYS($M88,$E88,calendar!$A$2:$A$80)))</f>
        <v/>
      </c>
      <c r="O88" s="30" t="str">
        <f aca="false">IF($B88="","",IF(AND($K88="Y",OR($D88="later",$J88="Y")),"Y","N"))</f>
        <v/>
      </c>
      <c r="P88" s="30" t="str">
        <f aca="false">IF(OR($B88="",$E88=""),"",$B88&amp;"_"&amp;$C88&amp;"_"&amp;$D88&amp;"_"&amp;TEXT($E88,"yyyy-mm-dd")&amp;".jpg")</f>
        <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
      </c>
      <c r="S88" s="30" t="str">
        <f aca="false">IF($B88="","",$R88&amp;"|"&amp;N($E88))</f>
        <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344</v>
      </c>
      <c r="B1" s="29" t="s">
        <v>540</v>
      </c>
      <c r="C1" s="29" t="s">
        <v>737</v>
      </c>
      <c r="D1" s="29" t="s">
        <v>738</v>
      </c>
      <c r="E1" s="29" t="s">
        <v>739</v>
      </c>
      <c r="F1" s="29" t="s">
        <v>600</v>
      </c>
      <c r="G1" s="29" t="s">
        <v>740</v>
      </c>
      <c r="H1" s="29" t="s">
        <v>741</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
      </c>
      <c r="B22" s="30" t="str">
        <f aca="false">IF(INDEX(approvals!$A$2:$A$251,INT((ROW()-2)/2)+1)="","",INDEX(approvals!$B$2:$B$251,INT((ROW()-2)/2)+1))</f>
        <v/>
      </c>
      <c r="C22" s="30" t="str">
        <f aca="false">IF($A22="","",IF(MOD(ROW()-2,2)=0,"qr","post"))</f>
        <v/>
      </c>
      <c r="D22" s="30" t="str">
        <f aca="false">IF($A22="","",IF(LEFT($A22,7)="SAMPLE-","SAMPLE-","")&amp;LOWER(SUBSTITUTE(SUBSTITUTE($A22,"SAMPLE-",""),"CMP-","c"))&amp;"-"&amp;LOWER(SUBSTITUTE(SUBSTITUTE($B22,"SAMPLE-",""),"O-","o"))&amp;"-"&amp;IF($C22="qr","q","p"))</f>
        <v/>
      </c>
      <c r="E22" s="30" t="str">
        <f aca="false">IF($A22="","","https://"&amp;config!$B$9&amp;"/"&amp;$D22)</f>
        <v/>
      </c>
      <c r="F22" s="30" t="str">
        <f aca="false">IF($A22="","",$A22&amp;"."&amp;$B22)</f>
        <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30" t="str">
        <f aca="false">IF(OR($A22="",$C22&lt;&gt;"qr"),"",$D22&amp;".png")</f>
        <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
      </c>
      <c r="B23" s="30" t="str">
        <f aca="false">IF(INDEX(approvals!$A$2:$A$251,INT((ROW()-2)/2)+1)="","",INDEX(approvals!$B$2:$B$251,INT((ROW()-2)/2)+1))</f>
        <v/>
      </c>
      <c r="C23" s="30" t="str">
        <f aca="false">IF($A23="","",IF(MOD(ROW()-2,2)=0,"qr","post"))</f>
        <v/>
      </c>
      <c r="D23" s="30" t="str">
        <f aca="false">IF($A23="","",IF(LEFT($A23,7)="SAMPLE-","SAMPLE-","")&amp;LOWER(SUBSTITUTE(SUBSTITUTE($A23,"SAMPLE-",""),"CMP-","c"))&amp;"-"&amp;LOWER(SUBSTITUTE(SUBSTITUTE($B23,"SAMPLE-",""),"O-","o"))&amp;"-"&amp;IF($C23="qr","q","p"))</f>
        <v/>
      </c>
      <c r="E23" s="30" t="str">
        <f aca="false">IF($A23="","","https://"&amp;config!$B$9&amp;"/"&amp;$D23)</f>
        <v/>
      </c>
      <c r="F23" s="30" t="str">
        <f aca="false">IF($A23="","",$A23&amp;"."&amp;$B23)</f>
        <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
      </c>
      <c r="B24" s="30" t="str">
        <f aca="false">IF(INDEX(approvals!$A$2:$A$251,INT((ROW()-2)/2)+1)="","",INDEX(approvals!$B$2:$B$251,INT((ROW()-2)/2)+1))</f>
        <v/>
      </c>
      <c r="C24" s="30" t="str">
        <f aca="false">IF($A24="","",IF(MOD(ROW()-2,2)=0,"qr","post"))</f>
        <v/>
      </c>
      <c r="D24" s="30" t="str">
        <f aca="false">IF($A24="","",IF(LEFT($A24,7)="SAMPLE-","SAMPLE-","")&amp;LOWER(SUBSTITUTE(SUBSTITUTE($A24,"SAMPLE-",""),"CMP-","c"))&amp;"-"&amp;LOWER(SUBSTITUTE(SUBSTITUTE($B24,"SAMPLE-",""),"O-","o"))&amp;"-"&amp;IF($C24="qr","q","p"))</f>
        <v/>
      </c>
      <c r="E24" s="30" t="str">
        <f aca="false">IF($A24="","","https://"&amp;config!$B$9&amp;"/"&amp;$D24)</f>
        <v/>
      </c>
      <c r="F24" s="30" t="str">
        <f aca="false">IF($A24="","",$A24&amp;"."&amp;$B24)</f>
        <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30" t="str">
        <f aca="false">IF(OR($A24="",$C24&lt;&gt;"qr"),"",$D24&amp;".png")</f>
        <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
      </c>
      <c r="B25" s="30" t="str">
        <f aca="false">IF(INDEX(approvals!$A$2:$A$251,INT((ROW()-2)/2)+1)="","",INDEX(approvals!$B$2:$B$251,INT((ROW()-2)/2)+1))</f>
        <v/>
      </c>
      <c r="C25" s="30" t="str">
        <f aca="false">IF($A25="","",IF(MOD(ROW()-2,2)=0,"qr","post"))</f>
        <v/>
      </c>
      <c r="D25" s="30" t="str">
        <f aca="false">IF($A25="","",IF(LEFT($A25,7)="SAMPLE-","SAMPLE-","")&amp;LOWER(SUBSTITUTE(SUBSTITUTE($A25,"SAMPLE-",""),"CMP-","c"))&amp;"-"&amp;LOWER(SUBSTITUTE(SUBSTITUTE($B25,"SAMPLE-",""),"O-","o"))&amp;"-"&amp;IF($C25="qr","q","p"))</f>
        <v/>
      </c>
      <c r="E25" s="30" t="str">
        <f aca="false">IF($A25="","","https://"&amp;config!$B$9&amp;"/"&amp;$D25)</f>
        <v/>
      </c>
      <c r="F25" s="30" t="str">
        <f aca="false">IF($A25="","",$A25&amp;"."&amp;$B25)</f>
        <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
      </c>
      <c r="B26" s="30" t="str">
        <f aca="false">IF(INDEX(approvals!$A$2:$A$251,INT((ROW()-2)/2)+1)="","",INDEX(approvals!$B$2:$B$251,INT((ROW()-2)/2)+1))</f>
        <v/>
      </c>
      <c r="C26" s="30" t="str">
        <f aca="false">IF($A26="","",IF(MOD(ROW()-2,2)=0,"qr","post"))</f>
        <v/>
      </c>
      <c r="D26" s="30" t="str">
        <f aca="false">IF($A26="","",IF(LEFT($A26,7)="SAMPLE-","SAMPLE-","")&amp;LOWER(SUBSTITUTE(SUBSTITUTE($A26,"SAMPLE-",""),"CMP-","c"))&amp;"-"&amp;LOWER(SUBSTITUTE(SUBSTITUTE($B26,"SAMPLE-",""),"O-","o"))&amp;"-"&amp;IF($C26="qr","q","p"))</f>
        <v/>
      </c>
      <c r="E26" s="30" t="str">
        <f aca="false">IF($A26="","","https://"&amp;config!$B$9&amp;"/"&amp;$D26)</f>
        <v/>
      </c>
      <c r="F26" s="30" t="str">
        <f aca="false">IF($A26="","",$A26&amp;"."&amp;$B26)</f>
        <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30" t="str">
        <f aca="false">IF(OR($A26="",$C26&lt;&gt;"qr"),"",$D26&amp;".png")</f>
        <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
      </c>
      <c r="B27" s="30" t="str">
        <f aca="false">IF(INDEX(approvals!$A$2:$A$251,INT((ROW()-2)/2)+1)="","",INDEX(approvals!$B$2:$B$251,INT((ROW()-2)/2)+1))</f>
        <v/>
      </c>
      <c r="C27" s="30" t="str">
        <f aca="false">IF($A27="","",IF(MOD(ROW()-2,2)=0,"qr","post"))</f>
        <v/>
      </c>
      <c r="D27" s="30" t="str">
        <f aca="false">IF($A27="","",IF(LEFT($A27,7)="SAMPLE-","SAMPLE-","")&amp;LOWER(SUBSTITUTE(SUBSTITUTE($A27,"SAMPLE-",""),"CMP-","c"))&amp;"-"&amp;LOWER(SUBSTITUTE(SUBSTITUTE($B27,"SAMPLE-",""),"O-","o"))&amp;"-"&amp;IF($C27="qr","q","p"))</f>
        <v/>
      </c>
      <c r="E27" s="30" t="str">
        <f aca="false">IF($A27="","","https://"&amp;config!$B$9&amp;"/"&amp;$D27)</f>
        <v/>
      </c>
      <c r="F27" s="30" t="str">
        <f aca="false">IF($A27="","",$A27&amp;"."&amp;$B27)</f>
        <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
      </c>
      <c r="B28" s="30" t="str">
        <f aca="false">IF(INDEX(approvals!$A$2:$A$251,INT((ROW()-2)/2)+1)="","",INDEX(approvals!$B$2:$B$251,INT((ROW()-2)/2)+1))</f>
        <v/>
      </c>
      <c r="C28" s="30" t="str">
        <f aca="false">IF($A28="","",IF(MOD(ROW()-2,2)=0,"qr","post"))</f>
        <v/>
      </c>
      <c r="D28" s="30" t="str">
        <f aca="false">IF($A28="","",IF(LEFT($A28,7)="SAMPLE-","SAMPLE-","")&amp;LOWER(SUBSTITUTE(SUBSTITUTE($A28,"SAMPLE-",""),"CMP-","c"))&amp;"-"&amp;LOWER(SUBSTITUTE(SUBSTITUTE($B28,"SAMPLE-",""),"O-","o"))&amp;"-"&amp;IF($C28="qr","q","p"))</f>
        <v/>
      </c>
      <c r="E28" s="30" t="str">
        <f aca="false">IF($A28="","","https://"&amp;config!$B$9&amp;"/"&amp;$D28)</f>
        <v/>
      </c>
      <c r="F28" s="30" t="str">
        <f aca="false">IF($A28="","",$A28&amp;"."&amp;$B28)</f>
        <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30" t="str">
        <f aca="false">IF(OR($A28="",$C28&lt;&gt;"qr"),"",$D28&amp;".png")</f>
        <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
      </c>
      <c r="B29" s="30" t="str">
        <f aca="false">IF(INDEX(approvals!$A$2:$A$251,INT((ROW()-2)/2)+1)="","",INDEX(approvals!$B$2:$B$251,INT((ROW()-2)/2)+1))</f>
        <v/>
      </c>
      <c r="C29" s="30" t="str">
        <f aca="false">IF($A29="","",IF(MOD(ROW()-2,2)=0,"qr","post"))</f>
        <v/>
      </c>
      <c r="D29" s="30" t="str">
        <f aca="false">IF($A29="","",IF(LEFT($A29,7)="SAMPLE-","SAMPLE-","")&amp;LOWER(SUBSTITUTE(SUBSTITUTE($A29,"SAMPLE-",""),"CMP-","c"))&amp;"-"&amp;LOWER(SUBSTITUTE(SUBSTITUTE($B29,"SAMPLE-",""),"O-","o"))&amp;"-"&amp;IF($C29="qr","q","p"))</f>
        <v/>
      </c>
      <c r="E29" s="30" t="str">
        <f aca="false">IF($A29="","","https://"&amp;config!$B$9&amp;"/"&amp;$D29)</f>
        <v/>
      </c>
      <c r="F29" s="30" t="str">
        <f aca="false">IF($A29="","",$A29&amp;"."&amp;$B29)</f>
        <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
      </c>
      <c r="B30" s="30" t="str">
        <f aca="false">IF(INDEX(approvals!$A$2:$A$251,INT((ROW()-2)/2)+1)="","",INDEX(approvals!$B$2:$B$251,INT((ROW()-2)/2)+1))</f>
        <v/>
      </c>
      <c r="C30" s="30" t="str">
        <f aca="false">IF($A30="","",IF(MOD(ROW()-2,2)=0,"qr","post"))</f>
        <v/>
      </c>
      <c r="D30" s="30" t="str">
        <f aca="false">IF($A30="","",IF(LEFT($A30,7)="SAMPLE-","SAMPLE-","")&amp;LOWER(SUBSTITUTE(SUBSTITUTE($A30,"SAMPLE-",""),"CMP-","c"))&amp;"-"&amp;LOWER(SUBSTITUTE(SUBSTITUTE($B30,"SAMPLE-",""),"O-","o"))&amp;"-"&amp;IF($C30="qr","q","p"))</f>
        <v/>
      </c>
      <c r="E30" s="30" t="str">
        <f aca="false">IF($A30="","","https://"&amp;config!$B$9&amp;"/"&amp;$D30)</f>
        <v/>
      </c>
      <c r="F30" s="30" t="str">
        <f aca="false">IF($A30="","",$A30&amp;"."&amp;$B30)</f>
        <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30" t="str">
        <f aca="false">IF(OR($A30="",$C30&lt;&gt;"qr"),"",$D30&amp;".png")</f>
        <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
      </c>
      <c r="B31" s="30" t="str">
        <f aca="false">IF(INDEX(approvals!$A$2:$A$251,INT((ROW()-2)/2)+1)="","",INDEX(approvals!$B$2:$B$251,INT((ROW()-2)/2)+1))</f>
        <v/>
      </c>
      <c r="C31" s="30" t="str">
        <f aca="false">IF($A31="","",IF(MOD(ROW()-2,2)=0,"qr","post"))</f>
        <v/>
      </c>
      <c r="D31" s="30" t="str">
        <f aca="false">IF($A31="","",IF(LEFT($A31,7)="SAMPLE-","SAMPLE-","")&amp;LOWER(SUBSTITUTE(SUBSTITUTE($A31,"SAMPLE-",""),"CMP-","c"))&amp;"-"&amp;LOWER(SUBSTITUTE(SUBSTITUTE($B31,"SAMPLE-",""),"O-","o"))&amp;"-"&amp;IF($C31="qr","q","p"))</f>
        <v/>
      </c>
      <c r="E31" s="30" t="str">
        <f aca="false">IF($A31="","","https://"&amp;config!$B$9&amp;"/"&amp;$D31)</f>
        <v/>
      </c>
      <c r="F31" s="30" t="str">
        <f aca="false">IF($A31="","",$A31&amp;"."&amp;$B31)</f>
        <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
      </c>
      <c r="B32" s="30" t="str">
        <f aca="false">IF(INDEX(approvals!$A$2:$A$251,INT((ROW()-2)/2)+1)="","",INDEX(approvals!$B$2:$B$251,INT((ROW()-2)/2)+1))</f>
        <v/>
      </c>
      <c r="C32" s="30" t="str">
        <f aca="false">IF($A32="","",IF(MOD(ROW()-2,2)=0,"qr","post"))</f>
        <v/>
      </c>
      <c r="D32" s="30" t="str">
        <f aca="false">IF($A32="","",IF(LEFT($A32,7)="SAMPLE-","SAMPLE-","")&amp;LOWER(SUBSTITUTE(SUBSTITUTE($A32,"SAMPLE-",""),"CMP-","c"))&amp;"-"&amp;LOWER(SUBSTITUTE(SUBSTITUTE($B32,"SAMPLE-",""),"O-","o"))&amp;"-"&amp;IF($C32="qr","q","p"))</f>
        <v/>
      </c>
      <c r="E32" s="30" t="str">
        <f aca="false">IF($A32="","","https://"&amp;config!$B$9&amp;"/"&amp;$D32)</f>
        <v/>
      </c>
      <c r="F32" s="30" t="str">
        <f aca="false">IF($A32="","",$A32&amp;"."&amp;$B32)</f>
        <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30" t="str">
        <f aca="false">IF(OR($A32="",$C32&lt;&gt;"qr"),"",$D32&amp;".png")</f>
        <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
      </c>
      <c r="B33" s="30" t="str">
        <f aca="false">IF(INDEX(approvals!$A$2:$A$251,INT((ROW()-2)/2)+1)="","",INDEX(approvals!$B$2:$B$251,INT((ROW()-2)/2)+1))</f>
        <v/>
      </c>
      <c r="C33" s="30" t="str">
        <f aca="false">IF($A33="","",IF(MOD(ROW()-2,2)=0,"qr","post"))</f>
        <v/>
      </c>
      <c r="D33" s="30" t="str">
        <f aca="false">IF($A33="","",IF(LEFT($A33,7)="SAMPLE-","SAMPLE-","")&amp;LOWER(SUBSTITUTE(SUBSTITUTE($A33,"SAMPLE-",""),"CMP-","c"))&amp;"-"&amp;LOWER(SUBSTITUTE(SUBSTITUTE($B33,"SAMPLE-",""),"O-","o"))&amp;"-"&amp;IF($C33="qr","q","p"))</f>
        <v/>
      </c>
      <c r="E33" s="30" t="str">
        <f aca="false">IF($A33="","","https://"&amp;config!$B$9&amp;"/"&amp;$D33)</f>
        <v/>
      </c>
      <c r="F33" s="30" t="str">
        <f aca="false">IF($A33="","",$A33&amp;"."&amp;$B33)</f>
        <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
      </c>
      <c r="B34" s="30" t="str">
        <f aca="false">IF(INDEX(approvals!$A$2:$A$251,INT((ROW()-2)/2)+1)="","",INDEX(approvals!$B$2:$B$251,INT((ROW()-2)/2)+1))</f>
        <v/>
      </c>
      <c r="C34" s="30" t="str">
        <f aca="false">IF($A34="","",IF(MOD(ROW()-2,2)=0,"qr","post"))</f>
        <v/>
      </c>
      <c r="D34" s="30" t="str">
        <f aca="false">IF($A34="","",IF(LEFT($A34,7)="SAMPLE-","SAMPLE-","")&amp;LOWER(SUBSTITUTE(SUBSTITUTE($A34,"SAMPLE-",""),"CMP-","c"))&amp;"-"&amp;LOWER(SUBSTITUTE(SUBSTITUTE($B34,"SAMPLE-",""),"O-","o"))&amp;"-"&amp;IF($C34="qr","q","p"))</f>
        <v/>
      </c>
      <c r="E34" s="30" t="str">
        <f aca="false">IF($A34="","","https://"&amp;config!$B$9&amp;"/"&amp;$D34)</f>
        <v/>
      </c>
      <c r="F34" s="30" t="str">
        <f aca="false">IF($A34="","",$A34&amp;"."&amp;$B34)</f>
        <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30" t="str">
        <f aca="false">IF(OR($A34="",$C34&lt;&gt;"qr"),"",$D34&amp;".png")</f>
        <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
      </c>
      <c r="B35" s="30" t="str">
        <f aca="false">IF(INDEX(approvals!$A$2:$A$251,INT((ROW()-2)/2)+1)="","",INDEX(approvals!$B$2:$B$251,INT((ROW()-2)/2)+1))</f>
        <v/>
      </c>
      <c r="C35" s="30" t="str">
        <f aca="false">IF($A35="","",IF(MOD(ROW()-2,2)=0,"qr","post"))</f>
        <v/>
      </c>
      <c r="D35" s="30" t="str">
        <f aca="false">IF($A35="","",IF(LEFT($A35,7)="SAMPLE-","SAMPLE-","")&amp;LOWER(SUBSTITUTE(SUBSTITUTE($A35,"SAMPLE-",""),"CMP-","c"))&amp;"-"&amp;LOWER(SUBSTITUTE(SUBSTITUTE($B35,"SAMPLE-",""),"O-","o"))&amp;"-"&amp;IF($C35="qr","q","p"))</f>
        <v/>
      </c>
      <c r="E35" s="30" t="str">
        <f aca="false">IF($A35="","","https://"&amp;config!$B$9&amp;"/"&amp;$D35)</f>
        <v/>
      </c>
      <c r="F35" s="30" t="str">
        <f aca="false">IF($A35="","",$A35&amp;"."&amp;$B35)</f>
        <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
      </c>
      <c r="B36" s="30" t="str">
        <f aca="false">IF(INDEX(approvals!$A$2:$A$251,INT((ROW()-2)/2)+1)="","",INDEX(approvals!$B$2:$B$251,INT((ROW()-2)/2)+1))</f>
        <v/>
      </c>
      <c r="C36" s="30" t="str">
        <f aca="false">IF($A36="","",IF(MOD(ROW()-2,2)=0,"qr","post"))</f>
        <v/>
      </c>
      <c r="D36" s="30" t="str">
        <f aca="false">IF($A36="","",IF(LEFT($A36,7)="SAMPLE-","SAMPLE-","")&amp;LOWER(SUBSTITUTE(SUBSTITUTE($A36,"SAMPLE-",""),"CMP-","c"))&amp;"-"&amp;LOWER(SUBSTITUTE(SUBSTITUTE($B36,"SAMPLE-",""),"O-","o"))&amp;"-"&amp;IF($C36="qr","q","p"))</f>
        <v/>
      </c>
      <c r="E36" s="30" t="str">
        <f aca="false">IF($A36="","","https://"&amp;config!$B$9&amp;"/"&amp;$D36)</f>
        <v/>
      </c>
      <c r="F36" s="30" t="str">
        <f aca="false">IF($A36="","",$A36&amp;"."&amp;$B36)</f>
        <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30" t="str">
        <f aca="false">IF(OR($A36="",$C36&lt;&gt;"qr"),"",$D36&amp;".png")</f>
        <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
      </c>
      <c r="B37" s="30" t="str">
        <f aca="false">IF(INDEX(approvals!$A$2:$A$251,INT((ROW()-2)/2)+1)="","",INDEX(approvals!$B$2:$B$251,INT((ROW()-2)/2)+1))</f>
        <v/>
      </c>
      <c r="C37" s="30" t="str">
        <f aca="false">IF($A37="","",IF(MOD(ROW()-2,2)=0,"qr","post"))</f>
        <v/>
      </c>
      <c r="D37" s="30" t="str">
        <f aca="false">IF($A37="","",IF(LEFT($A37,7)="SAMPLE-","SAMPLE-","")&amp;LOWER(SUBSTITUTE(SUBSTITUTE($A37,"SAMPLE-",""),"CMP-","c"))&amp;"-"&amp;LOWER(SUBSTITUTE(SUBSTITUTE($B37,"SAMPLE-",""),"O-","o"))&amp;"-"&amp;IF($C37="qr","q","p"))</f>
        <v/>
      </c>
      <c r="E37" s="30" t="str">
        <f aca="false">IF($A37="","","https://"&amp;config!$B$9&amp;"/"&amp;$D37)</f>
        <v/>
      </c>
      <c r="F37" s="30" t="str">
        <f aca="false">IF($A37="","",$A37&amp;"."&amp;$B37)</f>
        <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
      </c>
      <c r="B38" s="30" t="str">
        <f aca="false">IF(INDEX(approvals!$A$2:$A$251,INT((ROW()-2)/2)+1)="","",INDEX(approvals!$B$2:$B$251,INT((ROW()-2)/2)+1))</f>
        <v/>
      </c>
      <c r="C38" s="30" t="str">
        <f aca="false">IF($A38="","",IF(MOD(ROW()-2,2)=0,"qr","post"))</f>
        <v/>
      </c>
      <c r="D38" s="30" t="str">
        <f aca="false">IF($A38="","",IF(LEFT($A38,7)="SAMPLE-","SAMPLE-","")&amp;LOWER(SUBSTITUTE(SUBSTITUTE($A38,"SAMPLE-",""),"CMP-","c"))&amp;"-"&amp;LOWER(SUBSTITUTE(SUBSTITUTE($B38,"SAMPLE-",""),"O-","o"))&amp;"-"&amp;IF($C38="qr","q","p"))</f>
        <v/>
      </c>
      <c r="E38" s="30" t="str">
        <f aca="false">IF($A38="","","https://"&amp;config!$B$9&amp;"/"&amp;$D38)</f>
        <v/>
      </c>
      <c r="F38" s="30" t="str">
        <f aca="false">IF($A38="","",$A38&amp;"."&amp;$B38)</f>
        <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30" t="str">
        <f aca="false">IF(OR($A38="",$C38&lt;&gt;"qr"),"",$D38&amp;".png")</f>
        <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
      </c>
      <c r="B39" s="30" t="str">
        <f aca="false">IF(INDEX(approvals!$A$2:$A$251,INT((ROW()-2)/2)+1)="","",INDEX(approvals!$B$2:$B$251,INT((ROW()-2)/2)+1))</f>
        <v/>
      </c>
      <c r="C39" s="30" t="str">
        <f aca="false">IF($A39="","",IF(MOD(ROW()-2,2)=0,"qr","post"))</f>
        <v/>
      </c>
      <c r="D39" s="30" t="str">
        <f aca="false">IF($A39="","",IF(LEFT($A39,7)="SAMPLE-","SAMPLE-","")&amp;LOWER(SUBSTITUTE(SUBSTITUTE($A39,"SAMPLE-",""),"CMP-","c"))&amp;"-"&amp;LOWER(SUBSTITUTE(SUBSTITUTE($B39,"SAMPLE-",""),"O-","o"))&amp;"-"&amp;IF($C39="qr","q","p"))</f>
        <v/>
      </c>
      <c r="E39" s="30" t="str">
        <f aca="false">IF($A39="","","https://"&amp;config!$B$9&amp;"/"&amp;$D39)</f>
        <v/>
      </c>
      <c r="F39" s="30" t="str">
        <f aca="false">IF($A39="","",$A39&amp;"."&amp;$B39)</f>
        <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
      </c>
      <c r="B40" s="30" t="str">
        <f aca="false">IF(INDEX(approvals!$A$2:$A$251,INT((ROW()-2)/2)+1)="","",INDEX(approvals!$B$2:$B$251,INT((ROW()-2)/2)+1))</f>
        <v/>
      </c>
      <c r="C40" s="30" t="str">
        <f aca="false">IF($A40="","",IF(MOD(ROW()-2,2)=0,"qr","post"))</f>
        <v/>
      </c>
      <c r="D40" s="30" t="str">
        <f aca="false">IF($A40="","",IF(LEFT($A40,7)="SAMPLE-","SAMPLE-","")&amp;LOWER(SUBSTITUTE(SUBSTITUTE($A40,"SAMPLE-",""),"CMP-","c"))&amp;"-"&amp;LOWER(SUBSTITUTE(SUBSTITUTE($B40,"SAMPLE-",""),"O-","o"))&amp;"-"&amp;IF($C40="qr","q","p"))</f>
        <v/>
      </c>
      <c r="E40" s="30" t="str">
        <f aca="false">IF($A40="","","https://"&amp;config!$B$9&amp;"/"&amp;$D40)</f>
        <v/>
      </c>
      <c r="F40" s="30" t="str">
        <f aca="false">IF($A40="","",$A40&amp;"."&amp;$B40)</f>
        <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30" t="str">
        <f aca="false">IF(OR($A40="",$C40&lt;&gt;"qr"),"",$D40&amp;".png")</f>
        <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
      </c>
      <c r="B41" s="30" t="str">
        <f aca="false">IF(INDEX(approvals!$A$2:$A$251,INT((ROW()-2)/2)+1)="","",INDEX(approvals!$B$2:$B$251,INT((ROW()-2)/2)+1))</f>
        <v/>
      </c>
      <c r="C41" s="30" t="str">
        <f aca="false">IF($A41="","",IF(MOD(ROW()-2,2)=0,"qr","post"))</f>
        <v/>
      </c>
      <c r="D41" s="30" t="str">
        <f aca="false">IF($A41="","",IF(LEFT($A41,7)="SAMPLE-","SAMPLE-","")&amp;LOWER(SUBSTITUTE(SUBSTITUTE($A41,"SAMPLE-",""),"CMP-","c"))&amp;"-"&amp;LOWER(SUBSTITUTE(SUBSTITUTE($B41,"SAMPLE-",""),"O-","o"))&amp;"-"&amp;IF($C41="qr","q","p"))</f>
        <v/>
      </c>
      <c r="E41" s="30" t="str">
        <f aca="false">IF($A41="","","https://"&amp;config!$B$9&amp;"/"&amp;$D41)</f>
        <v/>
      </c>
      <c r="F41" s="30" t="str">
        <f aca="false">IF($A41="","",$A41&amp;"."&amp;$B41)</f>
        <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
      </c>
      <c r="B42" s="30" t="str">
        <f aca="false">IF(INDEX(approvals!$A$2:$A$251,INT((ROW()-2)/2)+1)="","",INDEX(approvals!$B$2:$B$251,INT((ROW()-2)/2)+1))</f>
        <v/>
      </c>
      <c r="C42" s="30" t="str">
        <f aca="false">IF($A42="","",IF(MOD(ROW()-2,2)=0,"qr","post"))</f>
        <v/>
      </c>
      <c r="D42" s="30" t="str">
        <f aca="false">IF($A42="","",IF(LEFT($A42,7)="SAMPLE-","SAMPLE-","")&amp;LOWER(SUBSTITUTE(SUBSTITUTE($A42,"SAMPLE-",""),"CMP-","c"))&amp;"-"&amp;LOWER(SUBSTITUTE(SUBSTITUTE($B42,"SAMPLE-",""),"O-","o"))&amp;"-"&amp;IF($C42="qr","q","p"))</f>
        <v/>
      </c>
      <c r="E42" s="30" t="str">
        <f aca="false">IF($A42="","","https://"&amp;config!$B$9&amp;"/"&amp;$D42)</f>
        <v/>
      </c>
      <c r="F42" s="30" t="str">
        <f aca="false">IF($A42="","",$A42&amp;"."&amp;$B42)</f>
        <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30" t="str">
        <f aca="false">IF(OR($A42="",$C42&lt;&gt;"qr"),"",$D42&amp;".png")</f>
        <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
      </c>
      <c r="B43" s="30" t="str">
        <f aca="false">IF(INDEX(approvals!$A$2:$A$251,INT((ROW()-2)/2)+1)="","",INDEX(approvals!$B$2:$B$251,INT((ROW()-2)/2)+1))</f>
        <v/>
      </c>
      <c r="C43" s="30" t="str">
        <f aca="false">IF($A43="","",IF(MOD(ROW()-2,2)=0,"qr","post"))</f>
        <v/>
      </c>
      <c r="D43" s="30" t="str">
        <f aca="false">IF($A43="","",IF(LEFT($A43,7)="SAMPLE-","SAMPLE-","")&amp;LOWER(SUBSTITUTE(SUBSTITUTE($A43,"SAMPLE-",""),"CMP-","c"))&amp;"-"&amp;LOWER(SUBSTITUTE(SUBSTITUTE($B43,"SAMPLE-",""),"O-","o"))&amp;"-"&amp;IF($C43="qr","q","p"))</f>
        <v/>
      </c>
      <c r="E43" s="30" t="str">
        <f aca="false">IF($A43="","","https://"&amp;config!$B$9&amp;"/"&amp;$D43)</f>
        <v/>
      </c>
      <c r="F43" s="30" t="str">
        <f aca="false">IF($A43="","",$A43&amp;"."&amp;$B43)</f>
        <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
      </c>
      <c r="B44" s="30" t="str">
        <f aca="false">IF(INDEX(approvals!$A$2:$A$251,INT((ROW()-2)/2)+1)="","",INDEX(approvals!$B$2:$B$251,INT((ROW()-2)/2)+1))</f>
        <v/>
      </c>
      <c r="C44" s="30" t="str">
        <f aca="false">IF($A44="","",IF(MOD(ROW()-2,2)=0,"qr","post"))</f>
        <v/>
      </c>
      <c r="D44" s="30" t="str">
        <f aca="false">IF($A44="","",IF(LEFT($A44,7)="SAMPLE-","SAMPLE-","")&amp;LOWER(SUBSTITUTE(SUBSTITUTE($A44,"SAMPLE-",""),"CMP-","c"))&amp;"-"&amp;LOWER(SUBSTITUTE(SUBSTITUTE($B44,"SAMPLE-",""),"O-","o"))&amp;"-"&amp;IF($C44="qr","q","p"))</f>
        <v/>
      </c>
      <c r="E44" s="30" t="str">
        <f aca="false">IF($A44="","","https://"&amp;config!$B$9&amp;"/"&amp;$D44)</f>
        <v/>
      </c>
      <c r="F44" s="30" t="str">
        <f aca="false">IF($A44="","",$A44&amp;"."&amp;$B44)</f>
        <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30" t="str">
        <f aca="false">IF(OR($A44="",$C44&lt;&gt;"qr"),"",$D44&amp;".png")</f>
        <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
      </c>
      <c r="B45" s="30" t="str">
        <f aca="false">IF(INDEX(approvals!$A$2:$A$251,INT((ROW()-2)/2)+1)="","",INDEX(approvals!$B$2:$B$251,INT((ROW()-2)/2)+1))</f>
        <v/>
      </c>
      <c r="C45" s="30" t="str">
        <f aca="false">IF($A45="","",IF(MOD(ROW()-2,2)=0,"qr","post"))</f>
        <v/>
      </c>
      <c r="D45" s="30" t="str">
        <f aca="false">IF($A45="","",IF(LEFT($A45,7)="SAMPLE-","SAMPLE-","")&amp;LOWER(SUBSTITUTE(SUBSTITUTE($A45,"SAMPLE-",""),"CMP-","c"))&amp;"-"&amp;LOWER(SUBSTITUTE(SUBSTITUTE($B45,"SAMPLE-",""),"O-","o"))&amp;"-"&amp;IF($C45="qr","q","p"))</f>
        <v/>
      </c>
      <c r="E45" s="30" t="str">
        <f aca="false">IF($A45="","","https://"&amp;config!$B$9&amp;"/"&amp;$D45)</f>
        <v/>
      </c>
      <c r="F45" s="30" t="str">
        <f aca="false">IF($A45="","",$A45&amp;"."&amp;$B45)</f>
        <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
      </c>
      <c r="B46" s="30" t="str">
        <f aca="false">IF(INDEX(approvals!$A$2:$A$251,INT((ROW()-2)/2)+1)="","",INDEX(approvals!$B$2:$B$251,INT((ROW()-2)/2)+1))</f>
        <v/>
      </c>
      <c r="C46" s="30" t="str">
        <f aca="false">IF($A46="","",IF(MOD(ROW()-2,2)=0,"qr","post"))</f>
        <v/>
      </c>
      <c r="D46" s="30" t="str">
        <f aca="false">IF($A46="","",IF(LEFT($A46,7)="SAMPLE-","SAMPLE-","")&amp;LOWER(SUBSTITUTE(SUBSTITUTE($A46,"SAMPLE-",""),"CMP-","c"))&amp;"-"&amp;LOWER(SUBSTITUTE(SUBSTITUTE($B46,"SAMPLE-",""),"O-","o"))&amp;"-"&amp;IF($C46="qr","q","p"))</f>
        <v/>
      </c>
      <c r="E46" s="30" t="str">
        <f aca="false">IF($A46="","","https://"&amp;config!$B$9&amp;"/"&amp;$D46)</f>
        <v/>
      </c>
      <c r="F46" s="30" t="str">
        <f aca="false">IF($A46="","",$A46&amp;"."&amp;$B46)</f>
        <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30" t="str">
        <f aca="false">IF(OR($A46="",$C46&lt;&gt;"qr"),"",$D46&amp;".png")</f>
        <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
      </c>
      <c r="B47" s="30" t="str">
        <f aca="false">IF(INDEX(approvals!$A$2:$A$251,INT((ROW()-2)/2)+1)="","",INDEX(approvals!$B$2:$B$251,INT((ROW()-2)/2)+1))</f>
        <v/>
      </c>
      <c r="C47" s="30" t="str">
        <f aca="false">IF($A47="","",IF(MOD(ROW()-2,2)=0,"qr","post"))</f>
        <v/>
      </c>
      <c r="D47" s="30" t="str">
        <f aca="false">IF($A47="","",IF(LEFT($A47,7)="SAMPLE-","SAMPLE-","")&amp;LOWER(SUBSTITUTE(SUBSTITUTE($A47,"SAMPLE-",""),"CMP-","c"))&amp;"-"&amp;LOWER(SUBSTITUTE(SUBSTITUTE($B47,"SAMPLE-",""),"O-","o"))&amp;"-"&amp;IF($C47="qr","q","p"))</f>
        <v/>
      </c>
      <c r="E47" s="30" t="str">
        <f aca="false">IF($A47="","","https://"&amp;config!$B$9&amp;"/"&amp;$D47)</f>
        <v/>
      </c>
      <c r="F47" s="30" t="str">
        <f aca="false">IF($A47="","",$A47&amp;"."&amp;$B47)</f>
        <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
      </c>
      <c r="B48" s="30" t="str">
        <f aca="false">IF(INDEX(approvals!$A$2:$A$251,INT((ROW()-2)/2)+1)="","",INDEX(approvals!$B$2:$B$251,INT((ROW()-2)/2)+1))</f>
        <v/>
      </c>
      <c r="C48" s="30" t="str">
        <f aca="false">IF($A48="","",IF(MOD(ROW()-2,2)=0,"qr","post"))</f>
        <v/>
      </c>
      <c r="D48" s="30" t="str">
        <f aca="false">IF($A48="","",IF(LEFT($A48,7)="SAMPLE-","SAMPLE-","")&amp;LOWER(SUBSTITUTE(SUBSTITUTE($A48,"SAMPLE-",""),"CMP-","c"))&amp;"-"&amp;LOWER(SUBSTITUTE(SUBSTITUTE($B48,"SAMPLE-",""),"O-","o"))&amp;"-"&amp;IF($C48="qr","q","p"))</f>
        <v/>
      </c>
      <c r="E48" s="30" t="str">
        <f aca="false">IF($A48="","","https://"&amp;config!$B$9&amp;"/"&amp;$D48)</f>
        <v/>
      </c>
      <c r="F48" s="30" t="str">
        <f aca="false">IF($A48="","",$A48&amp;"."&amp;$B48)</f>
        <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30" t="str">
        <f aca="false">IF(OR($A48="",$C48&lt;&gt;"qr"),"",$D48&amp;".png")</f>
        <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
      </c>
      <c r="B49" s="30" t="str">
        <f aca="false">IF(INDEX(approvals!$A$2:$A$251,INT((ROW()-2)/2)+1)="","",INDEX(approvals!$B$2:$B$251,INT((ROW()-2)/2)+1))</f>
        <v/>
      </c>
      <c r="C49" s="30" t="str">
        <f aca="false">IF($A49="","",IF(MOD(ROW()-2,2)=0,"qr","post"))</f>
        <v/>
      </c>
      <c r="D49" s="30" t="str">
        <f aca="false">IF($A49="","",IF(LEFT($A49,7)="SAMPLE-","SAMPLE-","")&amp;LOWER(SUBSTITUTE(SUBSTITUTE($A49,"SAMPLE-",""),"CMP-","c"))&amp;"-"&amp;LOWER(SUBSTITUTE(SUBSTITUTE($B49,"SAMPLE-",""),"O-","o"))&amp;"-"&amp;IF($C49="qr","q","p"))</f>
        <v/>
      </c>
      <c r="E49" s="30" t="str">
        <f aca="false">IF($A49="","","https://"&amp;config!$B$9&amp;"/"&amp;$D49)</f>
        <v/>
      </c>
      <c r="F49" s="30" t="str">
        <f aca="false">IF($A49="","",$A49&amp;"."&amp;$B49)</f>
        <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
      </c>
      <c r="B50" s="30" t="str">
        <f aca="false">IF(INDEX(approvals!$A$2:$A$251,INT((ROW()-2)/2)+1)="","",INDEX(approvals!$B$2:$B$251,INT((ROW()-2)/2)+1))</f>
        <v/>
      </c>
      <c r="C50" s="30" t="str">
        <f aca="false">IF($A50="","",IF(MOD(ROW()-2,2)=0,"qr","post"))</f>
        <v/>
      </c>
      <c r="D50" s="30" t="str">
        <f aca="false">IF($A50="","",IF(LEFT($A50,7)="SAMPLE-","SAMPLE-","")&amp;LOWER(SUBSTITUTE(SUBSTITUTE($A50,"SAMPLE-",""),"CMP-","c"))&amp;"-"&amp;LOWER(SUBSTITUTE(SUBSTITUTE($B50,"SAMPLE-",""),"O-","o"))&amp;"-"&amp;IF($C50="qr","q","p"))</f>
        <v/>
      </c>
      <c r="E50" s="30" t="str">
        <f aca="false">IF($A50="","","https://"&amp;config!$B$9&amp;"/"&amp;$D50)</f>
        <v/>
      </c>
      <c r="F50" s="30" t="str">
        <f aca="false">IF($A50="","",$A50&amp;"."&amp;$B50)</f>
        <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30" t="str">
        <f aca="false">IF(OR($A50="",$C50&lt;&gt;"qr"),"",$D50&amp;".png")</f>
        <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
      </c>
      <c r="B51" s="30" t="str">
        <f aca="false">IF(INDEX(approvals!$A$2:$A$251,INT((ROW()-2)/2)+1)="","",INDEX(approvals!$B$2:$B$251,INT((ROW()-2)/2)+1))</f>
        <v/>
      </c>
      <c r="C51" s="30" t="str">
        <f aca="false">IF($A51="","",IF(MOD(ROW()-2,2)=0,"qr","post"))</f>
        <v/>
      </c>
      <c r="D51" s="30" t="str">
        <f aca="false">IF($A51="","",IF(LEFT($A51,7)="SAMPLE-","SAMPLE-","")&amp;LOWER(SUBSTITUTE(SUBSTITUTE($A51,"SAMPLE-",""),"CMP-","c"))&amp;"-"&amp;LOWER(SUBSTITUTE(SUBSTITUTE($B51,"SAMPLE-",""),"O-","o"))&amp;"-"&amp;IF($C51="qr","q","p"))</f>
        <v/>
      </c>
      <c r="E51" s="30" t="str">
        <f aca="false">IF($A51="","","https://"&amp;config!$B$9&amp;"/"&amp;$D51)</f>
        <v/>
      </c>
      <c r="F51" s="30" t="str">
        <f aca="false">IF($A51="","",$A51&amp;"."&amp;$B51)</f>
        <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
      </c>
      <c r="B52" s="30" t="str">
        <f aca="false">IF(INDEX(approvals!$A$2:$A$251,INT((ROW()-2)/2)+1)="","",INDEX(approvals!$B$2:$B$251,INT((ROW()-2)/2)+1))</f>
        <v/>
      </c>
      <c r="C52" s="30" t="str">
        <f aca="false">IF($A52="","",IF(MOD(ROW()-2,2)=0,"qr","post"))</f>
        <v/>
      </c>
      <c r="D52" s="30" t="str">
        <f aca="false">IF($A52="","",IF(LEFT($A52,7)="SAMPLE-","SAMPLE-","")&amp;LOWER(SUBSTITUTE(SUBSTITUTE($A52,"SAMPLE-",""),"CMP-","c"))&amp;"-"&amp;LOWER(SUBSTITUTE(SUBSTITUTE($B52,"SAMPLE-",""),"O-","o"))&amp;"-"&amp;IF($C52="qr","q","p"))</f>
        <v/>
      </c>
      <c r="E52" s="30" t="str">
        <f aca="false">IF($A52="","","https://"&amp;config!$B$9&amp;"/"&amp;$D52)</f>
        <v/>
      </c>
      <c r="F52" s="30" t="str">
        <f aca="false">IF($A52="","",$A52&amp;"."&amp;$B52)</f>
        <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30" t="str">
        <f aca="false">IF(OR($A52="",$C52&lt;&gt;"qr"),"",$D52&amp;".png")</f>
        <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
      </c>
      <c r="B53" s="30" t="str">
        <f aca="false">IF(INDEX(approvals!$A$2:$A$251,INT((ROW()-2)/2)+1)="","",INDEX(approvals!$B$2:$B$251,INT((ROW()-2)/2)+1))</f>
        <v/>
      </c>
      <c r="C53" s="30" t="str">
        <f aca="false">IF($A53="","",IF(MOD(ROW()-2,2)=0,"qr","post"))</f>
        <v/>
      </c>
      <c r="D53" s="30" t="str">
        <f aca="false">IF($A53="","",IF(LEFT($A53,7)="SAMPLE-","SAMPLE-","")&amp;LOWER(SUBSTITUTE(SUBSTITUTE($A53,"SAMPLE-",""),"CMP-","c"))&amp;"-"&amp;LOWER(SUBSTITUTE(SUBSTITUTE($B53,"SAMPLE-",""),"O-","o"))&amp;"-"&amp;IF($C53="qr","q","p"))</f>
        <v/>
      </c>
      <c r="E53" s="30" t="str">
        <f aca="false">IF($A53="","","https://"&amp;config!$B$9&amp;"/"&amp;$D53)</f>
        <v/>
      </c>
      <c r="F53" s="30" t="str">
        <f aca="false">IF($A53="","",$A53&amp;"."&amp;$B53)</f>
        <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
      </c>
      <c r="B54" s="30" t="str">
        <f aca="false">IF(INDEX(approvals!$A$2:$A$251,INT((ROW()-2)/2)+1)="","",INDEX(approvals!$B$2:$B$251,INT((ROW()-2)/2)+1))</f>
        <v/>
      </c>
      <c r="C54" s="30" t="str">
        <f aca="false">IF($A54="","",IF(MOD(ROW()-2,2)=0,"qr","post"))</f>
        <v/>
      </c>
      <c r="D54" s="30" t="str">
        <f aca="false">IF($A54="","",IF(LEFT($A54,7)="SAMPLE-","SAMPLE-","")&amp;LOWER(SUBSTITUTE(SUBSTITUTE($A54,"SAMPLE-",""),"CMP-","c"))&amp;"-"&amp;LOWER(SUBSTITUTE(SUBSTITUTE($B54,"SAMPLE-",""),"O-","o"))&amp;"-"&amp;IF($C54="qr","q","p"))</f>
        <v/>
      </c>
      <c r="E54" s="30" t="str">
        <f aca="false">IF($A54="","","https://"&amp;config!$B$9&amp;"/"&amp;$D54)</f>
        <v/>
      </c>
      <c r="F54" s="30" t="str">
        <f aca="false">IF($A54="","",$A54&amp;"."&amp;$B54)</f>
        <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30" t="str">
        <f aca="false">IF(OR($A54="",$C54&lt;&gt;"qr"),"",$D54&amp;".png")</f>
        <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
      </c>
      <c r="B55" s="30" t="str">
        <f aca="false">IF(INDEX(approvals!$A$2:$A$251,INT((ROW()-2)/2)+1)="","",INDEX(approvals!$B$2:$B$251,INT((ROW()-2)/2)+1))</f>
        <v/>
      </c>
      <c r="C55" s="30" t="str">
        <f aca="false">IF($A55="","",IF(MOD(ROW()-2,2)=0,"qr","post"))</f>
        <v/>
      </c>
      <c r="D55" s="30" t="str">
        <f aca="false">IF($A55="","",IF(LEFT($A55,7)="SAMPLE-","SAMPLE-","")&amp;LOWER(SUBSTITUTE(SUBSTITUTE($A55,"SAMPLE-",""),"CMP-","c"))&amp;"-"&amp;LOWER(SUBSTITUTE(SUBSTITUTE($B55,"SAMPLE-",""),"O-","o"))&amp;"-"&amp;IF($C55="qr","q","p"))</f>
        <v/>
      </c>
      <c r="E55" s="30" t="str">
        <f aca="false">IF($A55="","","https://"&amp;config!$B$9&amp;"/"&amp;$D55)</f>
        <v/>
      </c>
      <c r="F55" s="30" t="str">
        <f aca="false">IF($A55="","",$A55&amp;"."&amp;$B55)</f>
        <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
      </c>
      <c r="B56" s="30" t="str">
        <f aca="false">IF(INDEX(approvals!$A$2:$A$251,INT((ROW()-2)/2)+1)="","",INDEX(approvals!$B$2:$B$251,INT((ROW()-2)/2)+1))</f>
        <v/>
      </c>
      <c r="C56" s="30" t="str">
        <f aca="false">IF($A56="","",IF(MOD(ROW()-2,2)=0,"qr","post"))</f>
        <v/>
      </c>
      <c r="D56" s="30" t="str">
        <f aca="false">IF($A56="","",IF(LEFT($A56,7)="SAMPLE-","SAMPLE-","")&amp;LOWER(SUBSTITUTE(SUBSTITUTE($A56,"SAMPLE-",""),"CMP-","c"))&amp;"-"&amp;LOWER(SUBSTITUTE(SUBSTITUTE($B56,"SAMPLE-",""),"O-","o"))&amp;"-"&amp;IF($C56="qr","q","p"))</f>
        <v/>
      </c>
      <c r="E56" s="30" t="str">
        <f aca="false">IF($A56="","","https://"&amp;config!$B$9&amp;"/"&amp;$D56)</f>
        <v/>
      </c>
      <c r="F56" s="30" t="str">
        <f aca="false">IF($A56="","",$A56&amp;"."&amp;$B56)</f>
        <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30" t="str">
        <f aca="false">IF(OR($A56="",$C56&lt;&gt;"qr"),"",$D56&amp;".png")</f>
        <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
      </c>
      <c r="B57" s="30" t="str">
        <f aca="false">IF(INDEX(approvals!$A$2:$A$251,INT((ROW()-2)/2)+1)="","",INDEX(approvals!$B$2:$B$251,INT((ROW()-2)/2)+1))</f>
        <v/>
      </c>
      <c r="C57" s="30" t="str">
        <f aca="false">IF($A57="","",IF(MOD(ROW()-2,2)=0,"qr","post"))</f>
        <v/>
      </c>
      <c r="D57" s="30" t="str">
        <f aca="false">IF($A57="","",IF(LEFT($A57,7)="SAMPLE-","SAMPLE-","")&amp;LOWER(SUBSTITUTE(SUBSTITUTE($A57,"SAMPLE-",""),"CMP-","c"))&amp;"-"&amp;LOWER(SUBSTITUTE(SUBSTITUTE($B57,"SAMPLE-",""),"O-","o"))&amp;"-"&amp;IF($C57="qr","q","p"))</f>
        <v/>
      </c>
      <c r="E57" s="30" t="str">
        <f aca="false">IF($A57="","","https://"&amp;config!$B$9&amp;"/"&amp;$D57)</f>
        <v/>
      </c>
      <c r="F57" s="30" t="str">
        <f aca="false">IF($A57="","",$A57&amp;"."&amp;$B57)</f>
        <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
      </c>
      <c r="B58" s="30" t="str">
        <f aca="false">IF(INDEX(approvals!$A$2:$A$251,INT((ROW()-2)/2)+1)="","",INDEX(approvals!$B$2:$B$251,INT((ROW()-2)/2)+1))</f>
        <v/>
      </c>
      <c r="C58" s="30" t="str">
        <f aca="false">IF($A58="","",IF(MOD(ROW()-2,2)=0,"qr","post"))</f>
        <v/>
      </c>
      <c r="D58" s="30" t="str">
        <f aca="false">IF($A58="","",IF(LEFT($A58,7)="SAMPLE-","SAMPLE-","")&amp;LOWER(SUBSTITUTE(SUBSTITUTE($A58,"SAMPLE-",""),"CMP-","c"))&amp;"-"&amp;LOWER(SUBSTITUTE(SUBSTITUTE($B58,"SAMPLE-",""),"O-","o"))&amp;"-"&amp;IF($C58="qr","q","p"))</f>
        <v/>
      </c>
      <c r="E58" s="30" t="str">
        <f aca="false">IF($A58="","","https://"&amp;config!$B$9&amp;"/"&amp;$D58)</f>
        <v/>
      </c>
      <c r="F58" s="30" t="str">
        <f aca="false">IF($A58="","",$A58&amp;"."&amp;$B58)</f>
        <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30" t="str">
        <f aca="false">IF(OR($A58="",$C58&lt;&gt;"qr"),"",$D58&amp;".png")</f>
        <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
      </c>
      <c r="B59" s="30" t="str">
        <f aca="false">IF(INDEX(approvals!$A$2:$A$251,INT((ROW()-2)/2)+1)="","",INDEX(approvals!$B$2:$B$251,INT((ROW()-2)/2)+1))</f>
        <v/>
      </c>
      <c r="C59" s="30" t="str">
        <f aca="false">IF($A59="","",IF(MOD(ROW()-2,2)=0,"qr","post"))</f>
        <v/>
      </c>
      <c r="D59" s="30" t="str">
        <f aca="false">IF($A59="","",IF(LEFT($A59,7)="SAMPLE-","SAMPLE-","")&amp;LOWER(SUBSTITUTE(SUBSTITUTE($A59,"SAMPLE-",""),"CMP-","c"))&amp;"-"&amp;LOWER(SUBSTITUTE(SUBSTITUTE($B59,"SAMPLE-",""),"O-","o"))&amp;"-"&amp;IF($C59="qr","q","p"))</f>
        <v/>
      </c>
      <c r="E59" s="30" t="str">
        <f aca="false">IF($A59="","","https://"&amp;config!$B$9&amp;"/"&amp;$D59)</f>
        <v/>
      </c>
      <c r="F59" s="30" t="str">
        <f aca="false">IF($A59="","",$A59&amp;"."&amp;$B59)</f>
        <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
      </c>
      <c r="B60" s="30" t="str">
        <f aca="false">IF(INDEX(approvals!$A$2:$A$251,INT((ROW()-2)/2)+1)="","",INDEX(approvals!$B$2:$B$251,INT((ROW()-2)/2)+1))</f>
        <v/>
      </c>
      <c r="C60" s="30" t="str">
        <f aca="false">IF($A60="","",IF(MOD(ROW()-2,2)=0,"qr","post"))</f>
        <v/>
      </c>
      <c r="D60" s="30" t="str">
        <f aca="false">IF($A60="","",IF(LEFT($A60,7)="SAMPLE-","SAMPLE-","")&amp;LOWER(SUBSTITUTE(SUBSTITUTE($A60,"SAMPLE-",""),"CMP-","c"))&amp;"-"&amp;LOWER(SUBSTITUTE(SUBSTITUTE($B60,"SAMPLE-",""),"O-","o"))&amp;"-"&amp;IF($C60="qr","q","p"))</f>
        <v/>
      </c>
      <c r="E60" s="30" t="str">
        <f aca="false">IF($A60="","","https://"&amp;config!$B$9&amp;"/"&amp;$D60)</f>
        <v/>
      </c>
      <c r="F60" s="30" t="str">
        <f aca="false">IF($A60="","",$A60&amp;"."&amp;$B60)</f>
        <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30" t="str">
        <f aca="false">IF(OR($A60="",$C60&lt;&gt;"qr"),"",$D60&amp;".png")</f>
        <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
      </c>
      <c r="B61" s="30" t="str">
        <f aca="false">IF(INDEX(approvals!$A$2:$A$251,INT((ROW()-2)/2)+1)="","",INDEX(approvals!$B$2:$B$251,INT((ROW()-2)/2)+1))</f>
        <v/>
      </c>
      <c r="C61" s="30" t="str">
        <f aca="false">IF($A61="","",IF(MOD(ROW()-2,2)=0,"qr","post"))</f>
        <v/>
      </c>
      <c r="D61" s="30" t="str">
        <f aca="false">IF($A61="","",IF(LEFT($A61,7)="SAMPLE-","SAMPLE-","")&amp;LOWER(SUBSTITUTE(SUBSTITUTE($A61,"SAMPLE-",""),"CMP-","c"))&amp;"-"&amp;LOWER(SUBSTITUTE(SUBSTITUTE($B61,"SAMPLE-",""),"O-","o"))&amp;"-"&amp;IF($C61="qr","q","p"))</f>
        <v/>
      </c>
      <c r="E61" s="30" t="str">
        <f aca="false">IF($A61="","","https://"&amp;config!$B$9&amp;"/"&amp;$D61)</f>
        <v/>
      </c>
      <c r="F61" s="30" t="str">
        <f aca="false">IF($A61="","",$A61&amp;"."&amp;$B61)</f>
        <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
      </c>
      <c r="B62" s="30" t="str">
        <f aca="false">IF(INDEX(approvals!$A$2:$A$251,INT((ROW()-2)/2)+1)="","",INDEX(approvals!$B$2:$B$251,INT((ROW()-2)/2)+1))</f>
        <v/>
      </c>
      <c r="C62" s="30" t="str">
        <f aca="false">IF($A62="","",IF(MOD(ROW()-2,2)=0,"qr","post"))</f>
        <v/>
      </c>
      <c r="D62" s="30" t="str">
        <f aca="false">IF($A62="","",IF(LEFT($A62,7)="SAMPLE-","SAMPLE-","")&amp;LOWER(SUBSTITUTE(SUBSTITUTE($A62,"SAMPLE-",""),"CMP-","c"))&amp;"-"&amp;LOWER(SUBSTITUTE(SUBSTITUTE($B62,"SAMPLE-",""),"O-","o"))&amp;"-"&amp;IF($C62="qr","q","p"))</f>
        <v/>
      </c>
      <c r="E62" s="30" t="str">
        <f aca="false">IF($A62="","","https://"&amp;config!$B$9&amp;"/"&amp;$D62)</f>
        <v/>
      </c>
      <c r="F62" s="30" t="str">
        <f aca="false">IF($A62="","",$A62&amp;"."&amp;$B62)</f>
        <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30" t="str">
        <f aca="false">IF(OR($A62="",$C62&lt;&gt;"qr"),"",$D62&amp;".png")</f>
        <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
      </c>
      <c r="B63" s="30" t="str">
        <f aca="false">IF(INDEX(approvals!$A$2:$A$251,INT((ROW()-2)/2)+1)="","",INDEX(approvals!$B$2:$B$251,INT((ROW()-2)/2)+1))</f>
        <v/>
      </c>
      <c r="C63" s="30" t="str">
        <f aca="false">IF($A63="","",IF(MOD(ROW()-2,2)=0,"qr","post"))</f>
        <v/>
      </c>
      <c r="D63" s="30" t="str">
        <f aca="false">IF($A63="","",IF(LEFT($A63,7)="SAMPLE-","SAMPLE-","")&amp;LOWER(SUBSTITUTE(SUBSTITUTE($A63,"SAMPLE-",""),"CMP-","c"))&amp;"-"&amp;LOWER(SUBSTITUTE(SUBSTITUTE($B63,"SAMPLE-",""),"O-","o"))&amp;"-"&amp;IF($C63="qr","q","p"))</f>
        <v/>
      </c>
      <c r="E63" s="30" t="str">
        <f aca="false">IF($A63="","","https://"&amp;config!$B$9&amp;"/"&amp;$D63)</f>
        <v/>
      </c>
      <c r="F63" s="30" t="str">
        <f aca="false">IF($A63="","",$A63&amp;"."&amp;$B63)</f>
        <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
      </c>
      <c r="B64" s="30" t="str">
        <f aca="false">IF(INDEX(approvals!$A$2:$A$251,INT((ROW()-2)/2)+1)="","",INDEX(approvals!$B$2:$B$251,INT((ROW()-2)/2)+1))</f>
        <v/>
      </c>
      <c r="C64" s="30" t="str">
        <f aca="false">IF($A64="","",IF(MOD(ROW()-2,2)=0,"qr","post"))</f>
        <v/>
      </c>
      <c r="D64" s="30" t="str">
        <f aca="false">IF($A64="","",IF(LEFT($A64,7)="SAMPLE-","SAMPLE-","")&amp;LOWER(SUBSTITUTE(SUBSTITUTE($A64,"SAMPLE-",""),"CMP-","c"))&amp;"-"&amp;LOWER(SUBSTITUTE(SUBSTITUTE($B64,"SAMPLE-",""),"O-","o"))&amp;"-"&amp;IF($C64="qr","q","p"))</f>
        <v/>
      </c>
      <c r="E64" s="30" t="str">
        <f aca="false">IF($A64="","","https://"&amp;config!$B$9&amp;"/"&amp;$D64)</f>
        <v/>
      </c>
      <c r="F64" s="30" t="str">
        <f aca="false">IF($A64="","",$A64&amp;"."&amp;$B64)</f>
        <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30" t="str">
        <f aca="false">IF(OR($A64="",$C64&lt;&gt;"qr"),"",$D64&amp;".png")</f>
        <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
      </c>
      <c r="B65" s="30" t="str">
        <f aca="false">IF(INDEX(approvals!$A$2:$A$251,INT((ROW()-2)/2)+1)="","",INDEX(approvals!$B$2:$B$251,INT((ROW()-2)/2)+1))</f>
        <v/>
      </c>
      <c r="C65" s="30" t="str">
        <f aca="false">IF($A65="","",IF(MOD(ROW()-2,2)=0,"qr","post"))</f>
        <v/>
      </c>
      <c r="D65" s="30" t="str">
        <f aca="false">IF($A65="","",IF(LEFT($A65,7)="SAMPLE-","SAMPLE-","")&amp;LOWER(SUBSTITUTE(SUBSTITUTE($A65,"SAMPLE-",""),"CMP-","c"))&amp;"-"&amp;LOWER(SUBSTITUTE(SUBSTITUTE($B65,"SAMPLE-",""),"O-","o"))&amp;"-"&amp;IF($C65="qr","q","p"))</f>
        <v/>
      </c>
      <c r="E65" s="30" t="str">
        <f aca="false">IF($A65="","","https://"&amp;config!$B$9&amp;"/"&amp;$D65)</f>
        <v/>
      </c>
      <c r="F65" s="30" t="str">
        <f aca="false">IF($A65="","",$A65&amp;"."&amp;$B65)</f>
        <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
      </c>
      <c r="B66" s="30" t="str">
        <f aca="false">IF(INDEX(approvals!$A$2:$A$251,INT((ROW()-2)/2)+1)="","",INDEX(approvals!$B$2:$B$251,INT((ROW()-2)/2)+1))</f>
        <v/>
      </c>
      <c r="C66" s="30" t="str">
        <f aca="false">IF($A66="","",IF(MOD(ROW()-2,2)=0,"qr","post"))</f>
        <v/>
      </c>
      <c r="D66" s="30" t="str">
        <f aca="false">IF($A66="","",IF(LEFT($A66,7)="SAMPLE-","SAMPLE-","")&amp;LOWER(SUBSTITUTE(SUBSTITUTE($A66,"SAMPLE-",""),"CMP-","c"))&amp;"-"&amp;LOWER(SUBSTITUTE(SUBSTITUTE($B66,"SAMPLE-",""),"O-","o"))&amp;"-"&amp;IF($C66="qr","q","p"))</f>
        <v/>
      </c>
      <c r="E66" s="30" t="str">
        <f aca="false">IF($A66="","","https://"&amp;config!$B$9&amp;"/"&amp;$D66)</f>
        <v/>
      </c>
      <c r="F66" s="30" t="str">
        <f aca="false">IF($A66="","",$A66&amp;"."&amp;$B66)</f>
        <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30" t="str">
        <f aca="false">IF(OR($A66="",$C66&lt;&gt;"qr"),"",$D66&amp;".png")</f>
        <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
      </c>
      <c r="B67" s="30" t="str">
        <f aca="false">IF(INDEX(approvals!$A$2:$A$251,INT((ROW()-2)/2)+1)="","",INDEX(approvals!$B$2:$B$251,INT((ROW()-2)/2)+1))</f>
        <v/>
      </c>
      <c r="C67" s="30" t="str">
        <f aca="false">IF($A67="","",IF(MOD(ROW()-2,2)=0,"qr","post"))</f>
        <v/>
      </c>
      <c r="D67" s="30" t="str">
        <f aca="false">IF($A67="","",IF(LEFT($A67,7)="SAMPLE-","SAMPLE-","")&amp;LOWER(SUBSTITUTE(SUBSTITUTE($A67,"SAMPLE-",""),"CMP-","c"))&amp;"-"&amp;LOWER(SUBSTITUTE(SUBSTITUTE($B67,"SAMPLE-",""),"O-","o"))&amp;"-"&amp;IF($C67="qr","q","p"))</f>
        <v/>
      </c>
      <c r="E67" s="30" t="str">
        <f aca="false">IF($A67="","","https://"&amp;config!$B$9&amp;"/"&amp;$D67)</f>
        <v/>
      </c>
      <c r="F67" s="30" t="str">
        <f aca="false">IF($A67="","",$A67&amp;"."&amp;$B67)</f>
        <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
      </c>
      <c r="B68" s="30" t="str">
        <f aca="false">IF(INDEX(approvals!$A$2:$A$251,INT((ROW()-2)/2)+1)="","",INDEX(approvals!$B$2:$B$251,INT((ROW()-2)/2)+1))</f>
        <v/>
      </c>
      <c r="C68" s="30" t="str">
        <f aca="false">IF($A68="","",IF(MOD(ROW()-2,2)=0,"qr","post"))</f>
        <v/>
      </c>
      <c r="D68" s="30" t="str">
        <f aca="false">IF($A68="","",IF(LEFT($A68,7)="SAMPLE-","SAMPLE-","")&amp;LOWER(SUBSTITUTE(SUBSTITUTE($A68,"SAMPLE-",""),"CMP-","c"))&amp;"-"&amp;LOWER(SUBSTITUTE(SUBSTITUTE($B68,"SAMPLE-",""),"O-","o"))&amp;"-"&amp;IF($C68="qr","q","p"))</f>
        <v/>
      </c>
      <c r="E68" s="30" t="str">
        <f aca="false">IF($A68="","","https://"&amp;config!$B$9&amp;"/"&amp;$D68)</f>
        <v/>
      </c>
      <c r="F68" s="30" t="str">
        <f aca="false">IF($A68="","",$A68&amp;"."&amp;$B68)</f>
        <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30" t="str">
        <f aca="false">IF(OR($A68="",$C68&lt;&gt;"qr"),"",$D68&amp;".png")</f>
        <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
      </c>
      <c r="B69" s="30" t="str">
        <f aca="false">IF(INDEX(approvals!$A$2:$A$251,INT((ROW()-2)/2)+1)="","",INDEX(approvals!$B$2:$B$251,INT((ROW()-2)/2)+1))</f>
        <v/>
      </c>
      <c r="C69" s="30" t="str">
        <f aca="false">IF($A69="","",IF(MOD(ROW()-2,2)=0,"qr","post"))</f>
        <v/>
      </c>
      <c r="D69" s="30" t="str">
        <f aca="false">IF($A69="","",IF(LEFT($A69,7)="SAMPLE-","SAMPLE-","")&amp;LOWER(SUBSTITUTE(SUBSTITUTE($A69,"SAMPLE-",""),"CMP-","c"))&amp;"-"&amp;LOWER(SUBSTITUTE(SUBSTITUTE($B69,"SAMPLE-",""),"O-","o"))&amp;"-"&amp;IF($C69="qr","q","p"))</f>
        <v/>
      </c>
      <c r="E69" s="30" t="str">
        <f aca="false">IF($A69="","","https://"&amp;config!$B$9&amp;"/"&amp;$D69)</f>
        <v/>
      </c>
      <c r="F69" s="30" t="str">
        <f aca="false">IF($A69="","",$A69&amp;"."&amp;$B69)</f>
        <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
      </c>
      <c r="B70" s="30" t="str">
        <f aca="false">IF(INDEX(approvals!$A$2:$A$251,INT((ROW()-2)/2)+1)="","",INDEX(approvals!$B$2:$B$251,INT((ROW()-2)/2)+1))</f>
        <v/>
      </c>
      <c r="C70" s="30" t="str">
        <f aca="false">IF($A70="","",IF(MOD(ROW()-2,2)=0,"qr","post"))</f>
        <v/>
      </c>
      <c r="D70" s="30" t="str">
        <f aca="false">IF($A70="","",IF(LEFT($A70,7)="SAMPLE-","SAMPLE-","")&amp;LOWER(SUBSTITUTE(SUBSTITUTE($A70,"SAMPLE-",""),"CMP-","c"))&amp;"-"&amp;LOWER(SUBSTITUTE(SUBSTITUTE($B70,"SAMPLE-",""),"O-","o"))&amp;"-"&amp;IF($C70="qr","q","p"))</f>
        <v/>
      </c>
      <c r="E70" s="30" t="str">
        <f aca="false">IF($A70="","","https://"&amp;config!$B$9&amp;"/"&amp;$D70)</f>
        <v/>
      </c>
      <c r="F70" s="30" t="str">
        <f aca="false">IF($A70="","",$A70&amp;"."&amp;$B70)</f>
        <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30" t="str">
        <f aca="false">IF(OR($A70="",$C70&lt;&gt;"qr"),"",$D70&amp;".png")</f>
        <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
      </c>
      <c r="B71" s="30" t="str">
        <f aca="false">IF(INDEX(approvals!$A$2:$A$251,INT((ROW()-2)/2)+1)="","",INDEX(approvals!$B$2:$B$251,INT((ROW()-2)/2)+1))</f>
        <v/>
      </c>
      <c r="C71" s="30" t="str">
        <f aca="false">IF($A71="","",IF(MOD(ROW()-2,2)=0,"qr","post"))</f>
        <v/>
      </c>
      <c r="D71" s="30" t="str">
        <f aca="false">IF($A71="","",IF(LEFT($A71,7)="SAMPLE-","SAMPLE-","")&amp;LOWER(SUBSTITUTE(SUBSTITUTE($A71,"SAMPLE-",""),"CMP-","c"))&amp;"-"&amp;LOWER(SUBSTITUTE(SUBSTITUTE($B71,"SAMPLE-",""),"O-","o"))&amp;"-"&amp;IF($C71="qr","q","p"))</f>
        <v/>
      </c>
      <c r="E71" s="30" t="str">
        <f aca="false">IF($A71="","","https://"&amp;config!$B$9&amp;"/"&amp;$D71)</f>
        <v/>
      </c>
      <c r="F71" s="30" t="str">
        <f aca="false">IF($A71="","",$A71&amp;"."&amp;$B71)</f>
        <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
      </c>
      <c r="B72" s="30" t="str">
        <f aca="false">IF(INDEX(approvals!$A$2:$A$251,INT((ROW()-2)/2)+1)="","",INDEX(approvals!$B$2:$B$251,INT((ROW()-2)/2)+1))</f>
        <v/>
      </c>
      <c r="C72" s="30" t="str">
        <f aca="false">IF($A72="","",IF(MOD(ROW()-2,2)=0,"qr","post"))</f>
        <v/>
      </c>
      <c r="D72" s="30" t="str">
        <f aca="false">IF($A72="","",IF(LEFT($A72,7)="SAMPLE-","SAMPLE-","")&amp;LOWER(SUBSTITUTE(SUBSTITUTE($A72,"SAMPLE-",""),"CMP-","c"))&amp;"-"&amp;LOWER(SUBSTITUTE(SUBSTITUTE($B72,"SAMPLE-",""),"O-","o"))&amp;"-"&amp;IF($C72="qr","q","p"))</f>
        <v/>
      </c>
      <c r="E72" s="30" t="str">
        <f aca="false">IF($A72="","","https://"&amp;config!$B$9&amp;"/"&amp;$D72)</f>
        <v/>
      </c>
      <c r="F72" s="30" t="str">
        <f aca="false">IF($A72="","",$A72&amp;"."&amp;$B72)</f>
        <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30" t="str">
        <f aca="false">IF(OR($A72="",$C72&lt;&gt;"qr"),"",$D72&amp;".png")</f>
        <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
      </c>
      <c r="B73" s="30" t="str">
        <f aca="false">IF(INDEX(approvals!$A$2:$A$251,INT((ROW()-2)/2)+1)="","",INDEX(approvals!$B$2:$B$251,INT((ROW()-2)/2)+1))</f>
        <v/>
      </c>
      <c r="C73" s="30" t="str">
        <f aca="false">IF($A73="","",IF(MOD(ROW()-2,2)=0,"qr","post"))</f>
        <v/>
      </c>
      <c r="D73" s="30" t="str">
        <f aca="false">IF($A73="","",IF(LEFT($A73,7)="SAMPLE-","SAMPLE-","")&amp;LOWER(SUBSTITUTE(SUBSTITUTE($A73,"SAMPLE-",""),"CMP-","c"))&amp;"-"&amp;LOWER(SUBSTITUTE(SUBSTITUTE($B73,"SAMPLE-",""),"O-","o"))&amp;"-"&amp;IF($C73="qr","q","p"))</f>
        <v/>
      </c>
      <c r="E73" s="30" t="str">
        <f aca="false">IF($A73="","","https://"&amp;config!$B$9&amp;"/"&amp;$D73)</f>
        <v/>
      </c>
      <c r="F73" s="30" t="str">
        <f aca="false">IF($A73="","",$A73&amp;"."&amp;$B73)</f>
        <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
      </c>
      <c r="B74" s="30" t="str">
        <f aca="false">IF(INDEX(approvals!$A$2:$A$251,INT((ROW()-2)/2)+1)="","",INDEX(approvals!$B$2:$B$251,INT((ROW()-2)/2)+1))</f>
        <v/>
      </c>
      <c r="C74" s="30" t="str">
        <f aca="false">IF($A74="","",IF(MOD(ROW()-2,2)=0,"qr","post"))</f>
        <v/>
      </c>
      <c r="D74" s="30" t="str">
        <f aca="false">IF($A74="","",IF(LEFT($A74,7)="SAMPLE-","SAMPLE-","")&amp;LOWER(SUBSTITUTE(SUBSTITUTE($A74,"SAMPLE-",""),"CMP-","c"))&amp;"-"&amp;LOWER(SUBSTITUTE(SUBSTITUTE($B74,"SAMPLE-",""),"O-","o"))&amp;"-"&amp;IF($C74="qr","q","p"))</f>
        <v/>
      </c>
      <c r="E74" s="30" t="str">
        <f aca="false">IF($A74="","","https://"&amp;config!$B$9&amp;"/"&amp;$D74)</f>
        <v/>
      </c>
      <c r="F74" s="30" t="str">
        <f aca="false">IF($A74="","",$A74&amp;"."&amp;$B74)</f>
        <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30" t="str">
        <f aca="false">IF(OR($A74="",$C74&lt;&gt;"qr"),"",$D74&amp;".png")</f>
        <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
      </c>
      <c r="B75" s="30" t="str">
        <f aca="false">IF(INDEX(approvals!$A$2:$A$251,INT((ROW()-2)/2)+1)="","",INDEX(approvals!$B$2:$B$251,INT((ROW()-2)/2)+1))</f>
        <v/>
      </c>
      <c r="C75" s="30" t="str">
        <f aca="false">IF($A75="","",IF(MOD(ROW()-2,2)=0,"qr","post"))</f>
        <v/>
      </c>
      <c r="D75" s="30" t="str">
        <f aca="false">IF($A75="","",IF(LEFT($A75,7)="SAMPLE-","SAMPLE-","")&amp;LOWER(SUBSTITUTE(SUBSTITUTE($A75,"SAMPLE-",""),"CMP-","c"))&amp;"-"&amp;LOWER(SUBSTITUTE(SUBSTITUTE($B75,"SAMPLE-",""),"O-","o"))&amp;"-"&amp;IF($C75="qr","q","p"))</f>
        <v/>
      </c>
      <c r="E75" s="30" t="str">
        <f aca="false">IF($A75="","","https://"&amp;config!$B$9&amp;"/"&amp;$D75)</f>
        <v/>
      </c>
      <c r="F75" s="30" t="str">
        <f aca="false">IF($A75="","",$A75&amp;"."&amp;$B75)</f>
        <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
      </c>
      <c r="B76" s="30" t="str">
        <f aca="false">IF(INDEX(approvals!$A$2:$A$251,INT((ROW()-2)/2)+1)="","",INDEX(approvals!$B$2:$B$251,INT((ROW()-2)/2)+1))</f>
        <v/>
      </c>
      <c r="C76" s="30" t="str">
        <f aca="false">IF($A76="","",IF(MOD(ROW()-2,2)=0,"qr","post"))</f>
        <v/>
      </c>
      <c r="D76" s="30" t="str">
        <f aca="false">IF($A76="","",IF(LEFT($A76,7)="SAMPLE-","SAMPLE-","")&amp;LOWER(SUBSTITUTE(SUBSTITUTE($A76,"SAMPLE-",""),"CMP-","c"))&amp;"-"&amp;LOWER(SUBSTITUTE(SUBSTITUTE($B76,"SAMPLE-",""),"O-","o"))&amp;"-"&amp;IF($C76="qr","q","p"))</f>
        <v/>
      </c>
      <c r="E76" s="30" t="str">
        <f aca="false">IF($A76="","","https://"&amp;config!$B$9&amp;"/"&amp;$D76)</f>
        <v/>
      </c>
      <c r="F76" s="30" t="str">
        <f aca="false">IF($A76="","",$A76&amp;"."&amp;$B76)</f>
        <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30" t="str">
        <f aca="false">IF(OR($A76="",$C76&lt;&gt;"qr"),"",$D76&amp;".png")</f>
        <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
      </c>
      <c r="B77" s="30" t="str">
        <f aca="false">IF(INDEX(approvals!$A$2:$A$251,INT((ROW()-2)/2)+1)="","",INDEX(approvals!$B$2:$B$251,INT((ROW()-2)/2)+1))</f>
        <v/>
      </c>
      <c r="C77" s="30" t="str">
        <f aca="false">IF($A77="","",IF(MOD(ROW()-2,2)=0,"qr","post"))</f>
        <v/>
      </c>
      <c r="D77" s="30" t="str">
        <f aca="false">IF($A77="","",IF(LEFT($A77,7)="SAMPLE-","SAMPLE-","")&amp;LOWER(SUBSTITUTE(SUBSTITUTE($A77,"SAMPLE-",""),"CMP-","c"))&amp;"-"&amp;LOWER(SUBSTITUTE(SUBSTITUTE($B77,"SAMPLE-",""),"O-","o"))&amp;"-"&amp;IF($C77="qr","q","p"))</f>
        <v/>
      </c>
      <c r="E77" s="30" t="str">
        <f aca="false">IF($A77="","","https://"&amp;config!$B$9&amp;"/"&amp;$D77)</f>
        <v/>
      </c>
      <c r="F77" s="30" t="str">
        <f aca="false">IF($A77="","",$A77&amp;"."&amp;$B77)</f>
        <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
      </c>
      <c r="B78" s="30" t="str">
        <f aca="false">IF(INDEX(approvals!$A$2:$A$251,INT((ROW()-2)/2)+1)="","",INDEX(approvals!$B$2:$B$251,INT((ROW()-2)/2)+1))</f>
        <v/>
      </c>
      <c r="C78" s="30" t="str">
        <f aca="false">IF($A78="","",IF(MOD(ROW()-2,2)=0,"qr","post"))</f>
        <v/>
      </c>
      <c r="D78" s="30" t="str">
        <f aca="false">IF($A78="","",IF(LEFT($A78,7)="SAMPLE-","SAMPLE-","")&amp;LOWER(SUBSTITUTE(SUBSTITUTE($A78,"SAMPLE-",""),"CMP-","c"))&amp;"-"&amp;LOWER(SUBSTITUTE(SUBSTITUTE($B78,"SAMPLE-",""),"O-","o"))&amp;"-"&amp;IF($C78="qr","q","p"))</f>
        <v/>
      </c>
      <c r="E78" s="30" t="str">
        <f aca="false">IF($A78="","","https://"&amp;config!$B$9&amp;"/"&amp;$D78)</f>
        <v/>
      </c>
      <c r="F78" s="30" t="str">
        <f aca="false">IF($A78="","",$A78&amp;"."&amp;$B78)</f>
        <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30" t="str">
        <f aca="false">IF(OR($A78="",$C78&lt;&gt;"qr"),"",$D78&amp;".png")</f>
        <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
      </c>
      <c r="B79" s="30" t="str">
        <f aca="false">IF(INDEX(approvals!$A$2:$A$251,INT((ROW()-2)/2)+1)="","",INDEX(approvals!$B$2:$B$251,INT((ROW()-2)/2)+1))</f>
        <v/>
      </c>
      <c r="C79" s="30" t="str">
        <f aca="false">IF($A79="","",IF(MOD(ROW()-2,2)=0,"qr","post"))</f>
        <v/>
      </c>
      <c r="D79" s="30" t="str">
        <f aca="false">IF($A79="","",IF(LEFT($A79,7)="SAMPLE-","SAMPLE-","")&amp;LOWER(SUBSTITUTE(SUBSTITUTE($A79,"SAMPLE-",""),"CMP-","c"))&amp;"-"&amp;LOWER(SUBSTITUTE(SUBSTITUTE($B79,"SAMPLE-",""),"O-","o"))&amp;"-"&amp;IF($C79="qr","q","p"))</f>
        <v/>
      </c>
      <c r="E79" s="30" t="str">
        <f aca="false">IF($A79="","","https://"&amp;config!$B$9&amp;"/"&amp;$D79)</f>
        <v/>
      </c>
      <c r="F79" s="30" t="str">
        <f aca="false">IF($A79="","",$A79&amp;"."&amp;$B79)</f>
        <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
      </c>
      <c r="B80" s="30" t="str">
        <f aca="false">IF(INDEX(approvals!$A$2:$A$251,INT((ROW()-2)/2)+1)="","",INDEX(approvals!$B$2:$B$251,INT((ROW()-2)/2)+1))</f>
        <v/>
      </c>
      <c r="C80" s="30" t="str">
        <f aca="false">IF($A80="","",IF(MOD(ROW()-2,2)=0,"qr","post"))</f>
        <v/>
      </c>
      <c r="D80" s="30" t="str">
        <f aca="false">IF($A80="","",IF(LEFT($A80,7)="SAMPLE-","SAMPLE-","")&amp;LOWER(SUBSTITUTE(SUBSTITUTE($A80,"SAMPLE-",""),"CMP-","c"))&amp;"-"&amp;LOWER(SUBSTITUTE(SUBSTITUTE($B80,"SAMPLE-",""),"O-","o"))&amp;"-"&amp;IF($C80="qr","q","p"))</f>
        <v/>
      </c>
      <c r="E80" s="30" t="str">
        <f aca="false">IF($A80="","","https://"&amp;config!$B$9&amp;"/"&amp;$D80)</f>
        <v/>
      </c>
      <c r="F80" s="30" t="str">
        <f aca="false">IF($A80="","",$A80&amp;"."&amp;$B80)</f>
        <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30" t="str">
        <f aca="false">IF(OR($A80="",$C80&lt;&gt;"qr"),"",$D80&amp;".png")</f>
        <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
      </c>
      <c r="B81" s="30" t="str">
        <f aca="false">IF(INDEX(approvals!$A$2:$A$251,INT((ROW()-2)/2)+1)="","",INDEX(approvals!$B$2:$B$251,INT((ROW()-2)/2)+1))</f>
        <v/>
      </c>
      <c r="C81" s="30" t="str">
        <f aca="false">IF($A81="","",IF(MOD(ROW()-2,2)=0,"qr","post"))</f>
        <v/>
      </c>
      <c r="D81" s="30" t="str">
        <f aca="false">IF($A81="","",IF(LEFT($A81,7)="SAMPLE-","SAMPLE-","")&amp;LOWER(SUBSTITUTE(SUBSTITUTE($A81,"SAMPLE-",""),"CMP-","c"))&amp;"-"&amp;LOWER(SUBSTITUTE(SUBSTITUTE($B81,"SAMPLE-",""),"O-","o"))&amp;"-"&amp;IF($C81="qr","q","p"))</f>
        <v/>
      </c>
      <c r="E81" s="30" t="str">
        <f aca="false">IF($A81="","","https://"&amp;config!$B$9&amp;"/"&amp;$D81)</f>
        <v/>
      </c>
      <c r="F81" s="30" t="str">
        <f aca="false">IF($A81="","",$A81&amp;"."&amp;$B81)</f>
        <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
      </c>
      <c r="B82" s="30" t="str">
        <f aca="false">IF(INDEX(approvals!$A$2:$A$251,INT((ROW()-2)/2)+1)="","",INDEX(approvals!$B$2:$B$251,INT((ROW()-2)/2)+1))</f>
        <v/>
      </c>
      <c r="C82" s="30" t="str">
        <f aca="false">IF($A82="","",IF(MOD(ROW()-2,2)=0,"qr","post"))</f>
        <v/>
      </c>
      <c r="D82" s="30" t="str">
        <f aca="false">IF($A82="","",IF(LEFT($A82,7)="SAMPLE-","SAMPLE-","")&amp;LOWER(SUBSTITUTE(SUBSTITUTE($A82,"SAMPLE-",""),"CMP-","c"))&amp;"-"&amp;LOWER(SUBSTITUTE(SUBSTITUTE($B82,"SAMPLE-",""),"O-","o"))&amp;"-"&amp;IF($C82="qr","q","p"))</f>
        <v/>
      </c>
      <c r="E82" s="30" t="str">
        <f aca="false">IF($A82="","","https://"&amp;config!$B$9&amp;"/"&amp;$D82)</f>
        <v/>
      </c>
      <c r="F82" s="30" t="str">
        <f aca="false">IF($A82="","",$A82&amp;"."&amp;$B82)</f>
        <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30" t="str">
        <f aca="false">IF(OR($A82="",$C82&lt;&gt;"qr"),"",$D82&amp;".png")</f>
        <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
      </c>
      <c r="B83" s="30" t="str">
        <f aca="false">IF(INDEX(approvals!$A$2:$A$251,INT((ROW()-2)/2)+1)="","",INDEX(approvals!$B$2:$B$251,INT((ROW()-2)/2)+1))</f>
        <v/>
      </c>
      <c r="C83" s="30" t="str">
        <f aca="false">IF($A83="","",IF(MOD(ROW()-2,2)=0,"qr","post"))</f>
        <v/>
      </c>
      <c r="D83" s="30" t="str">
        <f aca="false">IF($A83="","",IF(LEFT($A83,7)="SAMPLE-","SAMPLE-","")&amp;LOWER(SUBSTITUTE(SUBSTITUTE($A83,"SAMPLE-",""),"CMP-","c"))&amp;"-"&amp;LOWER(SUBSTITUTE(SUBSTITUTE($B83,"SAMPLE-",""),"O-","o"))&amp;"-"&amp;IF($C83="qr","q","p"))</f>
        <v/>
      </c>
      <c r="E83" s="30" t="str">
        <f aca="false">IF($A83="","","https://"&amp;config!$B$9&amp;"/"&amp;$D83)</f>
        <v/>
      </c>
      <c r="F83" s="30" t="str">
        <f aca="false">IF($A83="","",$A83&amp;"."&amp;$B83)</f>
        <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
      </c>
      <c r="B84" s="30" t="str">
        <f aca="false">IF(INDEX(approvals!$A$2:$A$251,INT((ROW()-2)/2)+1)="","",INDEX(approvals!$B$2:$B$251,INT((ROW()-2)/2)+1))</f>
        <v/>
      </c>
      <c r="C84" s="30" t="str">
        <f aca="false">IF($A84="","",IF(MOD(ROW()-2,2)=0,"qr","post"))</f>
        <v/>
      </c>
      <c r="D84" s="30" t="str">
        <f aca="false">IF($A84="","",IF(LEFT($A84,7)="SAMPLE-","SAMPLE-","")&amp;LOWER(SUBSTITUTE(SUBSTITUTE($A84,"SAMPLE-",""),"CMP-","c"))&amp;"-"&amp;LOWER(SUBSTITUTE(SUBSTITUTE($B84,"SAMPLE-",""),"O-","o"))&amp;"-"&amp;IF($C84="qr","q","p"))</f>
        <v/>
      </c>
      <c r="E84" s="30" t="str">
        <f aca="false">IF($A84="","","https://"&amp;config!$B$9&amp;"/"&amp;$D84)</f>
        <v/>
      </c>
      <c r="F84" s="30" t="str">
        <f aca="false">IF($A84="","",$A84&amp;"."&amp;$B84)</f>
        <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30" t="str">
        <f aca="false">IF(OR($A84="",$C84&lt;&gt;"qr"),"",$D84&amp;".png")</f>
        <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
      </c>
      <c r="B85" s="30" t="str">
        <f aca="false">IF(INDEX(approvals!$A$2:$A$251,INT((ROW()-2)/2)+1)="","",INDEX(approvals!$B$2:$B$251,INT((ROW()-2)/2)+1))</f>
        <v/>
      </c>
      <c r="C85" s="30" t="str">
        <f aca="false">IF($A85="","",IF(MOD(ROW()-2,2)=0,"qr","post"))</f>
        <v/>
      </c>
      <c r="D85" s="30" t="str">
        <f aca="false">IF($A85="","",IF(LEFT($A85,7)="SAMPLE-","SAMPLE-","")&amp;LOWER(SUBSTITUTE(SUBSTITUTE($A85,"SAMPLE-",""),"CMP-","c"))&amp;"-"&amp;LOWER(SUBSTITUTE(SUBSTITUTE($B85,"SAMPLE-",""),"O-","o"))&amp;"-"&amp;IF($C85="qr","q","p"))</f>
        <v/>
      </c>
      <c r="E85" s="30" t="str">
        <f aca="false">IF($A85="","","https://"&amp;config!$B$9&amp;"/"&amp;$D85)</f>
        <v/>
      </c>
      <c r="F85" s="30" t="str">
        <f aca="false">IF($A85="","",$A85&amp;"."&amp;$B85)</f>
        <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
      </c>
      <c r="B86" s="30" t="str">
        <f aca="false">IF(INDEX(approvals!$A$2:$A$251,INT((ROW()-2)/2)+1)="","",INDEX(approvals!$B$2:$B$251,INT((ROW()-2)/2)+1))</f>
        <v/>
      </c>
      <c r="C86" s="30" t="str">
        <f aca="false">IF($A86="","",IF(MOD(ROW()-2,2)=0,"qr","post"))</f>
        <v/>
      </c>
      <c r="D86" s="30" t="str">
        <f aca="false">IF($A86="","",IF(LEFT($A86,7)="SAMPLE-","SAMPLE-","")&amp;LOWER(SUBSTITUTE(SUBSTITUTE($A86,"SAMPLE-",""),"CMP-","c"))&amp;"-"&amp;LOWER(SUBSTITUTE(SUBSTITUTE($B86,"SAMPLE-",""),"O-","o"))&amp;"-"&amp;IF($C86="qr","q","p"))</f>
        <v/>
      </c>
      <c r="E86" s="30" t="str">
        <f aca="false">IF($A86="","","https://"&amp;config!$B$9&amp;"/"&amp;$D86)</f>
        <v/>
      </c>
      <c r="F86" s="30" t="str">
        <f aca="false">IF($A86="","",$A86&amp;"."&amp;$B86)</f>
        <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30" t="str">
        <f aca="false">IF(OR($A86="",$C86&lt;&gt;"qr"),"",$D86&amp;".png")</f>
        <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
      </c>
      <c r="B87" s="30" t="str">
        <f aca="false">IF(INDEX(approvals!$A$2:$A$251,INT((ROW()-2)/2)+1)="","",INDEX(approvals!$B$2:$B$251,INT((ROW()-2)/2)+1))</f>
        <v/>
      </c>
      <c r="C87" s="30" t="str">
        <f aca="false">IF($A87="","",IF(MOD(ROW()-2,2)=0,"qr","post"))</f>
        <v/>
      </c>
      <c r="D87" s="30" t="str">
        <f aca="false">IF($A87="","",IF(LEFT($A87,7)="SAMPLE-","SAMPLE-","")&amp;LOWER(SUBSTITUTE(SUBSTITUTE($A87,"SAMPLE-",""),"CMP-","c"))&amp;"-"&amp;LOWER(SUBSTITUTE(SUBSTITUTE($B87,"SAMPLE-",""),"O-","o"))&amp;"-"&amp;IF($C87="qr","q","p"))</f>
        <v/>
      </c>
      <c r="E87" s="30" t="str">
        <f aca="false">IF($A87="","","https://"&amp;config!$B$9&amp;"/"&amp;$D87)</f>
        <v/>
      </c>
      <c r="F87" s="30" t="str">
        <f aca="false">IF($A87="","",$A87&amp;"."&amp;$B87)</f>
        <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
      </c>
      <c r="B88" s="30" t="str">
        <f aca="false">IF(INDEX(approvals!$A$2:$A$251,INT((ROW()-2)/2)+1)="","",INDEX(approvals!$B$2:$B$251,INT((ROW()-2)/2)+1))</f>
        <v/>
      </c>
      <c r="C88" s="30" t="str">
        <f aca="false">IF($A88="","",IF(MOD(ROW()-2,2)=0,"qr","post"))</f>
        <v/>
      </c>
      <c r="D88" s="30" t="str">
        <f aca="false">IF($A88="","",IF(LEFT($A88,7)="SAMPLE-","SAMPLE-","")&amp;LOWER(SUBSTITUTE(SUBSTITUTE($A88,"SAMPLE-",""),"CMP-","c"))&amp;"-"&amp;LOWER(SUBSTITUTE(SUBSTITUTE($B88,"SAMPLE-",""),"O-","o"))&amp;"-"&amp;IF($C88="qr","q","p"))</f>
        <v/>
      </c>
      <c r="E88" s="30" t="str">
        <f aca="false">IF($A88="","","https://"&amp;config!$B$9&amp;"/"&amp;$D88)</f>
        <v/>
      </c>
      <c r="F88" s="30" t="str">
        <f aca="false">IF($A88="","",$A88&amp;"."&amp;$B88)</f>
        <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30" t="str">
        <f aca="false">IF(OR($A88="",$C88&lt;&gt;"qr"),"",$D88&amp;".png")</f>
        <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
      </c>
      <c r="B89" s="30" t="str">
        <f aca="false">IF(INDEX(approvals!$A$2:$A$251,INT((ROW()-2)/2)+1)="","",INDEX(approvals!$B$2:$B$251,INT((ROW()-2)/2)+1))</f>
        <v/>
      </c>
      <c r="C89" s="30" t="str">
        <f aca="false">IF($A89="","",IF(MOD(ROW()-2,2)=0,"qr","post"))</f>
        <v/>
      </c>
      <c r="D89" s="30" t="str">
        <f aca="false">IF($A89="","",IF(LEFT($A89,7)="SAMPLE-","SAMPLE-","")&amp;LOWER(SUBSTITUTE(SUBSTITUTE($A89,"SAMPLE-",""),"CMP-","c"))&amp;"-"&amp;LOWER(SUBSTITUTE(SUBSTITUTE($B89,"SAMPLE-",""),"O-","o"))&amp;"-"&amp;IF($C89="qr","q","p"))</f>
        <v/>
      </c>
      <c r="E89" s="30" t="str">
        <f aca="false">IF($A89="","","https://"&amp;config!$B$9&amp;"/"&amp;$D89)</f>
        <v/>
      </c>
      <c r="F89" s="30" t="str">
        <f aca="false">IF($A89="","",$A89&amp;"."&amp;$B89)</f>
        <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
      </c>
      <c r="B90" s="30" t="str">
        <f aca="false">IF(INDEX(approvals!$A$2:$A$251,INT((ROW()-2)/2)+1)="","",INDEX(approvals!$B$2:$B$251,INT((ROW()-2)/2)+1))</f>
        <v/>
      </c>
      <c r="C90" s="30" t="str">
        <f aca="false">IF($A90="","",IF(MOD(ROW()-2,2)=0,"qr","post"))</f>
        <v/>
      </c>
      <c r="D90" s="30" t="str">
        <f aca="false">IF($A90="","",IF(LEFT($A90,7)="SAMPLE-","SAMPLE-","")&amp;LOWER(SUBSTITUTE(SUBSTITUTE($A90,"SAMPLE-",""),"CMP-","c"))&amp;"-"&amp;LOWER(SUBSTITUTE(SUBSTITUTE($B90,"SAMPLE-",""),"O-","o"))&amp;"-"&amp;IF($C90="qr","q","p"))</f>
        <v/>
      </c>
      <c r="E90" s="30" t="str">
        <f aca="false">IF($A90="","","https://"&amp;config!$B$9&amp;"/"&amp;$D90)</f>
        <v/>
      </c>
      <c r="F90" s="30" t="str">
        <f aca="false">IF($A90="","",$A90&amp;"."&amp;$B90)</f>
        <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30" t="str">
        <f aca="false">IF(OR($A90="",$C90&lt;&gt;"qr"),"",$D90&amp;".png")</f>
        <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
      </c>
      <c r="B91" s="30" t="str">
        <f aca="false">IF(INDEX(approvals!$A$2:$A$251,INT((ROW()-2)/2)+1)="","",INDEX(approvals!$B$2:$B$251,INT((ROW()-2)/2)+1))</f>
        <v/>
      </c>
      <c r="C91" s="30" t="str">
        <f aca="false">IF($A91="","",IF(MOD(ROW()-2,2)=0,"qr","post"))</f>
        <v/>
      </c>
      <c r="D91" s="30" t="str">
        <f aca="false">IF($A91="","",IF(LEFT($A91,7)="SAMPLE-","SAMPLE-","")&amp;LOWER(SUBSTITUTE(SUBSTITUTE($A91,"SAMPLE-",""),"CMP-","c"))&amp;"-"&amp;LOWER(SUBSTITUTE(SUBSTITUTE($B91,"SAMPLE-",""),"O-","o"))&amp;"-"&amp;IF($C91="qr","q","p"))</f>
        <v/>
      </c>
      <c r="E91" s="30" t="str">
        <f aca="false">IF($A91="","","https://"&amp;config!$B$9&amp;"/"&amp;$D91)</f>
        <v/>
      </c>
      <c r="F91" s="30" t="str">
        <f aca="false">IF($A91="","",$A91&amp;"."&amp;$B91)</f>
        <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
      </c>
      <c r="B92" s="30" t="str">
        <f aca="false">IF(INDEX(approvals!$A$2:$A$251,INT((ROW()-2)/2)+1)="","",INDEX(approvals!$B$2:$B$251,INT((ROW()-2)/2)+1))</f>
        <v/>
      </c>
      <c r="C92" s="30" t="str">
        <f aca="false">IF($A92="","",IF(MOD(ROW()-2,2)=0,"qr","post"))</f>
        <v/>
      </c>
      <c r="D92" s="30" t="str">
        <f aca="false">IF($A92="","",IF(LEFT($A92,7)="SAMPLE-","SAMPLE-","")&amp;LOWER(SUBSTITUTE(SUBSTITUTE($A92,"SAMPLE-",""),"CMP-","c"))&amp;"-"&amp;LOWER(SUBSTITUTE(SUBSTITUTE($B92,"SAMPLE-",""),"O-","o"))&amp;"-"&amp;IF($C92="qr","q","p"))</f>
        <v/>
      </c>
      <c r="E92" s="30" t="str">
        <f aca="false">IF($A92="","","https://"&amp;config!$B$9&amp;"/"&amp;$D92)</f>
        <v/>
      </c>
      <c r="F92" s="30" t="str">
        <f aca="false">IF($A92="","",$A92&amp;"."&amp;$B92)</f>
        <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30" t="str">
        <f aca="false">IF(OR($A92="",$C92&lt;&gt;"qr"),"",$D92&amp;".png")</f>
        <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
      </c>
      <c r="B93" s="30" t="str">
        <f aca="false">IF(INDEX(approvals!$A$2:$A$251,INT((ROW()-2)/2)+1)="","",INDEX(approvals!$B$2:$B$251,INT((ROW()-2)/2)+1))</f>
        <v/>
      </c>
      <c r="C93" s="30" t="str">
        <f aca="false">IF($A93="","",IF(MOD(ROW()-2,2)=0,"qr","post"))</f>
        <v/>
      </c>
      <c r="D93" s="30" t="str">
        <f aca="false">IF($A93="","",IF(LEFT($A93,7)="SAMPLE-","SAMPLE-","")&amp;LOWER(SUBSTITUTE(SUBSTITUTE($A93,"SAMPLE-",""),"CMP-","c"))&amp;"-"&amp;LOWER(SUBSTITUTE(SUBSTITUTE($B93,"SAMPLE-",""),"O-","o"))&amp;"-"&amp;IF($C93="qr","q","p"))</f>
        <v/>
      </c>
      <c r="E93" s="30" t="str">
        <f aca="false">IF($A93="","","https://"&amp;config!$B$9&amp;"/"&amp;$D93)</f>
        <v/>
      </c>
      <c r="F93" s="30" t="str">
        <f aca="false">IF($A93="","",$A93&amp;"."&amp;$B93)</f>
        <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
      </c>
      <c r="B94" s="30" t="str">
        <f aca="false">IF(INDEX(approvals!$A$2:$A$251,INT((ROW()-2)/2)+1)="","",INDEX(approvals!$B$2:$B$251,INT((ROW()-2)/2)+1))</f>
        <v/>
      </c>
      <c r="C94" s="30" t="str">
        <f aca="false">IF($A94="","",IF(MOD(ROW()-2,2)=0,"qr","post"))</f>
        <v/>
      </c>
      <c r="D94" s="30" t="str">
        <f aca="false">IF($A94="","",IF(LEFT($A94,7)="SAMPLE-","SAMPLE-","")&amp;LOWER(SUBSTITUTE(SUBSTITUTE($A94,"SAMPLE-",""),"CMP-","c"))&amp;"-"&amp;LOWER(SUBSTITUTE(SUBSTITUTE($B94,"SAMPLE-",""),"O-","o"))&amp;"-"&amp;IF($C94="qr","q","p"))</f>
        <v/>
      </c>
      <c r="E94" s="30" t="str">
        <f aca="false">IF($A94="","","https://"&amp;config!$B$9&amp;"/"&amp;$D94)</f>
        <v/>
      </c>
      <c r="F94" s="30" t="str">
        <f aca="false">IF($A94="","",$A94&amp;"."&amp;$B94)</f>
        <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30" t="str">
        <f aca="false">IF(OR($A94="",$C94&lt;&gt;"qr"),"",$D94&amp;".png")</f>
        <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
      </c>
      <c r="B95" s="30" t="str">
        <f aca="false">IF(INDEX(approvals!$A$2:$A$251,INT((ROW()-2)/2)+1)="","",INDEX(approvals!$B$2:$B$251,INT((ROW()-2)/2)+1))</f>
        <v/>
      </c>
      <c r="C95" s="30" t="str">
        <f aca="false">IF($A95="","",IF(MOD(ROW()-2,2)=0,"qr","post"))</f>
        <v/>
      </c>
      <c r="D95" s="30" t="str">
        <f aca="false">IF($A95="","",IF(LEFT($A95,7)="SAMPLE-","SAMPLE-","")&amp;LOWER(SUBSTITUTE(SUBSTITUTE($A95,"SAMPLE-",""),"CMP-","c"))&amp;"-"&amp;LOWER(SUBSTITUTE(SUBSTITUTE($B95,"SAMPLE-",""),"O-","o"))&amp;"-"&amp;IF($C95="qr","q","p"))</f>
        <v/>
      </c>
      <c r="E95" s="30" t="str">
        <f aca="false">IF($A95="","","https://"&amp;config!$B$9&amp;"/"&amp;$D95)</f>
        <v/>
      </c>
      <c r="F95" s="30" t="str">
        <f aca="false">IF($A95="","",$A95&amp;"."&amp;$B95)</f>
        <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
      </c>
      <c r="B96" s="30" t="str">
        <f aca="false">IF(INDEX(approvals!$A$2:$A$251,INT((ROW()-2)/2)+1)="","",INDEX(approvals!$B$2:$B$251,INT((ROW()-2)/2)+1))</f>
        <v/>
      </c>
      <c r="C96" s="30" t="str">
        <f aca="false">IF($A96="","",IF(MOD(ROW()-2,2)=0,"qr","post"))</f>
        <v/>
      </c>
      <c r="D96" s="30" t="str">
        <f aca="false">IF($A96="","",IF(LEFT($A96,7)="SAMPLE-","SAMPLE-","")&amp;LOWER(SUBSTITUTE(SUBSTITUTE($A96,"SAMPLE-",""),"CMP-","c"))&amp;"-"&amp;LOWER(SUBSTITUTE(SUBSTITUTE($B96,"SAMPLE-",""),"O-","o"))&amp;"-"&amp;IF($C96="qr","q","p"))</f>
        <v/>
      </c>
      <c r="E96" s="30" t="str">
        <f aca="false">IF($A96="","","https://"&amp;config!$B$9&amp;"/"&amp;$D96)</f>
        <v/>
      </c>
      <c r="F96" s="30" t="str">
        <f aca="false">IF($A96="","",$A96&amp;"."&amp;$B96)</f>
        <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30" t="str">
        <f aca="false">IF(OR($A96="",$C96&lt;&gt;"qr"),"",$D96&amp;".png")</f>
        <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
      </c>
      <c r="B97" s="30" t="str">
        <f aca="false">IF(INDEX(approvals!$A$2:$A$251,INT((ROW()-2)/2)+1)="","",INDEX(approvals!$B$2:$B$251,INT((ROW()-2)/2)+1))</f>
        <v/>
      </c>
      <c r="C97" s="30" t="str">
        <f aca="false">IF($A97="","",IF(MOD(ROW()-2,2)=0,"qr","post"))</f>
        <v/>
      </c>
      <c r="D97" s="30" t="str">
        <f aca="false">IF($A97="","",IF(LEFT($A97,7)="SAMPLE-","SAMPLE-","")&amp;LOWER(SUBSTITUTE(SUBSTITUTE($A97,"SAMPLE-",""),"CMP-","c"))&amp;"-"&amp;LOWER(SUBSTITUTE(SUBSTITUTE($B97,"SAMPLE-",""),"O-","o"))&amp;"-"&amp;IF($C97="qr","q","p"))</f>
        <v/>
      </c>
      <c r="E97" s="30" t="str">
        <f aca="false">IF($A97="","","https://"&amp;config!$B$9&amp;"/"&amp;$D97)</f>
        <v/>
      </c>
      <c r="F97" s="30" t="str">
        <f aca="false">IF($A97="","",$A97&amp;"."&amp;$B97)</f>
        <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
      </c>
      <c r="B98" s="30" t="str">
        <f aca="false">IF(INDEX(approvals!$A$2:$A$251,INT((ROW()-2)/2)+1)="","",INDEX(approvals!$B$2:$B$251,INT((ROW()-2)/2)+1))</f>
        <v/>
      </c>
      <c r="C98" s="30" t="str">
        <f aca="false">IF($A98="","",IF(MOD(ROW()-2,2)=0,"qr","post"))</f>
        <v/>
      </c>
      <c r="D98" s="30" t="str">
        <f aca="false">IF($A98="","",IF(LEFT($A98,7)="SAMPLE-","SAMPLE-","")&amp;LOWER(SUBSTITUTE(SUBSTITUTE($A98,"SAMPLE-",""),"CMP-","c"))&amp;"-"&amp;LOWER(SUBSTITUTE(SUBSTITUTE($B98,"SAMPLE-",""),"O-","o"))&amp;"-"&amp;IF($C98="qr","q","p"))</f>
        <v/>
      </c>
      <c r="E98" s="30" t="str">
        <f aca="false">IF($A98="","","https://"&amp;config!$B$9&amp;"/"&amp;$D98)</f>
        <v/>
      </c>
      <c r="F98" s="30" t="str">
        <f aca="false">IF($A98="","",$A98&amp;"."&amp;$B98)</f>
        <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30" t="str">
        <f aca="false">IF(OR($A98="",$C98&lt;&gt;"qr"),"",$D98&amp;".png")</f>
        <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
      </c>
      <c r="B99" s="30" t="str">
        <f aca="false">IF(INDEX(approvals!$A$2:$A$251,INT((ROW()-2)/2)+1)="","",INDEX(approvals!$B$2:$B$251,INT((ROW()-2)/2)+1))</f>
        <v/>
      </c>
      <c r="C99" s="30" t="str">
        <f aca="false">IF($A99="","",IF(MOD(ROW()-2,2)=0,"qr","post"))</f>
        <v/>
      </c>
      <c r="D99" s="30" t="str">
        <f aca="false">IF($A99="","",IF(LEFT($A99,7)="SAMPLE-","SAMPLE-","")&amp;LOWER(SUBSTITUTE(SUBSTITUTE($A99,"SAMPLE-",""),"CMP-","c"))&amp;"-"&amp;LOWER(SUBSTITUTE(SUBSTITUTE($B99,"SAMPLE-",""),"O-","o"))&amp;"-"&amp;IF($C99="qr","q","p"))</f>
        <v/>
      </c>
      <c r="E99" s="30" t="str">
        <f aca="false">IF($A99="","","https://"&amp;config!$B$9&amp;"/"&amp;$D99)</f>
        <v/>
      </c>
      <c r="F99" s="30" t="str">
        <f aca="false">IF($A99="","",$A99&amp;"."&amp;$B99)</f>
        <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
      </c>
      <c r="B100" s="30" t="str">
        <f aca="false">IF(INDEX(approvals!$A$2:$A$251,INT((ROW()-2)/2)+1)="","",INDEX(approvals!$B$2:$B$251,INT((ROW()-2)/2)+1))</f>
        <v/>
      </c>
      <c r="C100" s="30" t="str">
        <f aca="false">IF($A100="","",IF(MOD(ROW()-2,2)=0,"qr","post"))</f>
        <v/>
      </c>
      <c r="D100" s="30" t="str">
        <f aca="false">IF($A100="","",IF(LEFT($A100,7)="SAMPLE-","SAMPLE-","")&amp;LOWER(SUBSTITUTE(SUBSTITUTE($A100,"SAMPLE-",""),"CMP-","c"))&amp;"-"&amp;LOWER(SUBSTITUTE(SUBSTITUTE($B100,"SAMPLE-",""),"O-","o"))&amp;"-"&amp;IF($C100="qr","q","p"))</f>
        <v/>
      </c>
      <c r="E100" s="30" t="str">
        <f aca="false">IF($A100="","","https://"&amp;config!$B$9&amp;"/"&amp;$D100)</f>
        <v/>
      </c>
      <c r="F100" s="30" t="str">
        <f aca="false">IF($A100="","",$A100&amp;"."&amp;$B100)</f>
        <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30" t="str">
        <f aca="false">IF(OR($A100="",$C100&lt;&gt;"qr"),"",$D100&amp;".png")</f>
        <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
      </c>
      <c r="B101" s="30" t="str">
        <f aca="false">IF(INDEX(approvals!$A$2:$A$251,INT((ROW()-2)/2)+1)="","",INDEX(approvals!$B$2:$B$251,INT((ROW()-2)/2)+1))</f>
        <v/>
      </c>
      <c r="C101" s="30" t="str">
        <f aca="false">IF($A101="","",IF(MOD(ROW()-2,2)=0,"qr","post"))</f>
        <v/>
      </c>
      <c r="D101" s="30" t="str">
        <f aca="false">IF($A101="","",IF(LEFT($A101,7)="SAMPLE-","SAMPLE-","")&amp;LOWER(SUBSTITUTE(SUBSTITUTE($A101,"SAMPLE-",""),"CMP-","c"))&amp;"-"&amp;LOWER(SUBSTITUTE(SUBSTITUTE($B101,"SAMPLE-",""),"O-","o"))&amp;"-"&amp;IF($C101="qr","q","p"))</f>
        <v/>
      </c>
      <c r="E101" s="30" t="str">
        <f aca="false">IF($A101="","","https://"&amp;config!$B$9&amp;"/"&amp;$D101)</f>
        <v/>
      </c>
      <c r="F101" s="30" t="str">
        <f aca="false">IF($A101="","",$A101&amp;"."&amp;$B101)</f>
        <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742</v>
      </c>
      <c r="B1" s="28" t="s">
        <v>743</v>
      </c>
      <c r="C1" s="28" t="s">
        <v>738</v>
      </c>
      <c r="D1" s="28" t="s">
        <v>744</v>
      </c>
      <c r="E1" s="28" t="s">
        <v>745</v>
      </c>
      <c r="F1" s="28" t="s">
        <v>178</v>
      </c>
      <c r="G1" s="29" t="s">
        <v>344</v>
      </c>
      <c r="H1" s="29" t="s">
        <v>540</v>
      </c>
      <c r="I1" s="29" t="s">
        <v>737</v>
      </c>
      <c r="J1" s="29" t="s">
        <v>120</v>
      </c>
    </row>
    <row r="2" customFormat="false" ht="15" hidden="false" customHeight="false" outlineLevel="0" collapsed="false">
      <c r="A2" s="11" t="n">
        <v>46398</v>
      </c>
      <c r="B2" s="38" t="n">
        <v>0.729166666666667</v>
      </c>
      <c r="C2" s="10" t="s">
        <v>746</v>
      </c>
      <c r="D2" s="10" t="s">
        <v>747</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746</v>
      </c>
      <c r="D3" s="10" t="s">
        <v>748</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746</v>
      </c>
      <c r="D4" s="10" t="s">
        <v>749</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746</v>
      </c>
      <c r="D5" s="10" t="s">
        <v>750</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751</v>
      </c>
      <c r="D6" s="10" t="s">
        <v>747</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751</v>
      </c>
      <c r="D7" s="10" t="s">
        <v>748</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751</v>
      </c>
      <c r="D8" s="10" t="s">
        <v>749</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751</v>
      </c>
      <c r="D9" s="10" t="s">
        <v>750</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752</v>
      </c>
      <c r="D10" s="10" t="s">
        <v>747</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752</v>
      </c>
      <c r="D11" s="10" t="s">
        <v>748</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752</v>
      </c>
      <c r="D12" s="10" t="s">
        <v>749</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752</v>
      </c>
      <c r="D13" s="10" t="s">
        <v>750</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753</v>
      </c>
      <c r="D14" s="10" t="s">
        <v>747</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753</v>
      </c>
      <c r="D15" s="10" t="s">
        <v>748</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753</v>
      </c>
      <c r="D16" s="10" t="s">
        <v>749</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753</v>
      </c>
      <c r="D17" s="10" t="s">
        <v>750</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754</v>
      </c>
      <c r="D18" s="10" t="s">
        <v>747</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754</v>
      </c>
      <c r="D19" s="10" t="s">
        <v>748</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754</v>
      </c>
      <c r="D20" s="10" t="s">
        <v>749</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754</v>
      </c>
      <c r="D21" s="10" t="s">
        <v>750</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755</v>
      </c>
      <c r="D22" s="10" t="s">
        <v>747</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755</v>
      </c>
      <c r="D23" s="10" t="s">
        <v>748</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755</v>
      </c>
      <c r="D24" s="10" t="s">
        <v>749</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755</v>
      </c>
      <c r="D25" s="10" t="s">
        <v>750</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756</v>
      </c>
      <c r="D26" s="10" t="s">
        <v>747</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756</v>
      </c>
      <c r="D27" s="10" t="s">
        <v>748</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756</v>
      </c>
      <c r="D28" s="10" t="s">
        <v>749</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756</v>
      </c>
      <c r="D29" s="10" t="s">
        <v>750</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757</v>
      </c>
      <c r="D30" s="10" t="s">
        <v>747</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757</v>
      </c>
      <c r="D31" s="10" t="s">
        <v>748</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757</v>
      </c>
      <c r="D32" s="10" t="s">
        <v>749</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757</v>
      </c>
      <c r="D33" s="10" t="s">
        <v>750</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758</v>
      </c>
      <c r="D34" s="10" t="s">
        <v>747</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758</v>
      </c>
      <c r="D35" s="10" t="s">
        <v>748</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758</v>
      </c>
      <c r="D36" s="10" t="s">
        <v>749</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758</v>
      </c>
      <c r="D37" s="10" t="s">
        <v>750</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759</v>
      </c>
      <c r="D38" s="10" t="s">
        <v>747</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759</v>
      </c>
      <c r="D39" s="10" t="s">
        <v>748</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759</v>
      </c>
      <c r="D40" s="10" t="s">
        <v>749</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759</v>
      </c>
      <c r="D41" s="10" t="s">
        <v>750</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760</v>
      </c>
      <c r="D42" s="10" t="s">
        <v>747</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760</v>
      </c>
      <c r="D43" s="10" t="s">
        <v>748</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760</v>
      </c>
      <c r="D44" s="10" t="s">
        <v>749</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760</v>
      </c>
      <c r="D45" s="10" t="s">
        <v>750</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761</v>
      </c>
      <c r="D46" s="10" t="s">
        <v>747</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761</v>
      </c>
      <c r="D47" s="10" t="s">
        <v>748</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761</v>
      </c>
      <c r="D48" s="10" t="s">
        <v>749</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761</v>
      </c>
      <c r="D49" s="10" t="s">
        <v>750</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762</v>
      </c>
      <c r="D50" s="10" t="s">
        <v>747</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762</v>
      </c>
      <c r="D51" s="10" t="s">
        <v>748</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762</v>
      </c>
      <c r="D52" s="10" t="s">
        <v>749</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762</v>
      </c>
      <c r="D53" s="10" t="s">
        <v>750</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763</v>
      </c>
      <c r="D54" s="10" t="s">
        <v>747</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763</v>
      </c>
      <c r="D55" s="10" t="s">
        <v>748</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763</v>
      </c>
      <c r="D56" s="10" t="s">
        <v>749</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763</v>
      </c>
      <c r="D57" s="10" t="s">
        <v>750</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764</v>
      </c>
      <c r="D58" s="10" t="s">
        <v>747</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764</v>
      </c>
      <c r="D59" s="10" t="s">
        <v>748</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764</v>
      </c>
      <c r="D60" s="10" t="s">
        <v>749</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764</v>
      </c>
      <c r="D61" s="10" t="s">
        <v>750</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765</v>
      </c>
      <c r="D62" s="10" t="s">
        <v>747</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765</v>
      </c>
      <c r="D63" s="10" t="s">
        <v>748</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765</v>
      </c>
      <c r="D64" s="10" t="s">
        <v>749</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765</v>
      </c>
      <c r="D65" s="10" t="s">
        <v>750</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766</v>
      </c>
      <c r="D66" s="10" t="s">
        <v>747</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766</v>
      </c>
      <c r="D67" s="10" t="s">
        <v>748</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766</v>
      </c>
      <c r="D68" s="10" t="s">
        <v>749</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766</v>
      </c>
      <c r="D69" s="10" t="s">
        <v>750</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767</v>
      </c>
      <c r="D70" s="10" t="s">
        <v>747</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767</v>
      </c>
      <c r="D71" s="10" t="s">
        <v>748</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767</v>
      </c>
      <c r="D72" s="10" t="s">
        <v>749</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767</v>
      </c>
      <c r="D73" s="10" t="s">
        <v>750</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768</v>
      </c>
      <c r="D74" s="10" t="s">
        <v>747</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768</v>
      </c>
      <c r="D75" s="10" t="s">
        <v>748</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768</v>
      </c>
      <c r="D76" s="10" t="s">
        <v>749</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768</v>
      </c>
      <c r="D77" s="10" t="s">
        <v>750</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769</v>
      </c>
      <c r="D78" s="10" t="s">
        <v>747</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769</v>
      </c>
      <c r="D79" s="10" t="s">
        <v>748</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769</v>
      </c>
      <c r="D80" s="10" t="s">
        <v>749</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769</v>
      </c>
      <c r="D81" s="10" t="s">
        <v>750</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c r="B82" s="38"/>
      <c r="D82" s="10"/>
      <c r="G82" s="30" t="str">
        <f aca="false">IF($C82="","",IFERROR(IF(INDEX(links!$A$2:$A$501,MATCH($C82,links!$D$2:$D$501,0))="","",INDEX(links!$A$2:$A$501,MATCH($C82,links!$D$2:$D$501,0))),""))</f>
        <v/>
      </c>
      <c r="H82" s="30" t="str">
        <f aca="false">IF($C82="","",IFERROR(IF(INDEX(links!$B$2:$B$501,MATCH($C82,links!$D$2:$D$501,0))="","",INDEX(links!$B$2:$B$501,MATCH($C82,links!$D$2:$D$501,0))),""))</f>
        <v/>
      </c>
      <c r="I82" s="30" t="str">
        <f aca="false">IF($C82="","",IFERROR(IF(INDEX(links!$C$2:$C$501,MATCH($C82,links!$D$2:$D$501,0))="","",INDEX(links!$C$2:$C$501,MATCH($C82,links!$D$2:$D$501,0))),""))</f>
        <v/>
      </c>
      <c r="J82" s="30" t="str">
        <f aca="false">IF($C82="","",IF($G82="","slug not in links; ","")&amp;IF($D82="","reading type missing; ","")&amp;IF(COUNTIFS(scans!$C$2:$C$1601,$C82,scans!$D$2:$D$1601,$D82)&gt;1,"two readings of this type: keep one; ",""))</f>
        <v/>
      </c>
    </row>
    <row r="83" customFormat="false" ht="15" hidden="false" customHeight="false" outlineLevel="0" collapsed="false">
      <c r="A83" s="11"/>
      <c r="B83" s="38"/>
      <c r="D83" s="10"/>
      <c r="G83" s="30" t="str">
        <f aca="false">IF($C83="","",IFERROR(IF(INDEX(links!$A$2:$A$501,MATCH($C83,links!$D$2:$D$501,0))="","",INDEX(links!$A$2:$A$501,MATCH($C83,links!$D$2:$D$501,0))),""))</f>
        <v/>
      </c>
      <c r="H83" s="30" t="str">
        <f aca="false">IF($C83="","",IFERROR(IF(INDEX(links!$B$2:$B$501,MATCH($C83,links!$D$2:$D$501,0))="","",INDEX(links!$B$2:$B$501,MATCH($C83,links!$D$2:$D$501,0))),""))</f>
        <v/>
      </c>
      <c r="I83" s="30" t="str">
        <f aca="false">IF($C83="","",IFERROR(IF(INDEX(links!$C$2:$C$501,MATCH($C83,links!$D$2:$D$501,0))="","",INDEX(links!$C$2:$C$501,MATCH($C83,links!$D$2:$D$501,0))),""))</f>
        <v/>
      </c>
      <c r="J83" s="30" t="str">
        <f aca="false">IF($C83="","",IF($G83="","slug not in links; ","")&amp;IF($D83="","reading type missing; ","")&amp;IF(COUNTIFS(scans!$C$2:$C$1601,$C83,scans!$D$2:$D$1601,$D83)&gt;1,"two readings of this type: keep one; ",""))</f>
        <v/>
      </c>
    </row>
    <row r="84" customFormat="false" ht="15" hidden="false" customHeight="false" outlineLevel="0" collapsed="false">
      <c r="A84" s="11"/>
      <c r="B84" s="38"/>
      <c r="D84" s="10"/>
      <c r="G84" s="30" t="str">
        <f aca="false">IF($C84="","",IFERROR(IF(INDEX(links!$A$2:$A$501,MATCH($C84,links!$D$2:$D$501,0))="","",INDEX(links!$A$2:$A$501,MATCH($C84,links!$D$2:$D$501,0))),""))</f>
        <v/>
      </c>
      <c r="H84" s="30" t="str">
        <f aca="false">IF($C84="","",IFERROR(IF(INDEX(links!$B$2:$B$501,MATCH($C84,links!$D$2:$D$501,0))="","",INDEX(links!$B$2:$B$501,MATCH($C84,links!$D$2:$D$501,0))),""))</f>
        <v/>
      </c>
      <c r="I84" s="30" t="str">
        <f aca="false">IF($C84="","",IFERROR(IF(INDEX(links!$C$2:$C$501,MATCH($C84,links!$D$2:$D$501,0))="","",INDEX(links!$C$2:$C$501,MATCH($C84,links!$D$2:$D$501,0))),""))</f>
        <v/>
      </c>
      <c r="J84" s="30" t="str">
        <f aca="false">IF($C84="","",IF($G84="","slug not in links; ","")&amp;IF($D84="","reading type missing; ","")&amp;IF(COUNTIFS(scans!$C$2:$C$1601,$C84,scans!$D$2:$D$1601,$D84)&gt;1,"two readings of this type: keep one; ",""))</f>
        <v/>
      </c>
    </row>
    <row r="85" customFormat="false" ht="15" hidden="false" customHeight="false" outlineLevel="0" collapsed="false">
      <c r="A85" s="11"/>
      <c r="B85" s="38"/>
      <c r="D85" s="10"/>
      <c r="G85" s="30" t="str">
        <f aca="false">IF($C85="","",IFERROR(IF(INDEX(links!$A$2:$A$501,MATCH($C85,links!$D$2:$D$501,0))="","",INDEX(links!$A$2:$A$501,MATCH($C85,links!$D$2:$D$501,0))),""))</f>
        <v/>
      </c>
      <c r="H85" s="30" t="str">
        <f aca="false">IF($C85="","",IFERROR(IF(INDEX(links!$B$2:$B$501,MATCH($C85,links!$D$2:$D$501,0))="","",INDEX(links!$B$2:$B$501,MATCH($C85,links!$D$2:$D$501,0))),""))</f>
        <v/>
      </c>
      <c r="I85" s="30" t="str">
        <f aca="false">IF($C85="","",IFERROR(IF(INDEX(links!$C$2:$C$501,MATCH($C85,links!$D$2:$D$501,0))="","",INDEX(links!$C$2:$C$501,MATCH($C85,links!$D$2:$D$501,0))),""))</f>
        <v/>
      </c>
      <c r="J85" s="30" t="str">
        <f aca="false">IF($C85="","",IF($G85="","slug not in links; ","")&amp;IF($D85="","reading type missing; ","")&amp;IF(COUNTIFS(scans!$C$2:$C$1601,$C85,scans!$D$2:$D$1601,$D85)&gt;1,"two readings of this type: keep one; ",""))</f>
        <v/>
      </c>
    </row>
    <row r="86" customFormat="false" ht="15" hidden="false" customHeight="false" outlineLevel="0" collapsed="false">
      <c r="A86" s="11"/>
      <c r="B86" s="38"/>
      <c r="D86" s="10"/>
      <c r="G86" s="30" t="str">
        <f aca="false">IF($C86="","",IFERROR(IF(INDEX(links!$A$2:$A$501,MATCH($C86,links!$D$2:$D$501,0))="","",INDEX(links!$A$2:$A$501,MATCH($C86,links!$D$2:$D$501,0))),""))</f>
        <v/>
      </c>
      <c r="H86" s="30" t="str">
        <f aca="false">IF($C86="","",IFERROR(IF(INDEX(links!$B$2:$B$501,MATCH($C86,links!$D$2:$D$501,0))="","",INDEX(links!$B$2:$B$501,MATCH($C86,links!$D$2:$D$501,0))),""))</f>
        <v/>
      </c>
      <c r="I86" s="30" t="str">
        <f aca="false">IF($C86="","",IFERROR(IF(INDEX(links!$C$2:$C$501,MATCH($C86,links!$D$2:$D$501,0))="","",INDEX(links!$C$2:$C$501,MATCH($C86,links!$D$2:$D$501,0))),""))</f>
        <v/>
      </c>
      <c r="J86" s="30" t="str">
        <f aca="false">IF($C86="","",IF($G86="","slug not in links; ","")&amp;IF($D86="","reading type missing; ","")&amp;IF(COUNTIFS(scans!$C$2:$C$1601,$C86,scans!$D$2:$D$1601,$D86)&gt;1,"two readings of this type: keep one; ",""))</f>
        <v/>
      </c>
    </row>
    <row r="87" customFormat="false" ht="15" hidden="false" customHeight="false" outlineLevel="0" collapsed="false">
      <c r="A87" s="11"/>
      <c r="B87" s="38"/>
      <c r="D87" s="10"/>
      <c r="G87" s="30" t="str">
        <f aca="false">IF($C87="","",IFERROR(IF(INDEX(links!$A$2:$A$501,MATCH($C87,links!$D$2:$D$501,0))="","",INDEX(links!$A$2:$A$501,MATCH($C87,links!$D$2:$D$501,0))),""))</f>
        <v/>
      </c>
      <c r="H87" s="30" t="str">
        <f aca="false">IF($C87="","",IFERROR(IF(INDEX(links!$B$2:$B$501,MATCH($C87,links!$D$2:$D$501,0))="","",INDEX(links!$B$2:$B$501,MATCH($C87,links!$D$2:$D$501,0))),""))</f>
        <v/>
      </c>
      <c r="I87" s="30" t="str">
        <f aca="false">IF($C87="","",IFERROR(IF(INDEX(links!$C$2:$C$501,MATCH($C87,links!$D$2:$D$501,0))="","",INDEX(links!$C$2:$C$501,MATCH($C87,links!$D$2:$D$501,0))),""))</f>
        <v/>
      </c>
      <c r="J87" s="30" t="str">
        <f aca="false">IF($C87="","",IF($G87="","slug not in links; ","")&amp;IF($D87="","reading type missing; ","")&amp;IF(COUNTIFS(scans!$C$2:$C$1601,$C87,scans!$D$2:$D$1601,$D87)&gt;1,"two readings of this type: keep one; ",""))</f>
        <v/>
      </c>
    </row>
    <row r="88" customFormat="false" ht="15" hidden="false" customHeight="false" outlineLevel="0" collapsed="false">
      <c r="A88" s="11"/>
      <c r="B88" s="38"/>
      <c r="D88" s="10"/>
      <c r="G88" s="30" t="str">
        <f aca="false">IF($C88="","",IFERROR(IF(INDEX(links!$A$2:$A$501,MATCH($C88,links!$D$2:$D$501,0))="","",INDEX(links!$A$2:$A$501,MATCH($C88,links!$D$2:$D$501,0))),""))</f>
        <v/>
      </c>
      <c r="H88" s="30" t="str">
        <f aca="false">IF($C88="","",IFERROR(IF(INDEX(links!$B$2:$B$501,MATCH($C88,links!$D$2:$D$501,0))="","",INDEX(links!$B$2:$B$501,MATCH($C88,links!$D$2:$D$501,0))),""))</f>
        <v/>
      </c>
      <c r="I88" s="30" t="str">
        <f aca="false">IF($C88="","",IFERROR(IF(INDEX(links!$C$2:$C$501,MATCH($C88,links!$D$2:$D$501,0))="","",INDEX(links!$C$2:$C$501,MATCH($C88,links!$D$2:$D$501,0))),""))</f>
        <v/>
      </c>
      <c r="J88" s="30" t="str">
        <f aca="false">IF($C88="","",IF($G88="","slug not in links; ","")&amp;IF($D88="","reading type missing; ","")&amp;IF(COUNTIFS(scans!$C$2:$C$1601,$C88,scans!$D$2:$D$1601,$D88)&gt;1,"two readings of this type: keep one; ",""))</f>
        <v/>
      </c>
    </row>
    <row r="89" customFormat="false" ht="15" hidden="false" customHeight="false" outlineLevel="0" collapsed="false">
      <c r="A89" s="11"/>
      <c r="B89" s="38"/>
      <c r="D89" s="10"/>
      <c r="G89" s="30" t="str">
        <f aca="false">IF($C89="","",IFERROR(IF(INDEX(links!$A$2:$A$501,MATCH($C89,links!$D$2:$D$501,0))="","",INDEX(links!$A$2:$A$501,MATCH($C89,links!$D$2:$D$501,0))),""))</f>
        <v/>
      </c>
      <c r="H89" s="30" t="str">
        <f aca="false">IF($C89="","",IFERROR(IF(INDEX(links!$B$2:$B$501,MATCH($C89,links!$D$2:$D$501,0))="","",INDEX(links!$B$2:$B$501,MATCH($C89,links!$D$2:$D$501,0))),""))</f>
        <v/>
      </c>
      <c r="I89" s="30" t="str">
        <f aca="false">IF($C89="","",IFERROR(IF(INDEX(links!$C$2:$C$501,MATCH($C89,links!$D$2:$D$501,0))="","",INDEX(links!$C$2:$C$501,MATCH($C89,links!$D$2:$D$501,0))),""))</f>
        <v/>
      </c>
      <c r="J89" s="30" t="str">
        <f aca="false">IF($C89="","",IF($G89="","slug not in links; ","")&amp;IF($D89="","reading type missing; ","")&amp;IF(COUNTIFS(scans!$C$2:$C$1601,$C89,scans!$D$2:$D$1601,$D89)&gt;1,"two readings of this type: keep one; ",""))</f>
        <v/>
      </c>
    </row>
    <row r="90" customFormat="false" ht="15" hidden="false" customHeight="false" outlineLevel="0" collapsed="false">
      <c r="A90" s="11"/>
      <c r="B90" s="38"/>
      <c r="D90" s="10"/>
      <c r="G90" s="30" t="str">
        <f aca="false">IF($C90="","",IFERROR(IF(INDEX(links!$A$2:$A$501,MATCH($C90,links!$D$2:$D$501,0))="","",INDEX(links!$A$2:$A$501,MATCH($C90,links!$D$2:$D$501,0))),""))</f>
        <v/>
      </c>
      <c r="H90" s="30" t="str">
        <f aca="false">IF($C90="","",IFERROR(IF(INDEX(links!$B$2:$B$501,MATCH($C90,links!$D$2:$D$501,0))="","",INDEX(links!$B$2:$B$501,MATCH($C90,links!$D$2:$D$501,0))),""))</f>
        <v/>
      </c>
      <c r="I90" s="30" t="str">
        <f aca="false">IF($C90="","",IFERROR(IF(INDEX(links!$C$2:$C$501,MATCH($C90,links!$D$2:$D$501,0))="","",INDEX(links!$C$2:$C$501,MATCH($C90,links!$D$2:$D$501,0))),""))</f>
        <v/>
      </c>
      <c r="J90" s="30" t="str">
        <f aca="false">IF($C90="","",IF($G90="","slug not in links; ","")&amp;IF($D90="","reading type missing; ","")&amp;IF(COUNTIFS(scans!$C$2:$C$1601,$C90,scans!$D$2:$D$1601,$D90)&gt;1,"two readings of this type: keep one; ",""))</f>
        <v/>
      </c>
    </row>
    <row r="91" customFormat="false" ht="15" hidden="false" customHeight="false" outlineLevel="0" collapsed="false">
      <c r="A91" s="11"/>
      <c r="B91" s="38"/>
      <c r="D91" s="10"/>
      <c r="G91" s="30" t="str">
        <f aca="false">IF($C91="","",IFERROR(IF(INDEX(links!$A$2:$A$501,MATCH($C91,links!$D$2:$D$501,0))="","",INDEX(links!$A$2:$A$501,MATCH($C91,links!$D$2:$D$501,0))),""))</f>
        <v/>
      </c>
      <c r="H91" s="30" t="str">
        <f aca="false">IF($C91="","",IFERROR(IF(INDEX(links!$B$2:$B$501,MATCH($C91,links!$D$2:$D$501,0))="","",INDEX(links!$B$2:$B$501,MATCH($C91,links!$D$2:$D$501,0))),""))</f>
        <v/>
      </c>
      <c r="I91" s="30" t="str">
        <f aca="false">IF($C91="","",IFERROR(IF(INDEX(links!$C$2:$C$501,MATCH($C91,links!$D$2:$D$501,0))="","",INDEX(links!$C$2:$C$501,MATCH($C91,links!$D$2:$D$501,0))),""))</f>
        <v/>
      </c>
      <c r="J91" s="30" t="str">
        <f aca="false">IF($C91="","",IF($G91="","slug not in links; ","")&amp;IF($D91="","reading type missing; ","")&amp;IF(COUNTIFS(scans!$C$2:$C$1601,$C91,scans!$D$2:$D$1601,$D91)&gt;1,"two readings of this type: keep one; ",""))</f>
        <v/>
      </c>
    </row>
    <row r="92" customFormat="false" ht="15" hidden="false" customHeight="false" outlineLevel="0" collapsed="false">
      <c r="A92" s="11"/>
      <c r="B92" s="38"/>
      <c r="D92" s="10"/>
      <c r="G92" s="30" t="str">
        <f aca="false">IF($C92="","",IFERROR(IF(INDEX(links!$A$2:$A$501,MATCH($C92,links!$D$2:$D$501,0))="","",INDEX(links!$A$2:$A$501,MATCH($C92,links!$D$2:$D$501,0))),""))</f>
        <v/>
      </c>
      <c r="H92" s="30" t="str">
        <f aca="false">IF($C92="","",IFERROR(IF(INDEX(links!$B$2:$B$501,MATCH($C92,links!$D$2:$D$501,0))="","",INDEX(links!$B$2:$B$501,MATCH($C92,links!$D$2:$D$501,0))),""))</f>
        <v/>
      </c>
      <c r="I92" s="30" t="str">
        <f aca="false">IF($C92="","",IFERROR(IF(INDEX(links!$C$2:$C$501,MATCH($C92,links!$D$2:$D$501,0))="","",INDEX(links!$C$2:$C$501,MATCH($C92,links!$D$2:$D$501,0))),""))</f>
        <v/>
      </c>
      <c r="J92" s="30" t="str">
        <f aca="false">IF($C92="","",IF($G92="","slug not in links; ","")&amp;IF($D92="","reading type missing; ","")&amp;IF(COUNTIFS(scans!$C$2:$C$1601,$C92,scans!$D$2:$D$1601,$D92)&gt;1,"two readings of this type: keep one; ",""))</f>
        <v/>
      </c>
    </row>
    <row r="93" customFormat="false" ht="15" hidden="false" customHeight="false" outlineLevel="0" collapsed="false">
      <c r="A93" s="11"/>
      <c r="B93" s="38"/>
      <c r="D93" s="10"/>
      <c r="G93" s="30" t="str">
        <f aca="false">IF($C93="","",IFERROR(IF(INDEX(links!$A$2:$A$501,MATCH($C93,links!$D$2:$D$501,0))="","",INDEX(links!$A$2:$A$501,MATCH($C93,links!$D$2:$D$501,0))),""))</f>
        <v/>
      </c>
      <c r="H93" s="30" t="str">
        <f aca="false">IF($C93="","",IFERROR(IF(INDEX(links!$B$2:$B$501,MATCH($C93,links!$D$2:$D$501,0))="","",INDEX(links!$B$2:$B$501,MATCH($C93,links!$D$2:$D$501,0))),""))</f>
        <v/>
      </c>
      <c r="I93" s="30" t="str">
        <f aca="false">IF($C93="","",IFERROR(IF(INDEX(links!$C$2:$C$501,MATCH($C93,links!$D$2:$D$501,0))="","",INDEX(links!$C$2:$C$501,MATCH($C93,links!$D$2:$D$501,0))),""))</f>
        <v/>
      </c>
      <c r="J93" s="30" t="str">
        <f aca="false">IF($C93="","",IF($G93="","slug not in links; ","")&amp;IF($D93="","reading type missing; ","")&amp;IF(COUNTIFS(scans!$C$2:$C$1601,$C93,scans!$D$2:$D$1601,$D93)&gt;1,"two readings of this type: keep one; ",""))</f>
        <v/>
      </c>
    </row>
    <row r="94" customFormat="false" ht="15" hidden="false" customHeight="false" outlineLevel="0" collapsed="false">
      <c r="A94" s="11"/>
      <c r="B94" s="38"/>
      <c r="D94" s="10"/>
      <c r="G94" s="30" t="str">
        <f aca="false">IF($C94="","",IFERROR(IF(INDEX(links!$A$2:$A$501,MATCH($C94,links!$D$2:$D$501,0))="","",INDEX(links!$A$2:$A$501,MATCH($C94,links!$D$2:$D$501,0))),""))</f>
        <v/>
      </c>
      <c r="H94" s="30" t="str">
        <f aca="false">IF($C94="","",IFERROR(IF(INDEX(links!$B$2:$B$501,MATCH($C94,links!$D$2:$D$501,0))="","",INDEX(links!$B$2:$B$501,MATCH($C94,links!$D$2:$D$501,0))),""))</f>
        <v/>
      </c>
      <c r="I94" s="30" t="str">
        <f aca="false">IF($C94="","",IFERROR(IF(INDEX(links!$C$2:$C$501,MATCH($C94,links!$D$2:$D$501,0))="","",INDEX(links!$C$2:$C$501,MATCH($C94,links!$D$2:$D$501,0))),""))</f>
        <v/>
      </c>
      <c r="J94" s="30" t="str">
        <f aca="false">IF($C94="","",IF($G94="","slug not in links; ","")&amp;IF($D94="","reading type missing; ","")&amp;IF(COUNTIFS(scans!$C$2:$C$1601,$C94,scans!$D$2:$D$1601,$D94)&gt;1,"two readings of this type: keep one; ",""))</f>
        <v/>
      </c>
    </row>
    <row r="95" customFormat="false" ht="15" hidden="false" customHeight="false" outlineLevel="0" collapsed="false">
      <c r="A95" s="11"/>
      <c r="B95" s="38"/>
      <c r="D95" s="10"/>
      <c r="G95" s="30" t="str">
        <f aca="false">IF($C95="","",IFERROR(IF(INDEX(links!$A$2:$A$501,MATCH($C95,links!$D$2:$D$501,0))="","",INDEX(links!$A$2:$A$501,MATCH($C95,links!$D$2:$D$501,0))),""))</f>
        <v/>
      </c>
      <c r="H95" s="30" t="str">
        <f aca="false">IF($C95="","",IFERROR(IF(INDEX(links!$B$2:$B$501,MATCH($C95,links!$D$2:$D$501,0))="","",INDEX(links!$B$2:$B$501,MATCH($C95,links!$D$2:$D$501,0))),""))</f>
        <v/>
      </c>
      <c r="I95" s="30" t="str">
        <f aca="false">IF($C95="","",IFERROR(IF(INDEX(links!$C$2:$C$501,MATCH($C95,links!$D$2:$D$501,0))="","",INDEX(links!$C$2:$C$501,MATCH($C95,links!$D$2:$D$501,0))),""))</f>
        <v/>
      </c>
      <c r="J95" s="30" t="str">
        <f aca="false">IF($C95="","",IF($G95="","slug not in links; ","")&amp;IF($D95="","reading type missing; ","")&amp;IF(COUNTIFS(scans!$C$2:$C$1601,$C95,scans!$D$2:$D$1601,$D95)&gt;1,"two readings of this type: keep one; ",""))</f>
        <v/>
      </c>
    </row>
    <row r="96" customFormat="false" ht="15" hidden="false" customHeight="false" outlineLevel="0" collapsed="false">
      <c r="A96" s="11"/>
      <c r="B96" s="38"/>
      <c r="D96" s="10"/>
      <c r="G96" s="30" t="str">
        <f aca="false">IF($C96="","",IFERROR(IF(INDEX(links!$A$2:$A$501,MATCH($C96,links!$D$2:$D$501,0))="","",INDEX(links!$A$2:$A$501,MATCH($C96,links!$D$2:$D$501,0))),""))</f>
        <v/>
      </c>
      <c r="H96" s="30" t="str">
        <f aca="false">IF($C96="","",IFERROR(IF(INDEX(links!$B$2:$B$501,MATCH($C96,links!$D$2:$D$501,0))="","",INDEX(links!$B$2:$B$501,MATCH($C96,links!$D$2:$D$501,0))),""))</f>
        <v/>
      </c>
      <c r="I96" s="30" t="str">
        <f aca="false">IF($C96="","",IFERROR(IF(INDEX(links!$C$2:$C$501,MATCH($C96,links!$D$2:$D$501,0))="","",INDEX(links!$C$2:$C$501,MATCH($C96,links!$D$2:$D$501,0))),""))</f>
        <v/>
      </c>
      <c r="J96" s="30" t="str">
        <f aca="false">IF($C96="","",IF($G96="","slug not in links; ","")&amp;IF($D96="","reading type missing; ","")&amp;IF(COUNTIFS(scans!$C$2:$C$1601,$C96,scans!$D$2:$D$1601,$D96)&gt;1,"two readings of this type: keep one; ",""))</f>
        <v/>
      </c>
    </row>
    <row r="97" customFormat="false" ht="15" hidden="false" customHeight="false" outlineLevel="0" collapsed="false">
      <c r="A97" s="11"/>
      <c r="B97" s="38"/>
      <c r="D97" s="10"/>
      <c r="G97" s="30" t="str">
        <f aca="false">IF($C97="","",IFERROR(IF(INDEX(links!$A$2:$A$501,MATCH($C97,links!$D$2:$D$501,0))="","",INDEX(links!$A$2:$A$501,MATCH($C97,links!$D$2:$D$501,0))),""))</f>
        <v/>
      </c>
      <c r="H97" s="30" t="str">
        <f aca="false">IF($C97="","",IFERROR(IF(INDEX(links!$B$2:$B$501,MATCH($C97,links!$D$2:$D$501,0))="","",INDEX(links!$B$2:$B$501,MATCH($C97,links!$D$2:$D$501,0))),""))</f>
        <v/>
      </c>
      <c r="I97" s="30" t="str">
        <f aca="false">IF($C97="","",IFERROR(IF(INDEX(links!$C$2:$C$501,MATCH($C97,links!$D$2:$D$501,0))="","",INDEX(links!$C$2:$C$501,MATCH($C97,links!$D$2:$D$501,0))),""))</f>
        <v/>
      </c>
      <c r="J97" s="30" t="str">
        <f aca="false">IF($C97="","",IF($G97="","slug not in links; ","")&amp;IF($D97="","reading type missing; ","")&amp;IF(COUNTIFS(scans!$C$2:$C$1601,$C97,scans!$D$2:$D$1601,$D97)&gt;1,"two readings of this type: keep one; ",""))</f>
        <v/>
      </c>
    </row>
    <row r="98" customFormat="false" ht="15" hidden="false" customHeight="false" outlineLevel="0" collapsed="false">
      <c r="A98" s="11"/>
      <c r="B98" s="38"/>
      <c r="D98" s="10"/>
      <c r="G98" s="30" t="str">
        <f aca="false">IF($C98="","",IFERROR(IF(INDEX(links!$A$2:$A$501,MATCH($C98,links!$D$2:$D$501,0))="","",INDEX(links!$A$2:$A$501,MATCH($C98,links!$D$2:$D$501,0))),""))</f>
        <v/>
      </c>
      <c r="H98" s="30" t="str">
        <f aca="false">IF($C98="","",IFERROR(IF(INDEX(links!$B$2:$B$501,MATCH($C98,links!$D$2:$D$501,0))="","",INDEX(links!$B$2:$B$501,MATCH($C98,links!$D$2:$D$501,0))),""))</f>
        <v/>
      </c>
      <c r="I98" s="30" t="str">
        <f aca="false">IF($C98="","",IFERROR(IF(INDEX(links!$C$2:$C$501,MATCH($C98,links!$D$2:$D$501,0))="","",INDEX(links!$C$2:$C$501,MATCH($C98,links!$D$2:$D$501,0))),""))</f>
        <v/>
      </c>
      <c r="J98" s="30" t="str">
        <f aca="false">IF($C98="","",IF($G98="","slug not in links; ","")&amp;IF($D98="","reading type missing; ","")&amp;IF(COUNTIFS(scans!$C$2:$C$1601,$C98,scans!$D$2:$D$1601,$D98)&gt;1,"two readings of this type: keep one; ",""))</f>
        <v/>
      </c>
    </row>
    <row r="99" customFormat="false" ht="15" hidden="false" customHeight="false" outlineLevel="0" collapsed="false">
      <c r="A99" s="11"/>
      <c r="B99" s="38"/>
      <c r="D99" s="10"/>
      <c r="G99" s="30" t="str">
        <f aca="false">IF($C99="","",IFERROR(IF(INDEX(links!$A$2:$A$501,MATCH($C99,links!$D$2:$D$501,0))="","",INDEX(links!$A$2:$A$501,MATCH($C99,links!$D$2:$D$501,0))),""))</f>
        <v/>
      </c>
      <c r="H99" s="30" t="str">
        <f aca="false">IF($C99="","",IFERROR(IF(INDEX(links!$B$2:$B$501,MATCH($C99,links!$D$2:$D$501,0))="","",INDEX(links!$B$2:$B$501,MATCH($C99,links!$D$2:$D$501,0))),""))</f>
        <v/>
      </c>
      <c r="I99" s="30" t="str">
        <f aca="false">IF($C99="","",IFERROR(IF(INDEX(links!$C$2:$C$501,MATCH($C99,links!$D$2:$D$501,0))="","",INDEX(links!$C$2:$C$501,MATCH($C99,links!$D$2:$D$501,0))),""))</f>
        <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c r="B100" s="38"/>
      <c r="D100" s="10"/>
      <c r="G100" s="30" t="str">
        <f aca="false">IF($C100="","",IFERROR(IF(INDEX(links!$A$2:$A$501,MATCH($C100,links!$D$2:$D$501,0))="","",INDEX(links!$A$2:$A$501,MATCH($C100,links!$D$2:$D$501,0))),""))</f>
        <v/>
      </c>
      <c r="H100" s="30" t="str">
        <f aca="false">IF($C100="","",IFERROR(IF(INDEX(links!$B$2:$B$501,MATCH($C100,links!$D$2:$D$501,0))="","",INDEX(links!$B$2:$B$501,MATCH($C100,links!$D$2:$D$501,0))),""))</f>
        <v/>
      </c>
      <c r="I100" s="30" t="str">
        <f aca="false">IF($C100="","",IFERROR(IF(INDEX(links!$C$2:$C$501,MATCH($C100,links!$D$2:$D$501,0))="","",INDEX(links!$C$2:$C$501,MATCH($C100,links!$D$2:$D$501,0))),""))</f>
        <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c r="B101" s="38"/>
      <c r="D101" s="10"/>
      <c r="G101" s="30" t="str">
        <f aca="false">IF($C101="","",IFERROR(IF(INDEX(links!$A$2:$A$501,MATCH($C101,links!$D$2:$D$501,0))="","",INDEX(links!$A$2:$A$501,MATCH($C101,links!$D$2:$D$501,0))),""))</f>
        <v/>
      </c>
      <c r="H101" s="30" t="str">
        <f aca="false">IF($C101="","",IFERROR(IF(INDEX(links!$B$2:$B$501,MATCH($C101,links!$D$2:$D$501,0))="","",INDEX(links!$B$2:$B$501,MATCH($C101,links!$D$2:$D$501,0))),""))</f>
        <v/>
      </c>
      <c r="I101" s="30" t="str">
        <f aca="false">IF($C101="","",IFERROR(IF(INDEX(links!$C$2:$C$501,MATCH($C101,links!$D$2:$D$501,0))="","",INDEX(links!$C$2:$C$501,MATCH($C101,links!$D$2:$D$501,0))),""))</f>
        <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c r="B102" s="38"/>
      <c r="D102" s="10"/>
      <c r="G102" s="30" t="str">
        <f aca="false">IF($C102="","",IFERROR(IF(INDEX(links!$A$2:$A$501,MATCH($C102,links!$D$2:$D$501,0))="","",INDEX(links!$A$2:$A$501,MATCH($C102,links!$D$2:$D$501,0))),""))</f>
        <v/>
      </c>
      <c r="H102" s="30" t="str">
        <f aca="false">IF($C102="","",IFERROR(IF(INDEX(links!$B$2:$B$501,MATCH($C102,links!$D$2:$D$501,0))="","",INDEX(links!$B$2:$B$501,MATCH($C102,links!$D$2:$D$501,0))),""))</f>
        <v/>
      </c>
      <c r="I102" s="30" t="str">
        <f aca="false">IF($C102="","",IFERROR(IF(INDEX(links!$C$2:$C$501,MATCH($C102,links!$D$2:$D$501,0))="","",INDEX(links!$C$2:$C$501,MATCH($C102,links!$D$2:$D$501,0))),""))</f>
        <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c r="B103" s="38"/>
      <c r="D103" s="10"/>
      <c r="G103" s="30" t="str">
        <f aca="false">IF($C103="","",IFERROR(IF(INDEX(links!$A$2:$A$501,MATCH($C103,links!$D$2:$D$501,0))="","",INDEX(links!$A$2:$A$501,MATCH($C103,links!$D$2:$D$501,0))),""))</f>
        <v/>
      </c>
      <c r="H103" s="30" t="str">
        <f aca="false">IF($C103="","",IFERROR(IF(INDEX(links!$B$2:$B$501,MATCH($C103,links!$D$2:$D$501,0))="","",INDEX(links!$B$2:$B$501,MATCH($C103,links!$D$2:$D$501,0))),""))</f>
        <v/>
      </c>
      <c r="I103" s="30" t="str">
        <f aca="false">IF($C103="","",IFERROR(IF(INDEX(links!$C$2:$C$501,MATCH($C103,links!$D$2:$D$501,0))="","",INDEX(links!$C$2:$C$501,MATCH($C103,links!$D$2:$D$501,0))),""))</f>
        <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c r="B104" s="38"/>
      <c r="D104" s="10"/>
      <c r="G104" s="30" t="str">
        <f aca="false">IF($C104="","",IFERROR(IF(INDEX(links!$A$2:$A$501,MATCH($C104,links!$D$2:$D$501,0))="","",INDEX(links!$A$2:$A$501,MATCH($C104,links!$D$2:$D$501,0))),""))</f>
        <v/>
      </c>
      <c r="H104" s="30" t="str">
        <f aca="false">IF($C104="","",IFERROR(IF(INDEX(links!$B$2:$B$501,MATCH($C104,links!$D$2:$D$501,0))="","",INDEX(links!$B$2:$B$501,MATCH($C104,links!$D$2:$D$501,0))),""))</f>
        <v/>
      </c>
      <c r="I104" s="30" t="str">
        <f aca="false">IF($C104="","",IFERROR(IF(INDEX(links!$C$2:$C$501,MATCH($C104,links!$D$2:$D$501,0))="","",INDEX(links!$C$2:$C$501,MATCH($C104,links!$D$2:$D$501,0))),""))</f>
        <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c r="B105" s="38"/>
      <c r="D105" s="10"/>
      <c r="G105" s="30" t="str">
        <f aca="false">IF($C105="","",IFERROR(IF(INDEX(links!$A$2:$A$501,MATCH($C105,links!$D$2:$D$501,0))="","",INDEX(links!$A$2:$A$501,MATCH($C105,links!$D$2:$D$501,0))),""))</f>
        <v/>
      </c>
      <c r="H105" s="30" t="str">
        <f aca="false">IF($C105="","",IFERROR(IF(INDEX(links!$B$2:$B$501,MATCH($C105,links!$D$2:$D$501,0))="","",INDEX(links!$B$2:$B$501,MATCH($C105,links!$D$2:$D$501,0))),""))</f>
        <v/>
      </c>
      <c r="I105" s="30" t="str">
        <f aca="false">IF($C105="","",IFERROR(IF(INDEX(links!$C$2:$C$501,MATCH($C105,links!$D$2:$D$501,0))="","",INDEX(links!$C$2:$C$501,MATCH($C105,links!$D$2:$D$501,0))),""))</f>
        <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c r="B106" s="38"/>
      <c r="D106" s="10"/>
      <c r="G106" s="30" t="str">
        <f aca="false">IF($C106="","",IFERROR(IF(INDEX(links!$A$2:$A$501,MATCH($C106,links!$D$2:$D$501,0))="","",INDEX(links!$A$2:$A$501,MATCH($C106,links!$D$2:$D$501,0))),""))</f>
        <v/>
      </c>
      <c r="H106" s="30" t="str">
        <f aca="false">IF($C106="","",IFERROR(IF(INDEX(links!$B$2:$B$501,MATCH($C106,links!$D$2:$D$501,0))="","",INDEX(links!$B$2:$B$501,MATCH($C106,links!$D$2:$D$501,0))),""))</f>
        <v/>
      </c>
      <c r="I106" s="30" t="str">
        <f aca="false">IF($C106="","",IFERROR(IF(INDEX(links!$C$2:$C$501,MATCH($C106,links!$D$2:$D$501,0))="","",INDEX(links!$C$2:$C$501,MATCH($C106,links!$D$2:$D$501,0))),""))</f>
        <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c r="B107" s="38"/>
      <c r="D107" s="10"/>
      <c r="G107" s="30" t="str">
        <f aca="false">IF($C107="","",IFERROR(IF(INDEX(links!$A$2:$A$501,MATCH($C107,links!$D$2:$D$501,0))="","",INDEX(links!$A$2:$A$501,MATCH($C107,links!$D$2:$D$501,0))),""))</f>
        <v/>
      </c>
      <c r="H107" s="30" t="str">
        <f aca="false">IF($C107="","",IFERROR(IF(INDEX(links!$B$2:$B$501,MATCH($C107,links!$D$2:$D$501,0))="","",INDEX(links!$B$2:$B$501,MATCH($C107,links!$D$2:$D$501,0))),""))</f>
        <v/>
      </c>
      <c r="I107" s="30" t="str">
        <f aca="false">IF($C107="","",IFERROR(IF(INDEX(links!$C$2:$C$501,MATCH($C107,links!$D$2:$D$501,0))="","",INDEX(links!$C$2:$C$501,MATCH($C107,links!$D$2:$D$501,0))),""))</f>
        <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c r="B108" s="38"/>
      <c r="D108" s="10"/>
      <c r="G108" s="30" t="str">
        <f aca="false">IF($C108="","",IFERROR(IF(INDEX(links!$A$2:$A$501,MATCH($C108,links!$D$2:$D$501,0))="","",INDEX(links!$A$2:$A$501,MATCH($C108,links!$D$2:$D$501,0))),""))</f>
        <v/>
      </c>
      <c r="H108" s="30" t="str">
        <f aca="false">IF($C108="","",IFERROR(IF(INDEX(links!$B$2:$B$501,MATCH($C108,links!$D$2:$D$501,0))="","",INDEX(links!$B$2:$B$501,MATCH($C108,links!$D$2:$D$501,0))),""))</f>
        <v/>
      </c>
      <c r="I108" s="30" t="str">
        <f aca="false">IF($C108="","",IFERROR(IF(INDEX(links!$C$2:$C$501,MATCH($C108,links!$D$2:$D$501,0))="","",INDEX(links!$C$2:$C$501,MATCH($C108,links!$D$2:$D$501,0))),""))</f>
        <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c r="B109" s="38"/>
      <c r="D109" s="10"/>
      <c r="G109" s="30" t="str">
        <f aca="false">IF($C109="","",IFERROR(IF(INDEX(links!$A$2:$A$501,MATCH($C109,links!$D$2:$D$501,0))="","",INDEX(links!$A$2:$A$501,MATCH($C109,links!$D$2:$D$501,0))),""))</f>
        <v/>
      </c>
      <c r="H109" s="30" t="str">
        <f aca="false">IF($C109="","",IFERROR(IF(INDEX(links!$B$2:$B$501,MATCH($C109,links!$D$2:$D$501,0))="","",INDEX(links!$B$2:$B$501,MATCH($C109,links!$D$2:$D$501,0))),""))</f>
        <v/>
      </c>
      <c r="I109" s="30" t="str">
        <f aca="false">IF($C109="","",IFERROR(IF(INDEX(links!$C$2:$C$501,MATCH($C109,links!$D$2:$D$501,0))="","",INDEX(links!$C$2:$C$501,MATCH($C109,links!$D$2:$D$501,0))),""))</f>
        <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c r="B110" s="38"/>
      <c r="D110" s="10"/>
      <c r="G110" s="30" t="str">
        <f aca="false">IF($C110="","",IFERROR(IF(INDEX(links!$A$2:$A$501,MATCH($C110,links!$D$2:$D$501,0))="","",INDEX(links!$A$2:$A$501,MATCH($C110,links!$D$2:$D$501,0))),""))</f>
        <v/>
      </c>
      <c r="H110" s="30" t="str">
        <f aca="false">IF($C110="","",IFERROR(IF(INDEX(links!$B$2:$B$501,MATCH($C110,links!$D$2:$D$501,0))="","",INDEX(links!$B$2:$B$501,MATCH($C110,links!$D$2:$D$501,0))),""))</f>
        <v/>
      </c>
      <c r="I110" s="30" t="str">
        <f aca="false">IF($C110="","",IFERROR(IF(INDEX(links!$C$2:$C$501,MATCH($C110,links!$D$2:$D$501,0))="","",INDEX(links!$C$2:$C$501,MATCH($C110,links!$D$2:$D$501,0))),""))</f>
        <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c r="B111" s="38"/>
      <c r="D111" s="10"/>
      <c r="G111" s="30" t="str">
        <f aca="false">IF($C111="","",IFERROR(IF(INDEX(links!$A$2:$A$501,MATCH($C111,links!$D$2:$D$501,0))="","",INDEX(links!$A$2:$A$501,MATCH($C111,links!$D$2:$D$501,0))),""))</f>
        <v/>
      </c>
      <c r="H111" s="30" t="str">
        <f aca="false">IF($C111="","",IFERROR(IF(INDEX(links!$B$2:$B$501,MATCH($C111,links!$D$2:$D$501,0))="","",INDEX(links!$B$2:$B$501,MATCH($C111,links!$D$2:$D$501,0))),""))</f>
        <v/>
      </c>
      <c r="I111" s="30" t="str">
        <f aca="false">IF($C111="","",IFERROR(IF(INDEX(links!$C$2:$C$501,MATCH($C111,links!$D$2:$D$501,0))="","",INDEX(links!$C$2:$C$501,MATCH($C111,links!$D$2:$D$501,0))),""))</f>
        <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c r="B112" s="38"/>
      <c r="D112" s="10"/>
      <c r="G112" s="30" t="str">
        <f aca="false">IF($C112="","",IFERROR(IF(INDEX(links!$A$2:$A$501,MATCH($C112,links!$D$2:$D$501,0))="","",INDEX(links!$A$2:$A$501,MATCH($C112,links!$D$2:$D$501,0))),""))</f>
        <v/>
      </c>
      <c r="H112" s="30" t="str">
        <f aca="false">IF($C112="","",IFERROR(IF(INDEX(links!$B$2:$B$501,MATCH($C112,links!$D$2:$D$501,0))="","",INDEX(links!$B$2:$B$501,MATCH($C112,links!$D$2:$D$501,0))),""))</f>
        <v/>
      </c>
      <c r="I112" s="30" t="str">
        <f aca="false">IF($C112="","",IFERROR(IF(INDEX(links!$C$2:$C$501,MATCH($C112,links!$D$2:$D$501,0))="","",INDEX(links!$C$2:$C$501,MATCH($C112,links!$D$2:$D$501,0))),""))</f>
        <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c r="B113" s="38"/>
      <c r="D113" s="10"/>
      <c r="G113" s="30" t="str">
        <f aca="false">IF($C113="","",IFERROR(IF(INDEX(links!$A$2:$A$501,MATCH($C113,links!$D$2:$D$501,0))="","",INDEX(links!$A$2:$A$501,MATCH($C113,links!$D$2:$D$501,0))),""))</f>
        <v/>
      </c>
      <c r="H113" s="30" t="str">
        <f aca="false">IF($C113="","",IFERROR(IF(INDEX(links!$B$2:$B$501,MATCH($C113,links!$D$2:$D$501,0))="","",INDEX(links!$B$2:$B$501,MATCH($C113,links!$D$2:$D$501,0))),""))</f>
        <v/>
      </c>
      <c r="I113" s="30" t="str">
        <f aca="false">IF($C113="","",IFERROR(IF(INDEX(links!$C$2:$C$501,MATCH($C113,links!$D$2:$D$501,0))="","",INDEX(links!$C$2:$C$501,MATCH($C113,links!$D$2:$D$501,0))),""))</f>
        <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c r="B114" s="38"/>
      <c r="D114" s="10"/>
      <c r="G114" s="30" t="str">
        <f aca="false">IF($C114="","",IFERROR(IF(INDEX(links!$A$2:$A$501,MATCH($C114,links!$D$2:$D$501,0))="","",INDEX(links!$A$2:$A$501,MATCH($C114,links!$D$2:$D$501,0))),""))</f>
        <v/>
      </c>
      <c r="H114" s="30" t="str">
        <f aca="false">IF($C114="","",IFERROR(IF(INDEX(links!$B$2:$B$501,MATCH($C114,links!$D$2:$D$501,0))="","",INDEX(links!$B$2:$B$501,MATCH($C114,links!$D$2:$D$501,0))),""))</f>
        <v/>
      </c>
      <c r="I114" s="30" t="str">
        <f aca="false">IF($C114="","",IFERROR(IF(INDEX(links!$C$2:$C$501,MATCH($C114,links!$D$2:$D$501,0))="","",INDEX(links!$C$2:$C$501,MATCH($C114,links!$D$2:$D$501,0))),""))</f>
        <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c r="B115" s="38"/>
      <c r="D115" s="10"/>
      <c r="G115" s="30" t="str">
        <f aca="false">IF($C115="","",IFERROR(IF(INDEX(links!$A$2:$A$501,MATCH($C115,links!$D$2:$D$501,0))="","",INDEX(links!$A$2:$A$501,MATCH($C115,links!$D$2:$D$501,0))),""))</f>
        <v/>
      </c>
      <c r="H115" s="30" t="str">
        <f aca="false">IF($C115="","",IFERROR(IF(INDEX(links!$B$2:$B$501,MATCH($C115,links!$D$2:$D$501,0))="","",INDEX(links!$B$2:$B$501,MATCH($C115,links!$D$2:$D$501,0))),""))</f>
        <v/>
      </c>
      <c r="I115" s="30" t="str">
        <f aca="false">IF($C115="","",IFERROR(IF(INDEX(links!$C$2:$C$501,MATCH($C115,links!$D$2:$D$501,0))="","",INDEX(links!$C$2:$C$501,MATCH($C115,links!$D$2:$D$501,0))),""))</f>
        <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c r="B116" s="38"/>
      <c r="D116" s="10"/>
      <c r="G116" s="30" t="str">
        <f aca="false">IF($C116="","",IFERROR(IF(INDEX(links!$A$2:$A$501,MATCH($C116,links!$D$2:$D$501,0))="","",INDEX(links!$A$2:$A$501,MATCH($C116,links!$D$2:$D$501,0))),""))</f>
        <v/>
      </c>
      <c r="H116" s="30" t="str">
        <f aca="false">IF($C116="","",IFERROR(IF(INDEX(links!$B$2:$B$501,MATCH($C116,links!$D$2:$D$501,0))="","",INDEX(links!$B$2:$B$501,MATCH($C116,links!$D$2:$D$501,0))),""))</f>
        <v/>
      </c>
      <c r="I116" s="30" t="str">
        <f aca="false">IF($C116="","",IFERROR(IF(INDEX(links!$C$2:$C$501,MATCH($C116,links!$D$2:$D$501,0))="","",INDEX(links!$C$2:$C$501,MATCH($C116,links!$D$2:$D$501,0))),""))</f>
        <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c r="B117" s="38"/>
      <c r="D117" s="10"/>
      <c r="G117" s="30" t="str">
        <f aca="false">IF($C117="","",IFERROR(IF(INDEX(links!$A$2:$A$501,MATCH($C117,links!$D$2:$D$501,0))="","",INDEX(links!$A$2:$A$501,MATCH($C117,links!$D$2:$D$501,0))),""))</f>
        <v/>
      </c>
      <c r="H117" s="30" t="str">
        <f aca="false">IF($C117="","",IFERROR(IF(INDEX(links!$B$2:$B$501,MATCH($C117,links!$D$2:$D$501,0))="","",INDEX(links!$B$2:$B$501,MATCH($C117,links!$D$2:$D$501,0))),""))</f>
        <v/>
      </c>
      <c r="I117" s="30" t="str">
        <f aca="false">IF($C117="","",IFERROR(IF(INDEX(links!$C$2:$C$501,MATCH($C117,links!$D$2:$D$501,0))="","",INDEX(links!$C$2:$C$501,MATCH($C117,links!$D$2:$D$501,0))),""))</f>
        <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c r="B118" s="38"/>
      <c r="D118" s="10"/>
      <c r="G118" s="30" t="str">
        <f aca="false">IF($C118="","",IFERROR(IF(INDEX(links!$A$2:$A$501,MATCH($C118,links!$D$2:$D$501,0))="","",INDEX(links!$A$2:$A$501,MATCH($C118,links!$D$2:$D$501,0))),""))</f>
        <v/>
      </c>
      <c r="H118" s="30" t="str">
        <f aca="false">IF($C118="","",IFERROR(IF(INDEX(links!$B$2:$B$501,MATCH($C118,links!$D$2:$D$501,0))="","",INDEX(links!$B$2:$B$501,MATCH($C118,links!$D$2:$D$501,0))),""))</f>
        <v/>
      </c>
      <c r="I118" s="30" t="str">
        <f aca="false">IF($C118="","",IFERROR(IF(INDEX(links!$C$2:$C$501,MATCH($C118,links!$D$2:$D$501,0))="","",INDEX(links!$C$2:$C$501,MATCH($C118,links!$D$2:$D$501,0))),""))</f>
        <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c r="B119" s="38"/>
      <c r="D119" s="10"/>
      <c r="G119" s="30" t="str">
        <f aca="false">IF($C119="","",IFERROR(IF(INDEX(links!$A$2:$A$501,MATCH($C119,links!$D$2:$D$501,0))="","",INDEX(links!$A$2:$A$501,MATCH($C119,links!$D$2:$D$501,0))),""))</f>
        <v/>
      </c>
      <c r="H119" s="30" t="str">
        <f aca="false">IF($C119="","",IFERROR(IF(INDEX(links!$B$2:$B$501,MATCH($C119,links!$D$2:$D$501,0))="","",INDEX(links!$B$2:$B$501,MATCH($C119,links!$D$2:$D$501,0))),""))</f>
        <v/>
      </c>
      <c r="I119" s="30" t="str">
        <f aca="false">IF($C119="","",IFERROR(IF(INDEX(links!$C$2:$C$501,MATCH($C119,links!$D$2:$D$501,0))="","",INDEX(links!$C$2:$C$501,MATCH($C119,links!$D$2:$D$501,0))),""))</f>
        <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c r="B120" s="38"/>
      <c r="D120" s="10"/>
      <c r="G120" s="30" t="str">
        <f aca="false">IF($C120="","",IFERROR(IF(INDEX(links!$A$2:$A$501,MATCH($C120,links!$D$2:$D$501,0))="","",INDEX(links!$A$2:$A$501,MATCH($C120,links!$D$2:$D$501,0))),""))</f>
        <v/>
      </c>
      <c r="H120" s="30" t="str">
        <f aca="false">IF($C120="","",IFERROR(IF(INDEX(links!$B$2:$B$501,MATCH($C120,links!$D$2:$D$501,0))="","",INDEX(links!$B$2:$B$501,MATCH($C120,links!$D$2:$D$501,0))),""))</f>
        <v/>
      </c>
      <c r="I120" s="30" t="str">
        <f aca="false">IF($C120="","",IFERROR(IF(INDEX(links!$C$2:$C$501,MATCH($C120,links!$D$2:$D$501,0))="","",INDEX(links!$C$2:$C$501,MATCH($C120,links!$D$2:$D$501,0))),""))</f>
        <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c r="B121" s="38"/>
      <c r="D121" s="10"/>
      <c r="G121" s="30" t="str">
        <f aca="false">IF($C121="","",IFERROR(IF(INDEX(links!$A$2:$A$501,MATCH($C121,links!$D$2:$D$501,0))="","",INDEX(links!$A$2:$A$501,MATCH($C121,links!$D$2:$D$501,0))),""))</f>
        <v/>
      </c>
      <c r="H121" s="30" t="str">
        <f aca="false">IF($C121="","",IFERROR(IF(INDEX(links!$B$2:$B$501,MATCH($C121,links!$D$2:$D$501,0))="","",INDEX(links!$B$2:$B$501,MATCH($C121,links!$D$2:$D$501,0))),""))</f>
        <v/>
      </c>
      <c r="I121" s="30" t="str">
        <f aca="false">IF($C121="","",IFERROR(IF(INDEX(links!$C$2:$C$501,MATCH($C121,links!$D$2:$D$501,0))="","",INDEX(links!$C$2:$C$501,MATCH($C121,links!$D$2:$D$501,0))),""))</f>
        <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c r="B122" s="38"/>
      <c r="D122" s="10"/>
      <c r="G122" s="30" t="str">
        <f aca="false">IF($C122="","",IFERROR(IF(INDEX(links!$A$2:$A$501,MATCH($C122,links!$D$2:$D$501,0))="","",INDEX(links!$A$2:$A$501,MATCH($C122,links!$D$2:$D$501,0))),""))</f>
        <v/>
      </c>
      <c r="H122" s="30" t="str">
        <f aca="false">IF($C122="","",IFERROR(IF(INDEX(links!$B$2:$B$501,MATCH($C122,links!$D$2:$D$501,0))="","",INDEX(links!$B$2:$B$501,MATCH($C122,links!$D$2:$D$501,0))),""))</f>
        <v/>
      </c>
      <c r="I122" s="30" t="str">
        <f aca="false">IF($C122="","",IFERROR(IF(INDEX(links!$C$2:$C$501,MATCH($C122,links!$D$2:$D$501,0))="","",INDEX(links!$C$2:$C$501,MATCH($C122,links!$D$2:$D$501,0))),""))</f>
        <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c r="B123" s="38"/>
      <c r="D123" s="10"/>
      <c r="G123" s="30" t="str">
        <f aca="false">IF($C123="","",IFERROR(IF(INDEX(links!$A$2:$A$501,MATCH($C123,links!$D$2:$D$501,0))="","",INDEX(links!$A$2:$A$501,MATCH($C123,links!$D$2:$D$501,0))),""))</f>
        <v/>
      </c>
      <c r="H123" s="30" t="str">
        <f aca="false">IF($C123="","",IFERROR(IF(INDEX(links!$B$2:$B$501,MATCH($C123,links!$D$2:$D$501,0))="","",INDEX(links!$B$2:$B$501,MATCH($C123,links!$D$2:$D$501,0))),""))</f>
        <v/>
      </c>
      <c r="I123" s="30" t="str">
        <f aca="false">IF($C123="","",IFERROR(IF(INDEX(links!$C$2:$C$501,MATCH($C123,links!$D$2:$D$501,0))="","",INDEX(links!$C$2:$C$501,MATCH($C123,links!$D$2:$D$501,0))),""))</f>
        <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c r="B124" s="38"/>
      <c r="D124" s="10"/>
      <c r="G124" s="30" t="str">
        <f aca="false">IF($C124="","",IFERROR(IF(INDEX(links!$A$2:$A$501,MATCH($C124,links!$D$2:$D$501,0))="","",INDEX(links!$A$2:$A$501,MATCH($C124,links!$D$2:$D$501,0))),""))</f>
        <v/>
      </c>
      <c r="H124" s="30" t="str">
        <f aca="false">IF($C124="","",IFERROR(IF(INDEX(links!$B$2:$B$501,MATCH($C124,links!$D$2:$D$501,0))="","",INDEX(links!$B$2:$B$501,MATCH($C124,links!$D$2:$D$501,0))),""))</f>
        <v/>
      </c>
      <c r="I124" s="30" t="str">
        <f aca="false">IF($C124="","",IFERROR(IF(INDEX(links!$C$2:$C$501,MATCH($C124,links!$D$2:$D$501,0))="","",INDEX(links!$C$2:$C$501,MATCH($C124,links!$D$2:$D$501,0))),""))</f>
        <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c r="B125" s="38"/>
      <c r="D125" s="10"/>
      <c r="G125" s="30" t="str">
        <f aca="false">IF($C125="","",IFERROR(IF(INDEX(links!$A$2:$A$501,MATCH($C125,links!$D$2:$D$501,0))="","",INDEX(links!$A$2:$A$501,MATCH($C125,links!$D$2:$D$501,0))),""))</f>
        <v/>
      </c>
      <c r="H125" s="30" t="str">
        <f aca="false">IF($C125="","",IFERROR(IF(INDEX(links!$B$2:$B$501,MATCH($C125,links!$D$2:$D$501,0))="","",INDEX(links!$B$2:$B$501,MATCH($C125,links!$D$2:$D$501,0))),""))</f>
        <v/>
      </c>
      <c r="I125" s="30" t="str">
        <f aca="false">IF($C125="","",IFERROR(IF(INDEX(links!$C$2:$C$501,MATCH($C125,links!$D$2:$D$501,0))="","",INDEX(links!$C$2:$C$501,MATCH($C125,links!$D$2:$D$501,0))),""))</f>
        <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c r="B126" s="38"/>
      <c r="D126" s="10"/>
      <c r="G126" s="30" t="str">
        <f aca="false">IF($C126="","",IFERROR(IF(INDEX(links!$A$2:$A$501,MATCH($C126,links!$D$2:$D$501,0))="","",INDEX(links!$A$2:$A$501,MATCH($C126,links!$D$2:$D$501,0))),""))</f>
        <v/>
      </c>
      <c r="H126" s="30" t="str">
        <f aca="false">IF($C126="","",IFERROR(IF(INDEX(links!$B$2:$B$501,MATCH($C126,links!$D$2:$D$501,0))="","",INDEX(links!$B$2:$B$501,MATCH($C126,links!$D$2:$D$501,0))),""))</f>
        <v/>
      </c>
      <c r="I126" s="30" t="str">
        <f aca="false">IF($C126="","",IFERROR(IF(INDEX(links!$C$2:$C$501,MATCH($C126,links!$D$2:$D$501,0))="","",INDEX(links!$C$2:$C$501,MATCH($C126,links!$D$2:$D$501,0))),""))</f>
        <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c r="B127" s="38"/>
      <c r="D127" s="10"/>
      <c r="G127" s="30" t="str">
        <f aca="false">IF($C127="","",IFERROR(IF(INDEX(links!$A$2:$A$501,MATCH($C127,links!$D$2:$D$501,0))="","",INDEX(links!$A$2:$A$501,MATCH($C127,links!$D$2:$D$501,0))),""))</f>
        <v/>
      </c>
      <c r="H127" s="30" t="str">
        <f aca="false">IF($C127="","",IFERROR(IF(INDEX(links!$B$2:$B$501,MATCH($C127,links!$D$2:$D$501,0))="","",INDEX(links!$B$2:$B$501,MATCH($C127,links!$D$2:$D$501,0))),""))</f>
        <v/>
      </c>
      <c r="I127" s="30" t="str">
        <f aca="false">IF($C127="","",IFERROR(IF(INDEX(links!$C$2:$C$501,MATCH($C127,links!$D$2:$D$501,0))="","",INDEX(links!$C$2:$C$501,MATCH($C127,links!$D$2:$D$501,0))),""))</f>
        <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c r="B128" s="38"/>
      <c r="D128" s="10"/>
      <c r="G128" s="30" t="str">
        <f aca="false">IF($C128="","",IFERROR(IF(INDEX(links!$A$2:$A$501,MATCH($C128,links!$D$2:$D$501,0))="","",INDEX(links!$A$2:$A$501,MATCH($C128,links!$D$2:$D$501,0))),""))</f>
        <v/>
      </c>
      <c r="H128" s="30" t="str">
        <f aca="false">IF($C128="","",IFERROR(IF(INDEX(links!$B$2:$B$501,MATCH($C128,links!$D$2:$D$501,0))="","",INDEX(links!$B$2:$B$501,MATCH($C128,links!$D$2:$D$501,0))),""))</f>
        <v/>
      </c>
      <c r="I128" s="30" t="str">
        <f aca="false">IF($C128="","",IFERROR(IF(INDEX(links!$C$2:$C$501,MATCH($C128,links!$D$2:$D$501,0))="","",INDEX(links!$C$2:$C$501,MATCH($C128,links!$D$2:$D$501,0))),""))</f>
        <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c r="B129" s="38"/>
      <c r="D129" s="10"/>
      <c r="G129" s="30" t="str">
        <f aca="false">IF($C129="","",IFERROR(IF(INDEX(links!$A$2:$A$501,MATCH($C129,links!$D$2:$D$501,0))="","",INDEX(links!$A$2:$A$501,MATCH($C129,links!$D$2:$D$501,0))),""))</f>
        <v/>
      </c>
      <c r="H129" s="30" t="str">
        <f aca="false">IF($C129="","",IFERROR(IF(INDEX(links!$B$2:$B$501,MATCH($C129,links!$D$2:$D$501,0))="","",INDEX(links!$B$2:$B$501,MATCH($C129,links!$D$2:$D$501,0))),""))</f>
        <v/>
      </c>
      <c r="I129" s="30" t="str">
        <f aca="false">IF($C129="","",IFERROR(IF(INDEX(links!$C$2:$C$501,MATCH($C129,links!$D$2:$D$501,0))="","",INDEX(links!$C$2:$C$501,MATCH($C129,links!$D$2:$D$501,0))),""))</f>
        <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c r="B130" s="38"/>
      <c r="D130" s="10"/>
      <c r="G130" s="30" t="str">
        <f aca="false">IF($C130="","",IFERROR(IF(INDEX(links!$A$2:$A$501,MATCH($C130,links!$D$2:$D$501,0))="","",INDEX(links!$A$2:$A$501,MATCH($C130,links!$D$2:$D$501,0))),""))</f>
        <v/>
      </c>
      <c r="H130" s="30" t="str">
        <f aca="false">IF($C130="","",IFERROR(IF(INDEX(links!$B$2:$B$501,MATCH($C130,links!$D$2:$D$501,0))="","",INDEX(links!$B$2:$B$501,MATCH($C130,links!$D$2:$D$501,0))),""))</f>
        <v/>
      </c>
      <c r="I130" s="30" t="str">
        <f aca="false">IF($C130="","",IFERROR(IF(INDEX(links!$C$2:$C$501,MATCH($C130,links!$D$2:$D$501,0))="","",INDEX(links!$C$2:$C$501,MATCH($C130,links!$D$2:$D$501,0))),""))</f>
        <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c r="B131" s="38"/>
      <c r="D131" s="10"/>
      <c r="G131" s="30" t="str">
        <f aca="false">IF($C131="","",IFERROR(IF(INDEX(links!$A$2:$A$501,MATCH($C131,links!$D$2:$D$501,0))="","",INDEX(links!$A$2:$A$501,MATCH($C131,links!$D$2:$D$501,0))),""))</f>
        <v/>
      </c>
      <c r="H131" s="30" t="str">
        <f aca="false">IF($C131="","",IFERROR(IF(INDEX(links!$B$2:$B$501,MATCH($C131,links!$D$2:$D$501,0))="","",INDEX(links!$B$2:$B$501,MATCH($C131,links!$D$2:$D$501,0))),""))</f>
        <v/>
      </c>
      <c r="I131" s="30" t="str">
        <f aca="false">IF($C131="","",IFERROR(IF(INDEX(links!$C$2:$C$501,MATCH($C131,links!$D$2:$D$501,0))="","",INDEX(links!$C$2:$C$501,MATCH($C131,links!$D$2:$D$501,0))),""))</f>
        <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c r="B132" s="38"/>
      <c r="D132" s="10"/>
      <c r="G132" s="30" t="str">
        <f aca="false">IF($C132="","",IFERROR(IF(INDEX(links!$A$2:$A$501,MATCH($C132,links!$D$2:$D$501,0))="","",INDEX(links!$A$2:$A$501,MATCH($C132,links!$D$2:$D$501,0))),""))</f>
        <v/>
      </c>
      <c r="H132" s="30" t="str">
        <f aca="false">IF($C132="","",IFERROR(IF(INDEX(links!$B$2:$B$501,MATCH($C132,links!$D$2:$D$501,0))="","",INDEX(links!$B$2:$B$501,MATCH($C132,links!$D$2:$D$501,0))),""))</f>
        <v/>
      </c>
      <c r="I132" s="30" t="str">
        <f aca="false">IF($C132="","",IFERROR(IF(INDEX(links!$C$2:$C$501,MATCH($C132,links!$D$2:$D$501,0))="","",INDEX(links!$C$2:$C$501,MATCH($C132,links!$D$2:$D$501,0))),""))</f>
        <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c r="B133" s="38"/>
      <c r="D133" s="10"/>
      <c r="G133" s="30" t="str">
        <f aca="false">IF($C133="","",IFERROR(IF(INDEX(links!$A$2:$A$501,MATCH($C133,links!$D$2:$D$501,0))="","",INDEX(links!$A$2:$A$501,MATCH($C133,links!$D$2:$D$501,0))),""))</f>
        <v/>
      </c>
      <c r="H133" s="30" t="str">
        <f aca="false">IF($C133="","",IFERROR(IF(INDEX(links!$B$2:$B$501,MATCH($C133,links!$D$2:$D$501,0))="","",INDEX(links!$B$2:$B$501,MATCH($C133,links!$D$2:$D$501,0))),""))</f>
        <v/>
      </c>
      <c r="I133" s="30" t="str">
        <f aca="false">IF($C133="","",IFERROR(IF(INDEX(links!$C$2:$C$501,MATCH($C133,links!$D$2:$D$501,0))="","",INDEX(links!$C$2:$C$501,MATCH($C133,links!$D$2:$D$501,0))),""))</f>
        <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c r="B134" s="38"/>
      <c r="D134" s="10"/>
      <c r="G134" s="30" t="str">
        <f aca="false">IF($C134="","",IFERROR(IF(INDEX(links!$A$2:$A$501,MATCH($C134,links!$D$2:$D$501,0))="","",INDEX(links!$A$2:$A$501,MATCH($C134,links!$D$2:$D$501,0))),""))</f>
        <v/>
      </c>
      <c r="H134" s="30" t="str">
        <f aca="false">IF($C134="","",IFERROR(IF(INDEX(links!$B$2:$B$501,MATCH($C134,links!$D$2:$D$501,0))="","",INDEX(links!$B$2:$B$501,MATCH($C134,links!$D$2:$D$501,0))),""))</f>
        <v/>
      </c>
      <c r="I134" s="30" t="str">
        <f aca="false">IF($C134="","",IFERROR(IF(INDEX(links!$C$2:$C$501,MATCH($C134,links!$D$2:$D$501,0))="","",INDEX(links!$C$2:$C$501,MATCH($C134,links!$D$2:$D$501,0))),""))</f>
        <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c r="B135" s="38"/>
      <c r="D135" s="10"/>
      <c r="G135" s="30" t="str">
        <f aca="false">IF($C135="","",IFERROR(IF(INDEX(links!$A$2:$A$501,MATCH($C135,links!$D$2:$D$501,0))="","",INDEX(links!$A$2:$A$501,MATCH($C135,links!$D$2:$D$501,0))),""))</f>
        <v/>
      </c>
      <c r="H135" s="30" t="str">
        <f aca="false">IF($C135="","",IFERROR(IF(INDEX(links!$B$2:$B$501,MATCH($C135,links!$D$2:$D$501,0))="","",INDEX(links!$B$2:$B$501,MATCH($C135,links!$D$2:$D$501,0))),""))</f>
        <v/>
      </c>
      <c r="I135" s="30" t="str">
        <f aca="false">IF($C135="","",IFERROR(IF(INDEX(links!$C$2:$C$501,MATCH($C135,links!$D$2:$D$501,0))="","",INDEX(links!$C$2:$C$501,MATCH($C135,links!$D$2:$D$501,0))),""))</f>
        <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c r="B136" s="38"/>
      <c r="D136" s="10"/>
      <c r="G136" s="30" t="str">
        <f aca="false">IF($C136="","",IFERROR(IF(INDEX(links!$A$2:$A$501,MATCH($C136,links!$D$2:$D$501,0))="","",INDEX(links!$A$2:$A$501,MATCH($C136,links!$D$2:$D$501,0))),""))</f>
        <v/>
      </c>
      <c r="H136" s="30" t="str">
        <f aca="false">IF($C136="","",IFERROR(IF(INDEX(links!$B$2:$B$501,MATCH($C136,links!$D$2:$D$501,0))="","",INDEX(links!$B$2:$B$501,MATCH($C136,links!$D$2:$D$501,0))),""))</f>
        <v/>
      </c>
      <c r="I136" s="30" t="str">
        <f aca="false">IF($C136="","",IFERROR(IF(INDEX(links!$C$2:$C$501,MATCH($C136,links!$D$2:$D$501,0))="","",INDEX(links!$C$2:$C$501,MATCH($C136,links!$D$2:$D$501,0))),""))</f>
        <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c r="B137" s="38"/>
      <c r="D137" s="10"/>
      <c r="G137" s="30" t="str">
        <f aca="false">IF($C137="","",IFERROR(IF(INDEX(links!$A$2:$A$501,MATCH($C137,links!$D$2:$D$501,0))="","",INDEX(links!$A$2:$A$501,MATCH($C137,links!$D$2:$D$501,0))),""))</f>
        <v/>
      </c>
      <c r="H137" s="30" t="str">
        <f aca="false">IF($C137="","",IFERROR(IF(INDEX(links!$B$2:$B$501,MATCH($C137,links!$D$2:$D$501,0))="","",INDEX(links!$B$2:$B$501,MATCH($C137,links!$D$2:$D$501,0))),""))</f>
        <v/>
      </c>
      <c r="I137" s="30" t="str">
        <f aca="false">IF($C137="","",IFERROR(IF(INDEX(links!$C$2:$C$501,MATCH($C137,links!$D$2:$D$501,0))="","",INDEX(links!$C$2:$C$501,MATCH($C137,links!$D$2:$D$501,0))),""))</f>
        <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c r="B138" s="38"/>
      <c r="D138" s="10"/>
      <c r="G138" s="30" t="str">
        <f aca="false">IF($C138="","",IFERROR(IF(INDEX(links!$A$2:$A$501,MATCH($C138,links!$D$2:$D$501,0))="","",INDEX(links!$A$2:$A$501,MATCH($C138,links!$D$2:$D$501,0))),""))</f>
        <v/>
      </c>
      <c r="H138" s="30" t="str">
        <f aca="false">IF($C138="","",IFERROR(IF(INDEX(links!$B$2:$B$501,MATCH($C138,links!$D$2:$D$501,0))="","",INDEX(links!$B$2:$B$501,MATCH($C138,links!$D$2:$D$501,0))),""))</f>
        <v/>
      </c>
      <c r="I138" s="30" t="str">
        <f aca="false">IF($C138="","",IFERROR(IF(INDEX(links!$C$2:$C$501,MATCH($C138,links!$D$2:$D$501,0))="","",INDEX(links!$C$2:$C$501,MATCH($C138,links!$D$2:$D$501,0))),""))</f>
        <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c r="B139" s="38"/>
      <c r="D139" s="10"/>
      <c r="G139" s="30" t="str">
        <f aca="false">IF($C139="","",IFERROR(IF(INDEX(links!$A$2:$A$501,MATCH($C139,links!$D$2:$D$501,0))="","",INDEX(links!$A$2:$A$501,MATCH($C139,links!$D$2:$D$501,0))),""))</f>
        <v/>
      </c>
      <c r="H139" s="30" t="str">
        <f aca="false">IF($C139="","",IFERROR(IF(INDEX(links!$B$2:$B$501,MATCH($C139,links!$D$2:$D$501,0))="","",INDEX(links!$B$2:$B$501,MATCH($C139,links!$D$2:$D$501,0))),""))</f>
        <v/>
      </c>
      <c r="I139" s="30" t="str">
        <f aca="false">IF($C139="","",IFERROR(IF(INDEX(links!$C$2:$C$501,MATCH($C139,links!$D$2:$D$501,0))="","",INDEX(links!$C$2:$C$501,MATCH($C139,links!$D$2:$D$501,0))),""))</f>
        <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c r="B140" s="38"/>
      <c r="D140" s="10"/>
      <c r="G140" s="30" t="str">
        <f aca="false">IF($C140="","",IFERROR(IF(INDEX(links!$A$2:$A$501,MATCH($C140,links!$D$2:$D$501,0))="","",INDEX(links!$A$2:$A$501,MATCH($C140,links!$D$2:$D$501,0))),""))</f>
        <v/>
      </c>
      <c r="H140" s="30" t="str">
        <f aca="false">IF($C140="","",IFERROR(IF(INDEX(links!$B$2:$B$501,MATCH($C140,links!$D$2:$D$501,0))="","",INDEX(links!$B$2:$B$501,MATCH($C140,links!$D$2:$D$501,0))),""))</f>
        <v/>
      </c>
      <c r="I140" s="30" t="str">
        <f aca="false">IF($C140="","",IFERROR(IF(INDEX(links!$C$2:$C$501,MATCH($C140,links!$D$2:$D$501,0))="","",INDEX(links!$C$2:$C$501,MATCH($C140,links!$D$2:$D$501,0))),""))</f>
        <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c r="B141" s="38"/>
      <c r="D141" s="10"/>
      <c r="G141" s="30" t="str">
        <f aca="false">IF($C141="","",IFERROR(IF(INDEX(links!$A$2:$A$501,MATCH($C141,links!$D$2:$D$501,0))="","",INDEX(links!$A$2:$A$501,MATCH($C141,links!$D$2:$D$501,0))),""))</f>
        <v/>
      </c>
      <c r="H141" s="30" t="str">
        <f aca="false">IF($C141="","",IFERROR(IF(INDEX(links!$B$2:$B$501,MATCH($C141,links!$D$2:$D$501,0))="","",INDEX(links!$B$2:$B$501,MATCH($C141,links!$D$2:$D$501,0))),""))</f>
        <v/>
      </c>
      <c r="I141" s="30" t="str">
        <f aca="false">IF($C141="","",IFERROR(IF(INDEX(links!$C$2:$C$501,MATCH($C141,links!$D$2:$D$501,0))="","",INDEX(links!$C$2:$C$501,MATCH($C141,links!$D$2:$D$501,0))),""))</f>
        <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c r="B142" s="38"/>
      <c r="D142" s="10"/>
      <c r="G142" s="30" t="str">
        <f aca="false">IF($C142="","",IFERROR(IF(INDEX(links!$A$2:$A$501,MATCH($C142,links!$D$2:$D$501,0))="","",INDEX(links!$A$2:$A$501,MATCH($C142,links!$D$2:$D$501,0))),""))</f>
        <v/>
      </c>
      <c r="H142" s="30" t="str">
        <f aca="false">IF($C142="","",IFERROR(IF(INDEX(links!$B$2:$B$501,MATCH($C142,links!$D$2:$D$501,0))="","",INDEX(links!$B$2:$B$501,MATCH($C142,links!$D$2:$D$501,0))),""))</f>
        <v/>
      </c>
      <c r="I142" s="30" t="str">
        <f aca="false">IF($C142="","",IFERROR(IF(INDEX(links!$C$2:$C$501,MATCH($C142,links!$D$2:$D$501,0))="","",INDEX(links!$C$2:$C$501,MATCH($C142,links!$D$2:$D$501,0))),""))</f>
        <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c r="B143" s="38"/>
      <c r="D143" s="10"/>
      <c r="G143" s="30" t="str">
        <f aca="false">IF($C143="","",IFERROR(IF(INDEX(links!$A$2:$A$501,MATCH($C143,links!$D$2:$D$501,0))="","",INDEX(links!$A$2:$A$501,MATCH($C143,links!$D$2:$D$501,0))),""))</f>
        <v/>
      </c>
      <c r="H143" s="30" t="str">
        <f aca="false">IF($C143="","",IFERROR(IF(INDEX(links!$B$2:$B$501,MATCH($C143,links!$D$2:$D$501,0))="","",INDEX(links!$B$2:$B$501,MATCH($C143,links!$D$2:$D$501,0))),""))</f>
        <v/>
      </c>
      <c r="I143" s="30" t="str">
        <f aca="false">IF($C143="","",IFERROR(IF(INDEX(links!$C$2:$C$501,MATCH($C143,links!$D$2:$D$501,0))="","",INDEX(links!$C$2:$C$501,MATCH($C143,links!$D$2:$D$501,0))),""))</f>
        <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c r="B144" s="38"/>
      <c r="D144" s="10"/>
      <c r="G144" s="30" t="str">
        <f aca="false">IF($C144="","",IFERROR(IF(INDEX(links!$A$2:$A$501,MATCH($C144,links!$D$2:$D$501,0))="","",INDEX(links!$A$2:$A$501,MATCH($C144,links!$D$2:$D$501,0))),""))</f>
        <v/>
      </c>
      <c r="H144" s="30" t="str">
        <f aca="false">IF($C144="","",IFERROR(IF(INDEX(links!$B$2:$B$501,MATCH($C144,links!$D$2:$D$501,0))="","",INDEX(links!$B$2:$B$501,MATCH($C144,links!$D$2:$D$501,0))),""))</f>
        <v/>
      </c>
      <c r="I144" s="30" t="str">
        <f aca="false">IF($C144="","",IFERROR(IF(INDEX(links!$C$2:$C$501,MATCH($C144,links!$D$2:$D$501,0))="","",INDEX(links!$C$2:$C$501,MATCH($C144,links!$D$2:$D$501,0))),""))</f>
        <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c r="B145" s="38"/>
      <c r="D145" s="10"/>
      <c r="G145" s="30" t="str">
        <f aca="false">IF($C145="","",IFERROR(IF(INDEX(links!$A$2:$A$501,MATCH($C145,links!$D$2:$D$501,0))="","",INDEX(links!$A$2:$A$501,MATCH($C145,links!$D$2:$D$501,0))),""))</f>
        <v/>
      </c>
      <c r="H145" s="30" t="str">
        <f aca="false">IF($C145="","",IFERROR(IF(INDEX(links!$B$2:$B$501,MATCH($C145,links!$D$2:$D$501,0))="","",INDEX(links!$B$2:$B$501,MATCH($C145,links!$D$2:$D$501,0))),""))</f>
        <v/>
      </c>
      <c r="I145" s="30" t="str">
        <f aca="false">IF($C145="","",IFERROR(IF(INDEX(links!$C$2:$C$501,MATCH($C145,links!$D$2:$D$501,0))="","",INDEX(links!$C$2:$C$501,MATCH($C145,links!$D$2:$D$501,0))),""))</f>
        <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c r="B146" s="38"/>
      <c r="D146" s="10"/>
      <c r="G146" s="30" t="str">
        <f aca="false">IF($C146="","",IFERROR(IF(INDEX(links!$A$2:$A$501,MATCH($C146,links!$D$2:$D$501,0))="","",INDEX(links!$A$2:$A$501,MATCH($C146,links!$D$2:$D$501,0))),""))</f>
        <v/>
      </c>
      <c r="H146" s="30" t="str">
        <f aca="false">IF($C146="","",IFERROR(IF(INDEX(links!$B$2:$B$501,MATCH($C146,links!$D$2:$D$501,0))="","",INDEX(links!$B$2:$B$501,MATCH($C146,links!$D$2:$D$501,0))),""))</f>
        <v/>
      </c>
      <c r="I146" s="30" t="str">
        <f aca="false">IF($C146="","",IFERROR(IF(INDEX(links!$C$2:$C$501,MATCH($C146,links!$D$2:$D$501,0))="","",INDEX(links!$C$2:$C$501,MATCH($C146,links!$D$2:$D$501,0))),""))</f>
        <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c r="B147" s="38"/>
      <c r="D147" s="10"/>
      <c r="G147" s="30" t="str">
        <f aca="false">IF($C147="","",IFERROR(IF(INDEX(links!$A$2:$A$501,MATCH($C147,links!$D$2:$D$501,0))="","",INDEX(links!$A$2:$A$501,MATCH($C147,links!$D$2:$D$501,0))),""))</f>
        <v/>
      </c>
      <c r="H147" s="30" t="str">
        <f aca="false">IF($C147="","",IFERROR(IF(INDEX(links!$B$2:$B$501,MATCH($C147,links!$D$2:$D$501,0))="","",INDEX(links!$B$2:$B$501,MATCH($C147,links!$D$2:$D$501,0))),""))</f>
        <v/>
      </c>
      <c r="I147" s="30" t="str">
        <f aca="false">IF($C147="","",IFERROR(IF(INDEX(links!$C$2:$C$501,MATCH($C147,links!$D$2:$D$501,0))="","",INDEX(links!$C$2:$C$501,MATCH($C147,links!$D$2:$D$501,0))),""))</f>
        <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c r="B148" s="38"/>
      <c r="D148" s="10"/>
      <c r="G148" s="30" t="str">
        <f aca="false">IF($C148="","",IFERROR(IF(INDEX(links!$A$2:$A$501,MATCH($C148,links!$D$2:$D$501,0))="","",INDEX(links!$A$2:$A$501,MATCH($C148,links!$D$2:$D$501,0))),""))</f>
        <v/>
      </c>
      <c r="H148" s="30" t="str">
        <f aca="false">IF($C148="","",IFERROR(IF(INDEX(links!$B$2:$B$501,MATCH($C148,links!$D$2:$D$501,0))="","",INDEX(links!$B$2:$B$501,MATCH($C148,links!$D$2:$D$501,0))),""))</f>
        <v/>
      </c>
      <c r="I148" s="30" t="str">
        <f aca="false">IF($C148="","",IFERROR(IF(INDEX(links!$C$2:$C$501,MATCH($C148,links!$D$2:$D$501,0))="","",INDEX(links!$C$2:$C$501,MATCH($C148,links!$D$2:$D$501,0))),""))</f>
        <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c r="B149" s="38"/>
      <c r="D149" s="10"/>
      <c r="G149" s="30" t="str">
        <f aca="false">IF($C149="","",IFERROR(IF(INDEX(links!$A$2:$A$501,MATCH($C149,links!$D$2:$D$501,0))="","",INDEX(links!$A$2:$A$501,MATCH($C149,links!$D$2:$D$501,0))),""))</f>
        <v/>
      </c>
      <c r="H149" s="30" t="str">
        <f aca="false">IF($C149="","",IFERROR(IF(INDEX(links!$B$2:$B$501,MATCH($C149,links!$D$2:$D$501,0))="","",INDEX(links!$B$2:$B$501,MATCH($C149,links!$D$2:$D$501,0))),""))</f>
        <v/>
      </c>
      <c r="I149" s="30" t="str">
        <f aca="false">IF($C149="","",IFERROR(IF(INDEX(links!$C$2:$C$501,MATCH($C149,links!$D$2:$D$501,0))="","",INDEX(links!$C$2:$C$501,MATCH($C149,links!$D$2:$D$501,0))),""))</f>
        <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c r="B150" s="38"/>
      <c r="D150" s="10"/>
      <c r="G150" s="30" t="str">
        <f aca="false">IF($C150="","",IFERROR(IF(INDEX(links!$A$2:$A$501,MATCH($C150,links!$D$2:$D$501,0))="","",INDEX(links!$A$2:$A$501,MATCH($C150,links!$D$2:$D$501,0))),""))</f>
        <v/>
      </c>
      <c r="H150" s="30" t="str">
        <f aca="false">IF($C150="","",IFERROR(IF(INDEX(links!$B$2:$B$501,MATCH($C150,links!$D$2:$D$501,0))="","",INDEX(links!$B$2:$B$501,MATCH($C150,links!$D$2:$D$501,0))),""))</f>
        <v/>
      </c>
      <c r="I150" s="30" t="str">
        <f aca="false">IF($C150="","",IFERROR(IF(INDEX(links!$C$2:$C$501,MATCH($C150,links!$D$2:$D$501,0))="","",INDEX(links!$C$2:$C$501,MATCH($C150,links!$D$2:$D$501,0))),""))</f>
        <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c r="B151" s="38"/>
      <c r="D151" s="10"/>
      <c r="G151" s="30" t="str">
        <f aca="false">IF($C151="","",IFERROR(IF(INDEX(links!$A$2:$A$501,MATCH($C151,links!$D$2:$D$501,0))="","",INDEX(links!$A$2:$A$501,MATCH($C151,links!$D$2:$D$501,0))),""))</f>
        <v/>
      </c>
      <c r="H151" s="30" t="str">
        <f aca="false">IF($C151="","",IFERROR(IF(INDEX(links!$B$2:$B$501,MATCH($C151,links!$D$2:$D$501,0))="","",INDEX(links!$B$2:$B$501,MATCH($C151,links!$D$2:$D$501,0))),""))</f>
        <v/>
      </c>
      <c r="I151" s="30" t="str">
        <f aca="false">IF($C151="","",IFERROR(IF(INDEX(links!$C$2:$C$501,MATCH($C151,links!$D$2:$D$501,0))="","",INDEX(links!$C$2:$C$501,MATCH($C151,links!$D$2:$D$501,0))),""))</f>
        <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c r="B152" s="38"/>
      <c r="D152" s="10"/>
      <c r="G152" s="30" t="str">
        <f aca="false">IF($C152="","",IFERROR(IF(INDEX(links!$A$2:$A$501,MATCH($C152,links!$D$2:$D$501,0))="","",INDEX(links!$A$2:$A$501,MATCH($C152,links!$D$2:$D$501,0))),""))</f>
        <v/>
      </c>
      <c r="H152" s="30" t="str">
        <f aca="false">IF($C152="","",IFERROR(IF(INDEX(links!$B$2:$B$501,MATCH($C152,links!$D$2:$D$501,0))="","",INDEX(links!$B$2:$B$501,MATCH($C152,links!$D$2:$D$501,0))),""))</f>
        <v/>
      </c>
      <c r="I152" s="30" t="str">
        <f aca="false">IF($C152="","",IFERROR(IF(INDEX(links!$C$2:$C$501,MATCH($C152,links!$D$2:$D$501,0))="","",INDEX(links!$C$2:$C$501,MATCH($C152,links!$D$2:$D$501,0))),""))</f>
        <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c r="B153" s="38"/>
      <c r="D153" s="10"/>
      <c r="G153" s="30" t="str">
        <f aca="false">IF($C153="","",IFERROR(IF(INDEX(links!$A$2:$A$501,MATCH($C153,links!$D$2:$D$501,0))="","",INDEX(links!$A$2:$A$501,MATCH($C153,links!$D$2:$D$501,0))),""))</f>
        <v/>
      </c>
      <c r="H153" s="30" t="str">
        <f aca="false">IF($C153="","",IFERROR(IF(INDEX(links!$B$2:$B$501,MATCH($C153,links!$D$2:$D$501,0))="","",INDEX(links!$B$2:$B$501,MATCH($C153,links!$D$2:$D$501,0))),""))</f>
        <v/>
      </c>
      <c r="I153" s="30" t="str">
        <f aca="false">IF($C153="","",IFERROR(IF(INDEX(links!$C$2:$C$501,MATCH($C153,links!$D$2:$D$501,0))="","",INDEX(links!$C$2:$C$501,MATCH($C153,links!$D$2:$D$501,0))),""))</f>
        <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c r="B154" s="38"/>
      <c r="D154" s="10"/>
      <c r="G154" s="30" t="str">
        <f aca="false">IF($C154="","",IFERROR(IF(INDEX(links!$A$2:$A$501,MATCH($C154,links!$D$2:$D$501,0))="","",INDEX(links!$A$2:$A$501,MATCH($C154,links!$D$2:$D$501,0))),""))</f>
        <v/>
      </c>
      <c r="H154" s="30" t="str">
        <f aca="false">IF($C154="","",IFERROR(IF(INDEX(links!$B$2:$B$501,MATCH($C154,links!$D$2:$D$501,0))="","",INDEX(links!$B$2:$B$501,MATCH($C154,links!$D$2:$D$501,0))),""))</f>
        <v/>
      </c>
      <c r="I154" s="30" t="str">
        <f aca="false">IF($C154="","",IFERROR(IF(INDEX(links!$C$2:$C$501,MATCH($C154,links!$D$2:$D$501,0))="","",INDEX(links!$C$2:$C$501,MATCH($C154,links!$D$2:$D$501,0))),""))</f>
        <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c r="B155" s="38"/>
      <c r="D155" s="10"/>
      <c r="G155" s="30" t="str">
        <f aca="false">IF($C155="","",IFERROR(IF(INDEX(links!$A$2:$A$501,MATCH($C155,links!$D$2:$D$501,0))="","",INDEX(links!$A$2:$A$501,MATCH($C155,links!$D$2:$D$501,0))),""))</f>
        <v/>
      </c>
      <c r="H155" s="30" t="str">
        <f aca="false">IF($C155="","",IFERROR(IF(INDEX(links!$B$2:$B$501,MATCH($C155,links!$D$2:$D$501,0))="","",INDEX(links!$B$2:$B$501,MATCH($C155,links!$D$2:$D$501,0))),""))</f>
        <v/>
      </c>
      <c r="I155" s="30" t="str">
        <f aca="false">IF($C155="","",IFERROR(IF(INDEX(links!$C$2:$C$501,MATCH($C155,links!$D$2:$D$501,0))="","",INDEX(links!$C$2:$C$501,MATCH($C155,links!$D$2:$D$501,0))),""))</f>
        <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c r="B156" s="38"/>
      <c r="D156" s="10"/>
      <c r="G156" s="30" t="str">
        <f aca="false">IF($C156="","",IFERROR(IF(INDEX(links!$A$2:$A$501,MATCH($C156,links!$D$2:$D$501,0))="","",INDEX(links!$A$2:$A$501,MATCH($C156,links!$D$2:$D$501,0))),""))</f>
        <v/>
      </c>
      <c r="H156" s="30" t="str">
        <f aca="false">IF($C156="","",IFERROR(IF(INDEX(links!$B$2:$B$501,MATCH($C156,links!$D$2:$D$501,0))="","",INDEX(links!$B$2:$B$501,MATCH($C156,links!$D$2:$D$501,0))),""))</f>
        <v/>
      </c>
      <c r="I156" s="30" t="str">
        <f aca="false">IF($C156="","",IFERROR(IF(INDEX(links!$C$2:$C$501,MATCH($C156,links!$D$2:$D$501,0))="","",INDEX(links!$C$2:$C$501,MATCH($C156,links!$D$2:$D$501,0))),""))</f>
        <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c r="B157" s="38"/>
      <c r="D157" s="10"/>
      <c r="G157" s="30" t="str">
        <f aca="false">IF($C157="","",IFERROR(IF(INDEX(links!$A$2:$A$501,MATCH($C157,links!$D$2:$D$501,0))="","",INDEX(links!$A$2:$A$501,MATCH($C157,links!$D$2:$D$501,0))),""))</f>
        <v/>
      </c>
      <c r="H157" s="30" t="str">
        <f aca="false">IF($C157="","",IFERROR(IF(INDEX(links!$B$2:$B$501,MATCH($C157,links!$D$2:$D$501,0))="","",INDEX(links!$B$2:$B$501,MATCH($C157,links!$D$2:$D$501,0))),""))</f>
        <v/>
      </c>
      <c r="I157" s="30" t="str">
        <f aca="false">IF($C157="","",IFERROR(IF(INDEX(links!$C$2:$C$501,MATCH($C157,links!$D$2:$D$501,0))="","",INDEX(links!$C$2:$C$501,MATCH($C157,links!$D$2:$D$501,0))),""))</f>
        <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c r="B158" s="38"/>
      <c r="D158" s="10"/>
      <c r="G158" s="30" t="str">
        <f aca="false">IF($C158="","",IFERROR(IF(INDEX(links!$A$2:$A$501,MATCH($C158,links!$D$2:$D$501,0))="","",INDEX(links!$A$2:$A$501,MATCH($C158,links!$D$2:$D$501,0))),""))</f>
        <v/>
      </c>
      <c r="H158" s="30" t="str">
        <f aca="false">IF($C158="","",IFERROR(IF(INDEX(links!$B$2:$B$501,MATCH($C158,links!$D$2:$D$501,0))="","",INDEX(links!$B$2:$B$501,MATCH($C158,links!$D$2:$D$501,0))),""))</f>
        <v/>
      </c>
      <c r="I158" s="30" t="str">
        <f aca="false">IF($C158="","",IFERROR(IF(INDEX(links!$C$2:$C$501,MATCH($C158,links!$D$2:$D$501,0))="","",INDEX(links!$C$2:$C$501,MATCH($C158,links!$D$2:$D$501,0))),""))</f>
        <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c r="B159" s="38"/>
      <c r="D159" s="10"/>
      <c r="G159" s="30" t="str">
        <f aca="false">IF($C159="","",IFERROR(IF(INDEX(links!$A$2:$A$501,MATCH($C159,links!$D$2:$D$501,0))="","",INDEX(links!$A$2:$A$501,MATCH($C159,links!$D$2:$D$501,0))),""))</f>
        <v/>
      </c>
      <c r="H159" s="30" t="str">
        <f aca="false">IF($C159="","",IFERROR(IF(INDEX(links!$B$2:$B$501,MATCH($C159,links!$D$2:$D$501,0))="","",INDEX(links!$B$2:$B$501,MATCH($C159,links!$D$2:$D$501,0))),""))</f>
        <v/>
      </c>
      <c r="I159" s="30" t="str">
        <f aca="false">IF($C159="","",IFERROR(IF(INDEX(links!$C$2:$C$501,MATCH($C159,links!$D$2:$D$501,0))="","",INDEX(links!$C$2:$C$501,MATCH($C159,links!$D$2:$D$501,0))),""))</f>
        <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c r="B160" s="38"/>
      <c r="D160" s="10"/>
      <c r="G160" s="30" t="str">
        <f aca="false">IF($C160="","",IFERROR(IF(INDEX(links!$A$2:$A$501,MATCH($C160,links!$D$2:$D$501,0))="","",INDEX(links!$A$2:$A$501,MATCH($C160,links!$D$2:$D$501,0))),""))</f>
        <v/>
      </c>
      <c r="H160" s="30" t="str">
        <f aca="false">IF($C160="","",IFERROR(IF(INDEX(links!$B$2:$B$501,MATCH($C160,links!$D$2:$D$501,0))="","",INDEX(links!$B$2:$B$501,MATCH($C160,links!$D$2:$D$501,0))),""))</f>
        <v/>
      </c>
      <c r="I160" s="30" t="str">
        <f aca="false">IF($C160="","",IFERROR(IF(INDEX(links!$C$2:$C$501,MATCH($C160,links!$D$2:$D$501,0))="","",INDEX(links!$C$2:$C$501,MATCH($C160,links!$D$2:$D$501,0))),""))</f>
        <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c r="B161" s="38"/>
      <c r="D161" s="10"/>
      <c r="G161" s="30" t="str">
        <f aca="false">IF($C161="","",IFERROR(IF(INDEX(links!$A$2:$A$501,MATCH($C161,links!$D$2:$D$501,0))="","",INDEX(links!$A$2:$A$501,MATCH($C161,links!$D$2:$D$501,0))),""))</f>
        <v/>
      </c>
      <c r="H161" s="30" t="str">
        <f aca="false">IF($C161="","",IFERROR(IF(INDEX(links!$B$2:$B$501,MATCH($C161,links!$D$2:$D$501,0))="","",INDEX(links!$B$2:$B$501,MATCH($C161,links!$D$2:$D$501,0))),""))</f>
        <v/>
      </c>
      <c r="I161" s="30" t="str">
        <f aca="false">IF($C161="","",IFERROR(IF(INDEX(links!$C$2:$C$501,MATCH($C161,links!$D$2:$D$501,0))="","",INDEX(links!$C$2:$C$501,MATCH($C161,links!$D$2:$D$501,0))),""))</f>
        <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c r="B162" s="38"/>
      <c r="D162" s="10"/>
      <c r="G162" s="30" t="str">
        <f aca="false">IF($C162="","",IFERROR(IF(INDEX(links!$A$2:$A$501,MATCH($C162,links!$D$2:$D$501,0))="","",INDEX(links!$A$2:$A$501,MATCH($C162,links!$D$2:$D$501,0))),""))</f>
        <v/>
      </c>
      <c r="H162" s="30" t="str">
        <f aca="false">IF($C162="","",IFERROR(IF(INDEX(links!$B$2:$B$501,MATCH($C162,links!$D$2:$D$501,0))="","",INDEX(links!$B$2:$B$501,MATCH($C162,links!$D$2:$D$501,0))),""))</f>
        <v/>
      </c>
      <c r="I162" s="30" t="str">
        <f aca="false">IF($C162="","",IFERROR(IF(INDEX(links!$C$2:$C$501,MATCH($C162,links!$D$2:$D$501,0))="","",INDEX(links!$C$2:$C$501,MATCH($C162,links!$D$2:$D$501,0))),""))</f>
        <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c r="B163" s="38"/>
      <c r="D163" s="10"/>
      <c r="G163" s="30" t="str">
        <f aca="false">IF($C163="","",IFERROR(IF(INDEX(links!$A$2:$A$501,MATCH($C163,links!$D$2:$D$501,0))="","",INDEX(links!$A$2:$A$501,MATCH($C163,links!$D$2:$D$501,0))),""))</f>
        <v/>
      </c>
      <c r="H163" s="30" t="str">
        <f aca="false">IF($C163="","",IFERROR(IF(INDEX(links!$B$2:$B$501,MATCH($C163,links!$D$2:$D$501,0))="","",INDEX(links!$B$2:$B$501,MATCH($C163,links!$D$2:$D$501,0))),""))</f>
        <v/>
      </c>
      <c r="I163" s="30" t="str">
        <f aca="false">IF($C163="","",IFERROR(IF(INDEX(links!$C$2:$C$501,MATCH($C163,links!$D$2:$D$501,0))="","",INDEX(links!$C$2:$C$501,MATCH($C163,links!$D$2:$D$501,0))),""))</f>
        <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c r="B164" s="38"/>
      <c r="D164" s="10"/>
      <c r="G164" s="30" t="str">
        <f aca="false">IF($C164="","",IFERROR(IF(INDEX(links!$A$2:$A$501,MATCH($C164,links!$D$2:$D$501,0))="","",INDEX(links!$A$2:$A$501,MATCH($C164,links!$D$2:$D$501,0))),""))</f>
        <v/>
      </c>
      <c r="H164" s="30" t="str">
        <f aca="false">IF($C164="","",IFERROR(IF(INDEX(links!$B$2:$B$501,MATCH($C164,links!$D$2:$D$501,0))="","",INDEX(links!$B$2:$B$501,MATCH($C164,links!$D$2:$D$501,0))),""))</f>
        <v/>
      </c>
      <c r="I164" s="30" t="str">
        <f aca="false">IF($C164="","",IFERROR(IF(INDEX(links!$C$2:$C$501,MATCH($C164,links!$D$2:$D$501,0))="","",INDEX(links!$C$2:$C$501,MATCH($C164,links!$D$2:$D$501,0))),""))</f>
        <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c r="B165" s="38"/>
      <c r="D165" s="10"/>
      <c r="G165" s="30" t="str">
        <f aca="false">IF($C165="","",IFERROR(IF(INDEX(links!$A$2:$A$501,MATCH($C165,links!$D$2:$D$501,0))="","",INDEX(links!$A$2:$A$501,MATCH($C165,links!$D$2:$D$501,0))),""))</f>
        <v/>
      </c>
      <c r="H165" s="30" t="str">
        <f aca="false">IF($C165="","",IFERROR(IF(INDEX(links!$B$2:$B$501,MATCH($C165,links!$D$2:$D$501,0))="","",INDEX(links!$B$2:$B$501,MATCH($C165,links!$D$2:$D$501,0))),""))</f>
        <v/>
      </c>
      <c r="I165" s="30" t="str">
        <f aca="false">IF($C165="","",IFERROR(IF(INDEX(links!$C$2:$C$501,MATCH($C165,links!$D$2:$D$501,0))="","",INDEX(links!$C$2:$C$501,MATCH($C165,links!$D$2:$D$501,0))),""))</f>
        <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c r="B166" s="38"/>
      <c r="D166" s="10"/>
      <c r="G166" s="30" t="str">
        <f aca="false">IF($C166="","",IFERROR(IF(INDEX(links!$A$2:$A$501,MATCH($C166,links!$D$2:$D$501,0))="","",INDEX(links!$A$2:$A$501,MATCH($C166,links!$D$2:$D$501,0))),""))</f>
        <v/>
      </c>
      <c r="H166" s="30" t="str">
        <f aca="false">IF($C166="","",IFERROR(IF(INDEX(links!$B$2:$B$501,MATCH($C166,links!$D$2:$D$501,0))="","",INDEX(links!$B$2:$B$501,MATCH($C166,links!$D$2:$D$501,0))),""))</f>
        <v/>
      </c>
      <c r="I166" s="30" t="str">
        <f aca="false">IF($C166="","",IFERROR(IF(INDEX(links!$C$2:$C$501,MATCH($C166,links!$D$2:$D$501,0))="","",INDEX(links!$C$2:$C$501,MATCH($C166,links!$D$2:$D$501,0))),""))</f>
        <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c r="B167" s="38"/>
      <c r="D167" s="10"/>
      <c r="G167" s="30" t="str">
        <f aca="false">IF($C167="","",IFERROR(IF(INDEX(links!$A$2:$A$501,MATCH($C167,links!$D$2:$D$501,0))="","",INDEX(links!$A$2:$A$501,MATCH($C167,links!$D$2:$D$501,0))),""))</f>
        <v/>
      </c>
      <c r="H167" s="30" t="str">
        <f aca="false">IF($C167="","",IFERROR(IF(INDEX(links!$B$2:$B$501,MATCH($C167,links!$D$2:$D$501,0))="","",INDEX(links!$B$2:$B$501,MATCH($C167,links!$D$2:$D$501,0))),""))</f>
        <v/>
      </c>
      <c r="I167" s="30" t="str">
        <f aca="false">IF($C167="","",IFERROR(IF(INDEX(links!$C$2:$C$501,MATCH($C167,links!$D$2:$D$501,0))="","",INDEX(links!$C$2:$C$501,MATCH($C167,links!$D$2:$D$501,0))),""))</f>
        <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c r="B168" s="38"/>
      <c r="D168" s="10"/>
      <c r="G168" s="30" t="str">
        <f aca="false">IF($C168="","",IFERROR(IF(INDEX(links!$A$2:$A$501,MATCH($C168,links!$D$2:$D$501,0))="","",INDEX(links!$A$2:$A$501,MATCH($C168,links!$D$2:$D$501,0))),""))</f>
        <v/>
      </c>
      <c r="H168" s="30" t="str">
        <f aca="false">IF($C168="","",IFERROR(IF(INDEX(links!$B$2:$B$501,MATCH($C168,links!$D$2:$D$501,0))="","",INDEX(links!$B$2:$B$501,MATCH($C168,links!$D$2:$D$501,0))),""))</f>
        <v/>
      </c>
      <c r="I168" s="30" t="str">
        <f aca="false">IF($C168="","",IFERROR(IF(INDEX(links!$C$2:$C$501,MATCH($C168,links!$D$2:$D$501,0))="","",INDEX(links!$C$2:$C$501,MATCH($C168,links!$D$2:$D$501,0))),""))</f>
        <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c r="B169" s="38"/>
      <c r="D169" s="10"/>
      <c r="G169" s="30" t="str">
        <f aca="false">IF($C169="","",IFERROR(IF(INDEX(links!$A$2:$A$501,MATCH($C169,links!$D$2:$D$501,0))="","",INDEX(links!$A$2:$A$501,MATCH($C169,links!$D$2:$D$501,0))),""))</f>
        <v/>
      </c>
      <c r="H169" s="30" t="str">
        <f aca="false">IF($C169="","",IFERROR(IF(INDEX(links!$B$2:$B$501,MATCH($C169,links!$D$2:$D$501,0))="","",INDEX(links!$B$2:$B$501,MATCH($C169,links!$D$2:$D$501,0))),""))</f>
        <v/>
      </c>
      <c r="I169" s="30" t="str">
        <f aca="false">IF($C169="","",IFERROR(IF(INDEX(links!$C$2:$C$501,MATCH($C169,links!$D$2:$D$501,0))="","",INDEX(links!$C$2:$C$501,MATCH($C169,links!$D$2:$D$501,0))),""))</f>
        <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c r="B170" s="38"/>
      <c r="D170" s="10"/>
      <c r="G170" s="30" t="str">
        <f aca="false">IF($C170="","",IFERROR(IF(INDEX(links!$A$2:$A$501,MATCH($C170,links!$D$2:$D$501,0))="","",INDEX(links!$A$2:$A$501,MATCH($C170,links!$D$2:$D$501,0))),""))</f>
        <v/>
      </c>
      <c r="H170" s="30" t="str">
        <f aca="false">IF($C170="","",IFERROR(IF(INDEX(links!$B$2:$B$501,MATCH($C170,links!$D$2:$D$501,0))="","",INDEX(links!$B$2:$B$501,MATCH($C170,links!$D$2:$D$501,0))),""))</f>
        <v/>
      </c>
      <c r="I170" s="30" t="str">
        <f aca="false">IF($C170="","",IFERROR(IF(INDEX(links!$C$2:$C$501,MATCH($C170,links!$D$2:$D$501,0))="","",INDEX(links!$C$2:$C$501,MATCH($C170,links!$D$2:$D$501,0))),""))</f>
        <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c r="B171" s="38"/>
      <c r="D171" s="10"/>
      <c r="G171" s="30" t="str">
        <f aca="false">IF($C171="","",IFERROR(IF(INDEX(links!$A$2:$A$501,MATCH($C171,links!$D$2:$D$501,0))="","",INDEX(links!$A$2:$A$501,MATCH($C171,links!$D$2:$D$501,0))),""))</f>
        <v/>
      </c>
      <c r="H171" s="30" t="str">
        <f aca="false">IF($C171="","",IFERROR(IF(INDEX(links!$B$2:$B$501,MATCH($C171,links!$D$2:$D$501,0))="","",INDEX(links!$B$2:$B$501,MATCH($C171,links!$D$2:$D$501,0))),""))</f>
        <v/>
      </c>
      <c r="I171" s="30" t="str">
        <f aca="false">IF($C171="","",IFERROR(IF(INDEX(links!$C$2:$C$501,MATCH($C171,links!$D$2:$D$501,0))="","",INDEX(links!$C$2:$C$501,MATCH($C171,links!$D$2:$D$501,0))),""))</f>
        <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c r="B172" s="38"/>
      <c r="D172" s="10"/>
      <c r="G172" s="30" t="str">
        <f aca="false">IF($C172="","",IFERROR(IF(INDEX(links!$A$2:$A$501,MATCH($C172,links!$D$2:$D$501,0))="","",INDEX(links!$A$2:$A$501,MATCH($C172,links!$D$2:$D$501,0))),""))</f>
        <v/>
      </c>
      <c r="H172" s="30" t="str">
        <f aca="false">IF($C172="","",IFERROR(IF(INDEX(links!$B$2:$B$501,MATCH($C172,links!$D$2:$D$501,0))="","",INDEX(links!$B$2:$B$501,MATCH($C172,links!$D$2:$D$501,0))),""))</f>
        <v/>
      </c>
      <c r="I172" s="30" t="str">
        <f aca="false">IF($C172="","",IFERROR(IF(INDEX(links!$C$2:$C$501,MATCH($C172,links!$D$2:$D$501,0))="","",INDEX(links!$C$2:$C$501,MATCH($C172,links!$D$2:$D$501,0))),""))</f>
        <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c r="B173" s="38"/>
      <c r="D173" s="10"/>
      <c r="G173" s="30" t="str">
        <f aca="false">IF($C173="","",IFERROR(IF(INDEX(links!$A$2:$A$501,MATCH($C173,links!$D$2:$D$501,0))="","",INDEX(links!$A$2:$A$501,MATCH($C173,links!$D$2:$D$501,0))),""))</f>
        <v/>
      </c>
      <c r="H173" s="30" t="str">
        <f aca="false">IF($C173="","",IFERROR(IF(INDEX(links!$B$2:$B$501,MATCH($C173,links!$D$2:$D$501,0))="","",INDEX(links!$B$2:$B$501,MATCH($C173,links!$D$2:$D$501,0))),""))</f>
        <v/>
      </c>
      <c r="I173" s="30" t="str">
        <f aca="false">IF($C173="","",IFERROR(IF(INDEX(links!$C$2:$C$501,MATCH($C173,links!$D$2:$D$501,0))="","",INDEX(links!$C$2:$C$501,MATCH($C173,links!$D$2:$D$501,0))),""))</f>
        <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c r="B174" s="38"/>
      <c r="D174" s="10"/>
      <c r="G174" s="30" t="str">
        <f aca="false">IF($C174="","",IFERROR(IF(INDEX(links!$A$2:$A$501,MATCH($C174,links!$D$2:$D$501,0))="","",INDEX(links!$A$2:$A$501,MATCH($C174,links!$D$2:$D$501,0))),""))</f>
        <v/>
      </c>
      <c r="H174" s="30" t="str">
        <f aca="false">IF($C174="","",IFERROR(IF(INDEX(links!$B$2:$B$501,MATCH($C174,links!$D$2:$D$501,0))="","",INDEX(links!$B$2:$B$501,MATCH($C174,links!$D$2:$D$501,0))),""))</f>
        <v/>
      </c>
      <c r="I174" s="30" t="str">
        <f aca="false">IF($C174="","",IFERROR(IF(INDEX(links!$C$2:$C$501,MATCH($C174,links!$D$2:$D$501,0))="","",INDEX(links!$C$2:$C$501,MATCH($C174,links!$D$2:$D$501,0))),""))</f>
        <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c r="B175" s="38"/>
      <c r="D175" s="10"/>
      <c r="G175" s="30" t="str">
        <f aca="false">IF($C175="","",IFERROR(IF(INDEX(links!$A$2:$A$501,MATCH($C175,links!$D$2:$D$501,0))="","",INDEX(links!$A$2:$A$501,MATCH($C175,links!$D$2:$D$501,0))),""))</f>
        <v/>
      </c>
      <c r="H175" s="30" t="str">
        <f aca="false">IF($C175="","",IFERROR(IF(INDEX(links!$B$2:$B$501,MATCH($C175,links!$D$2:$D$501,0))="","",INDEX(links!$B$2:$B$501,MATCH($C175,links!$D$2:$D$501,0))),""))</f>
        <v/>
      </c>
      <c r="I175" s="30" t="str">
        <f aca="false">IF($C175="","",IFERROR(IF(INDEX(links!$C$2:$C$501,MATCH($C175,links!$D$2:$D$501,0))="","",INDEX(links!$C$2:$C$501,MATCH($C175,links!$D$2:$D$501,0))),""))</f>
        <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c r="B176" s="38"/>
      <c r="D176" s="10"/>
      <c r="G176" s="30" t="str">
        <f aca="false">IF($C176="","",IFERROR(IF(INDEX(links!$A$2:$A$501,MATCH($C176,links!$D$2:$D$501,0))="","",INDEX(links!$A$2:$A$501,MATCH($C176,links!$D$2:$D$501,0))),""))</f>
        <v/>
      </c>
      <c r="H176" s="30" t="str">
        <f aca="false">IF($C176="","",IFERROR(IF(INDEX(links!$B$2:$B$501,MATCH($C176,links!$D$2:$D$501,0))="","",INDEX(links!$B$2:$B$501,MATCH($C176,links!$D$2:$D$501,0))),""))</f>
        <v/>
      </c>
      <c r="I176" s="30" t="str">
        <f aca="false">IF($C176="","",IFERROR(IF(INDEX(links!$C$2:$C$501,MATCH($C176,links!$D$2:$D$501,0))="","",INDEX(links!$C$2:$C$501,MATCH($C176,links!$D$2:$D$501,0))),""))</f>
        <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c r="B177" s="38"/>
      <c r="D177" s="10"/>
      <c r="G177" s="30" t="str">
        <f aca="false">IF($C177="","",IFERROR(IF(INDEX(links!$A$2:$A$501,MATCH($C177,links!$D$2:$D$501,0))="","",INDEX(links!$A$2:$A$501,MATCH($C177,links!$D$2:$D$501,0))),""))</f>
        <v/>
      </c>
      <c r="H177" s="30" t="str">
        <f aca="false">IF($C177="","",IFERROR(IF(INDEX(links!$B$2:$B$501,MATCH($C177,links!$D$2:$D$501,0))="","",INDEX(links!$B$2:$B$501,MATCH($C177,links!$D$2:$D$501,0))),""))</f>
        <v/>
      </c>
      <c r="I177" s="30" t="str">
        <f aca="false">IF($C177="","",IFERROR(IF(INDEX(links!$C$2:$C$501,MATCH($C177,links!$D$2:$D$501,0))="","",INDEX(links!$C$2:$C$501,MATCH($C177,links!$D$2:$D$501,0))),""))</f>
        <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c r="B178" s="38"/>
      <c r="D178" s="10"/>
      <c r="G178" s="30" t="str">
        <f aca="false">IF($C178="","",IFERROR(IF(INDEX(links!$A$2:$A$501,MATCH($C178,links!$D$2:$D$501,0))="","",INDEX(links!$A$2:$A$501,MATCH($C178,links!$D$2:$D$501,0))),""))</f>
        <v/>
      </c>
      <c r="H178" s="30" t="str">
        <f aca="false">IF($C178="","",IFERROR(IF(INDEX(links!$B$2:$B$501,MATCH($C178,links!$D$2:$D$501,0))="","",INDEX(links!$B$2:$B$501,MATCH($C178,links!$D$2:$D$501,0))),""))</f>
        <v/>
      </c>
      <c r="I178" s="30" t="str">
        <f aca="false">IF($C178="","",IFERROR(IF(INDEX(links!$C$2:$C$501,MATCH($C178,links!$D$2:$D$501,0))="","",INDEX(links!$C$2:$C$501,MATCH($C178,links!$D$2:$D$501,0))),""))</f>
        <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c r="B179" s="38"/>
      <c r="D179" s="10"/>
      <c r="G179" s="30" t="str">
        <f aca="false">IF($C179="","",IFERROR(IF(INDEX(links!$A$2:$A$501,MATCH($C179,links!$D$2:$D$501,0))="","",INDEX(links!$A$2:$A$501,MATCH($C179,links!$D$2:$D$501,0))),""))</f>
        <v/>
      </c>
      <c r="H179" s="30" t="str">
        <f aca="false">IF($C179="","",IFERROR(IF(INDEX(links!$B$2:$B$501,MATCH($C179,links!$D$2:$D$501,0))="","",INDEX(links!$B$2:$B$501,MATCH($C179,links!$D$2:$D$501,0))),""))</f>
        <v/>
      </c>
      <c r="I179" s="30" t="str">
        <f aca="false">IF($C179="","",IFERROR(IF(INDEX(links!$C$2:$C$501,MATCH($C179,links!$D$2:$D$501,0))="","",INDEX(links!$C$2:$C$501,MATCH($C179,links!$D$2:$D$501,0))),""))</f>
        <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c r="B180" s="38"/>
      <c r="D180" s="10"/>
      <c r="G180" s="30" t="str">
        <f aca="false">IF($C180="","",IFERROR(IF(INDEX(links!$A$2:$A$501,MATCH($C180,links!$D$2:$D$501,0))="","",INDEX(links!$A$2:$A$501,MATCH($C180,links!$D$2:$D$501,0))),""))</f>
        <v/>
      </c>
      <c r="H180" s="30" t="str">
        <f aca="false">IF($C180="","",IFERROR(IF(INDEX(links!$B$2:$B$501,MATCH($C180,links!$D$2:$D$501,0))="","",INDEX(links!$B$2:$B$501,MATCH($C180,links!$D$2:$D$501,0))),""))</f>
        <v/>
      </c>
      <c r="I180" s="30" t="str">
        <f aca="false">IF($C180="","",IFERROR(IF(INDEX(links!$C$2:$C$501,MATCH($C180,links!$D$2:$D$501,0))="","",INDEX(links!$C$2:$C$501,MATCH($C180,links!$D$2:$D$501,0))),""))</f>
        <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c r="B181" s="38"/>
      <c r="D181" s="10"/>
      <c r="G181" s="30" t="str">
        <f aca="false">IF($C181="","",IFERROR(IF(INDEX(links!$A$2:$A$501,MATCH($C181,links!$D$2:$D$501,0))="","",INDEX(links!$A$2:$A$501,MATCH($C181,links!$D$2:$D$501,0))),""))</f>
        <v/>
      </c>
      <c r="H181" s="30" t="str">
        <f aca="false">IF($C181="","",IFERROR(IF(INDEX(links!$B$2:$B$501,MATCH($C181,links!$D$2:$D$501,0))="","",INDEX(links!$B$2:$B$501,MATCH($C181,links!$D$2:$D$501,0))),""))</f>
        <v/>
      </c>
      <c r="I181" s="30" t="str">
        <f aca="false">IF($C181="","",IFERROR(IF(INDEX(links!$C$2:$C$501,MATCH($C181,links!$D$2:$D$501,0))="","",INDEX(links!$C$2:$C$501,MATCH($C181,links!$D$2:$D$501,0))),""))</f>
        <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c r="B182" s="38"/>
      <c r="D182" s="10"/>
      <c r="G182" s="30" t="str">
        <f aca="false">IF($C182="","",IFERROR(IF(INDEX(links!$A$2:$A$501,MATCH($C182,links!$D$2:$D$501,0))="","",INDEX(links!$A$2:$A$501,MATCH($C182,links!$D$2:$D$501,0))),""))</f>
        <v/>
      </c>
      <c r="H182" s="30" t="str">
        <f aca="false">IF($C182="","",IFERROR(IF(INDEX(links!$B$2:$B$501,MATCH($C182,links!$D$2:$D$501,0))="","",INDEX(links!$B$2:$B$501,MATCH($C182,links!$D$2:$D$501,0))),""))</f>
        <v/>
      </c>
      <c r="I182" s="30" t="str">
        <f aca="false">IF($C182="","",IFERROR(IF(INDEX(links!$C$2:$C$501,MATCH($C182,links!$D$2:$D$501,0))="","",INDEX(links!$C$2:$C$501,MATCH($C182,links!$D$2:$D$501,0))),""))</f>
        <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c r="B183" s="38"/>
      <c r="D183" s="10"/>
      <c r="G183" s="30" t="str">
        <f aca="false">IF($C183="","",IFERROR(IF(INDEX(links!$A$2:$A$501,MATCH($C183,links!$D$2:$D$501,0))="","",INDEX(links!$A$2:$A$501,MATCH($C183,links!$D$2:$D$501,0))),""))</f>
        <v/>
      </c>
      <c r="H183" s="30" t="str">
        <f aca="false">IF($C183="","",IFERROR(IF(INDEX(links!$B$2:$B$501,MATCH($C183,links!$D$2:$D$501,0))="","",INDEX(links!$B$2:$B$501,MATCH($C183,links!$D$2:$D$501,0))),""))</f>
        <v/>
      </c>
      <c r="I183" s="30" t="str">
        <f aca="false">IF($C183="","",IFERROR(IF(INDEX(links!$C$2:$C$501,MATCH($C183,links!$D$2:$D$501,0))="","",INDEX(links!$C$2:$C$501,MATCH($C183,links!$D$2:$D$501,0))),""))</f>
        <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c r="B184" s="38"/>
      <c r="D184" s="10"/>
      <c r="G184" s="30" t="str">
        <f aca="false">IF($C184="","",IFERROR(IF(INDEX(links!$A$2:$A$501,MATCH($C184,links!$D$2:$D$501,0))="","",INDEX(links!$A$2:$A$501,MATCH($C184,links!$D$2:$D$501,0))),""))</f>
        <v/>
      </c>
      <c r="H184" s="30" t="str">
        <f aca="false">IF($C184="","",IFERROR(IF(INDEX(links!$B$2:$B$501,MATCH($C184,links!$D$2:$D$501,0))="","",INDEX(links!$B$2:$B$501,MATCH($C184,links!$D$2:$D$501,0))),""))</f>
        <v/>
      </c>
      <c r="I184" s="30" t="str">
        <f aca="false">IF($C184="","",IFERROR(IF(INDEX(links!$C$2:$C$501,MATCH($C184,links!$D$2:$D$501,0))="","",INDEX(links!$C$2:$C$501,MATCH($C184,links!$D$2:$D$501,0))),""))</f>
        <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c r="B185" s="38"/>
      <c r="D185" s="10"/>
      <c r="G185" s="30" t="str">
        <f aca="false">IF($C185="","",IFERROR(IF(INDEX(links!$A$2:$A$501,MATCH($C185,links!$D$2:$D$501,0))="","",INDEX(links!$A$2:$A$501,MATCH($C185,links!$D$2:$D$501,0))),""))</f>
        <v/>
      </c>
      <c r="H185" s="30" t="str">
        <f aca="false">IF($C185="","",IFERROR(IF(INDEX(links!$B$2:$B$501,MATCH($C185,links!$D$2:$D$501,0))="","",INDEX(links!$B$2:$B$501,MATCH($C185,links!$D$2:$D$501,0))),""))</f>
        <v/>
      </c>
      <c r="I185" s="30" t="str">
        <f aca="false">IF($C185="","",IFERROR(IF(INDEX(links!$C$2:$C$501,MATCH($C185,links!$D$2:$D$501,0))="","",INDEX(links!$C$2:$C$501,MATCH($C185,links!$D$2:$D$501,0))),""))</f>
        <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c r="B186" s="38"/>
      <c r="D186" s="10"/>
      <c r="G186" s="30" t="str">
        <f aca="false">IF($C186="","",IFERROR(IF(INDEX(links!$A$2:$A$501,MATCH($C186,links!$D$2:$D$501,0))="","",INDEX(links!$A$2:$A$501,MATCH($C186,links!$D$2:$D$501,0))),""))</f>
        <v/>
      </c>
      <c r="H186" s="30" t="str">
        <f aca="false">IF($C186="","",IFERROR(IF(INDEX(links!$B$2:$B$501,MATCH($C186,links!$D$2:$D$501,0))="","",INDEX(links!$B$2:$B$501,MATCH($C186,links!$D$2:$D$501,0))),""))</f>
        <v/>
      </c>
      <c r="I186" s="30" t="str">
        <f aca="false">IF($C186="","",IFERROR(IF(INDEX(links!$C$2:$C$501,MATCH($C186,links!$D$2:$D$501,0))="","",INDEX(links!$C$2:$C$501,MATCH($C186,links!$D$2:$D$501,0))),""))</f>
        <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c r="B187" s="38"/>
      <c r="D187" s="10"/>
      <c r="G187" s="30" t="str">
        <f aca="false">IF($C187="","",IFERROR(IF(INDEX(links!$A$2:$A$501,MATCH($C187,links!$D$2:$D$501,0))="","",INDEX(links!$A$2:$A$501,MATCH($C187,links!$D$2:$D$501,0))),""))</f>
        <v/>
      </c>
      <c r="H187" s="30" t="str">
        <f aca="false">IF($C187="","",IFERROR(IF(INDEX(links!$B$2:$B$501,MATCH($C187,links!$D$2:$D$501,0))="","",INDEX(links!$B$2:$B$501,MATCH($C187,links!$D$2:$D$501,0))),""))</f>
        <v/>
      </c>
      <c r="I187" s="30" t="str">
        <f aca="false">IF($C187="","",IFERROR(IF(INDEX(links!$C$2:$C$501,MATCH($C187,links!$D$2:$D$501,0))="","",INDEX(links!$C$2:$C$501,MATCH($C187,links!$D$2:$D$501,0))),""))</f>
        <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c r="B188" s="38"/>
      <c r="D188" s="10"/>
      <c r="G188" s="30" t="str">
        <f aca="false">IF($C188="","",IFERROR(IF(INDEX(links!$A$2:$A$501,MATCH($C188,links!$D$2:$D$501,0))="","",INDEX(links!$A$2:$A$501,MATCH($C188,links!$D$2:$D$501,0))),""))</f>
        <v/>
      </c>
      <c r="H188" s="30" t="str">
        <f aca="false">IF($C188="","",IFERROR(IF(INDEX(links!$B$2:$B$501,MATCH($C188,links!$D$2:$D$501,0))="","",INDEX(links!$B$2:$B$501,MATCH($C188,links!$D$2:$D$501,0))),""))</f>
        <v/>
      </c>
      <c r="I188" s="30" t="str">
        <f aca="false">IF($C188="","",IFERROR(IF(INDEX(links!$C$2:$C$501,MATCH($C188,links!$D$2:$D$501,0))="","",INDEX(links!$C$2:$C$501,MATCH($C188,links!$D$2:$D$501,0))),""))</f>
        <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c r="B189" s="38"/>
      <c r="D189" s="10"/>
      <c r="G189" s="30" t="str">
        <f aca="false">IF($C189="","",IFERROR(IF(INDEX(links!$A$2:$A$501,MATCH($C189,links!$D$2:$D$501,0))="","",INDEX(links!$A$2:$A$501,MATCH($C189,links!$D$2:$D$501,0))),""))</f>
        <v/>
      </c>
      <c r="H189" s="30" t="str">
        <f aca="false">IF($C189="","",IFERROR(IF(INDEX(links!$B$2:$B$501,MATCH($C189,links!$D$2:$D$501,0))="","",INDEX(links!$B$2:$B$501,MATCH($C189,links!$D$2:$D$501,0))),""))</f>
        <v/>
      </c>
      <c r="I189" s="30" t="str">
        <f aca="false">IF($C189="","",IFERROR(IF(INDEX(links!$C$2:$C$501,MATCH($C189,links!$D$2:$D$501,0))="","",INDEX(links!$C$2:$C$501,MATCH($C189,links!$D$2:$D$501,0))),""))</f>
        <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c r="B190" s="38"/>
      <c r="D190" s="10"/>
      <c r="G190" s="30" t="str">
        <f aca="false">IF($C190="","",IFERROR(IF(INDEX(links!$A$2:$A$501,MATCH($C190,links!$D$2:$D$501,0))="","",INDEX(links!$A$2:$A$501,MATCH($C190,links!$D$2:$D$501,0))),""))</f>
        <v/>
      </c>
      <c r="H190" s="30" t="str">
        <f aca="false">IF($C190="","",IFERROR(IF(INDEX(links!$B$2:$B$501,MATCH($C190,links!$D$2:$D$501,0))="","",INDEX(links!$B$2:$B$501,MATCH($C190,links!$D$2:$D$501,0))),""))</f>
        <v/>
      </c>
      <c r="I190" s="30" t="str">
        <f aca="false">IF($C190="","",IFERROR(IF(INDEX(links!$C$2:$C$501,MATCH($C190,links!$D$2:$D$501,0))="","",INDEX(links!$C$2:$C$501,MATCH($C190,links!$D$2:$D$501,0))),""))</f>
        <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c r="B191" s="38"/>
      <c r="D191" s="10"/>
      <c r="G191" s="30" t="str">
        <f aca="false">IF($C191="","",IFERROR(IF(INDEX(links!$A$2:$A$501,MATCH($C191,links!$D$2:$D$501,0))="","",INDEX(links!$A$2:$A$501,MATCH($C191,links!$D$2:$D$501,0))),""))</f>
        <v/>
      </c>
      <c r="H191" s="30" t="str">
        <f aca="false">IF($C191="","",IFERROR(IF(INDEX(links!$B$2:$B$501,MATCH($C191,links!$D$2:$D$501,0))="","",INDEX(links!$B$2:$B$501,MATCH($C191,links!$D$2:$D$501,0))),""))</f>
        <v/>
      </c>
      <c r="I191" s="30" t="str">
        <f aca="false">IF($C191="","",IFERROR(IF(INDEX(links!$C$2:$C$501,MATCH($C191,links!$D$2:$D$501,0))="","",INDEX(links!$C$2:$C$501,MATCH($C191,links!$D$2:$D$501,0))),""))</f>
        <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c r="B192" s="38"/>
      <c r="D192" s="10"/>
      <c r="G192" s="30" t="str">
        <f aca="false">IF($C192="","",IFERROR(IF(INDEX(links!$A$2:$A$501,MATCH($C192,links!$D$2:$D$501,0))="","",INDEX(links!$A$2:$A$501,MATCH($C192,links!$D$2:$D$501,0))),""))</f>
        <v/>
      </c>
      <c r="H192" s="30" t="str">
        <f aca="false">IF($C192="","",IFERROR(IF(INDEX(links!$B$2:$B$501,MATCH($C192,links!$D$2:$D$501,0))="","",INDEX(links!$B$2:$B$501,MATCH($C192,links!$D$2:$D$501,0))),""))</f>
        <v/>
      </c>
      <c r="I192" s="30" t="str">
        <f aca="false">IF($C192="","",IFERROR(IF(INDEX(links!$C$2:$C$501,MATCH($C192,links!$D$2:$D$501,0))="","",INDEX(links!$C$2:$C$501,MATCH($C192,links!$D$2:$D$501,0))),""))</f>
        <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c r="B193" s="38"/>
      <c r="D193" s="10"/>
      <c r="G193" s="30" t="str">
        <f aca="false">IF($C193="","",IFERROR(IF(INDEX(links!$A$2:$A$501,MATCH($C193,links!$D$2:$D$501,0))="","",INDEX(links!$A$2:$A$501,MATCH($C193,links!$D$2:$D$501,0))),""))</f>
        <v/>
      </c>
      <c r="H193" s="30" t="str">
        <f aca="false">IF($C193="","",IFERROR(IF(INDEX(links!$B$2:$B$501,MATCH($C193,links!$D$2:$D$501,0))="","",INDEX(links!$B$2:$B$501,MATCH($C193,links!$D$2:$D$501,0))),""))</f>
        <v/>
      </c>
      <c r="I193" s="30" t="str">
        <f aca="false">IF($C193="","",IFERROR(IF(INDEX(links!$C$2:$C$501,MATCH($C193,links!$D$2:$D$501,0))="","",INDEX(links!$C$2:$C$501,MATCH($C193,links!$D$2:$D$501,0))),""))</f>
        <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c r="B194" s="38"/>
      <c r="D194" s="10"/>
      <c r="G194" s="30" t="str">
        <f aca="false">IF($C194="","",IFERROR(IF(INDEX(links!$A$2:$A$501,MATCH($C194,links!$D$2:$D$501,0))="","",INDEX(links!$A$2:$A$501,MATCH($C194,links!$D$2:$D$501,0))),""))</f>
        <v/>
      </c>
      <c r="H194" s="30" t="str">
        <f aca="false">IF($C194="","",IFERROR(IF(INDEX(links!$B$2:$B$501,MATCH($C194,links!$D$2:$D$501,0))="","",INDEX(links!$B$2:$B$501,MATCH($C194,links!$D$2:$D$501,0))),""))</f>
        <v/>
      </c>
      <c r="I194" s="30" t="str">
        <f aca="false">IF($C194="","",IFERROR(IF(INDEX(links!$C$2:$C$501,MATCH($C194,links!$D$2:$D$501,0))="","",INDEX(links!$C$2:$C$501,MATCH($C194,links!$D$2:$D$501,0))),""))</f>
        <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c r="B195" s="38"/>
      <c r="D195" s="10"/>
      <c r="G195" s="30" t="str">
        <f aca="false">IF($C195="","",IFERROR(IF(INDEX(links!$A$2:$A$501,MATCH($C195,links!$D$2:$D$501,0))="","",INDEX(links!$A$2:$A$501,MATCH($C195,links!$D$2:$D$501,0))),""))</f>
        <v/>
      </c>
      <c r="H195" s="30" t="str">
        <f aca="false">IF($C195="","",IFERROR(IF(INDEX(links!$B$2:$B$501,MATCH($C195,links!$D$2:$D$501,0))="","",INDEX(links!$B$2:$B$501,MATCH($C195,links!$D$2:$D$501,0))),""))</f>
        <v/>
      </c>
      <c r="I195" s="30" t="str">
        <f aca="false">IF($C195="","",IFERROR(IF(INDEX(links!$C$2:$C$501,MATCH($C195,links!$D$2:$D$501,0))="","",INDEX(links!$C$2:$C$501,MATCH($C195,links!$D$2:$D$501,0))),""))</f>
        <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c r="B196" s="38"/>
      <c r="D196" s="10"/>
      <c r="G196" s="30" t="str">
        <f aca="false">IF($C196="","",IFERROR(IF(INDEX(links!$A$2:$A$501,MATCH($C196,links!$D$2:$D$501,0))="","",INDEX(links!$A$2:$A$501,MATCH($C196,links!$D$2:$D$501,0))),""))</f>
        <v/>
      </c>
      <c r="H196" s="30" t="str">
        <f aca="false">IF($C196="","",IFERROR(IF(INDEX(links!$B$2:$B$501,MATCH($C196,links!$D$2:$D$501,0))="","",INDEX(links!$B$2:$B$501,MATCH($C196,links!$D$2:$D$501,0))),""))</f>
        <v/>
      </c>
      <c r="I196" s="30" t="str">
        <f aca="false">IF($C196="","",IFERROR(IF(INDEX(links!$C$2:$C$501,MATCH($C196,links!$D$2:$D$501,0))="","",INDEX(links!$C$2:$C$501,MATCH($C196,links!$D$2:$D$501,0))),""))</f>
        <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c r="B197" s="38"/>
      <c r="D197" s="10"/>
      <c r="G197" s="30" t="str">
        <f aca="false">IF($C197="","",IFERROR(IF(INDEX(links!$A$2:$A$501,MATCH($C197,links!$D$2:$D$501,0))="","",INDEX(links!$A$2:$A$501,MATCH($C197,links!$D$2:$D$501,0))),""))</f>
        <v/>
      </c>
      <c r="H197" s="30" t="str">
        <f aca="false">IF($C197="","",IFERROR(IF(INDEX(links!$B$2:$B$501,MATCH($C197,links!$D$2:$D$501,0))="","",INDEX(links!$B$2:$B$501,MATCH($C197,links!$D$2:$D$501,0))),""))</f>
        <v/>
      </c>
      <c r="I197" s="30" t="str">
        <f aca="false">IF($C197="","",IFERROR(IF(INDEX(links!$C$2:$C$501,MATCH($C197,links!$D$2:$D$501,0))="","",INDEX(links!$C$2:$C$501,MATCH($C197,links!$D$2:$D$501,0))),""))</f>
        <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c r="B198" s="38"/>
      <c r="D198" s="10"/>
      <c r="G198" s="30" t="str">
        <f aca="false">IF($C198="","",IFERROR(IF(INDEX(links!$A$2:$A$501,MATCH($C198,links!$D$2:$D$501,0))="","",INDEX(links!$A$2:$A$501,MATCH($C198,links!$D$2:$D$501,0))),""))</f>
        <v/>
      </c>
      <c r="H198" s="30" t="str">
        <f aca="false">IF($C198="","",IFERROR(IF(INDEX(links!$B$2:$B$501,MATCH($C198,links!$D$2:$D$501,0))="","",INDEX(links!$B$2:$B$501,MATCH($C198,links!$D$2:$D$501,0))),""))</f>
        <v/>
      </c>
      <c r="I198" s="30" t="str">
        <f aca="false">IF($C198="","",IFERROR(IF(INDEX(links!$C$2:$C$501,MATCH($C198,links!$D$2:$D$501,0))="","",INDEX(links!$C$2:$C$501,MATCH($C198,links!$D$2:$D$501,0))),""))</f>
        <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c r="B199" s="38"/>
      <c r="D199" s="10"/>
      <c r="G199" s="30" t="str">
        <f aca="false">IF($C199="","",IFERROR(IF(INDEX(links!$A$2:$A$501,MATCH($C199,links!$D$2:$D$501,0))="","",INDEX(links!$A$2:$A$501,MATCH($C199,links!$D$2:$D$501,0))),""))</f>
        <v/>
      </c>
      <c r="H199" s="30" t="str">
        <f aca="false">IF($C199="","",IFERROR(IF(INDEX(links!$B$2:$B$501,MATCH($C199,links!$D$2:$D$501,0))="","",INDEX(links!$B$2:$B$501,MATCH($C199,links!$D$2:$D$501,0))),""))</f>
        <v/>
      </c>
      <c r="I199" s="30" t="str">
        <f aca="false">IF($C199="","",IFERROR(IF(INDEX(links!$C$2:$C$501,MATCH($C199,links!$D$2:$D$501,0))="","",INDEX(links!$C$2:$C$501,MATCH($C199,links!$D$2:$D$501,0))),""))</f>
        <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c r="B200" s="38"/>
      <c r="D200" s="10"/>
      <c r="G200" s="30" t="str">
        <f aca="false">IF($C200="","",IFERROR(IF(INDEX(links!$A$2:$A$501,MATCH($C200,links!$D$2:$D$501,0))="","",INDEX(links!$A$2:$A$501,MATCH($C200,links!$D$2:$D$501,0))),""))</f>
        <v/>
      </c>
      <c r="H200" s="30" t="str">
        <f aca="false">IF($C200="","",IFERROR(IF(INDEX(links!$B$2:$B$501,MATCH($C200,links!$D$2:$D$501,0))="","",INDEX(links!$B$2:$B$501,MATCH($C200,links!$D$2:$D$501,0))),""))</f>
        <v/>
      </c>
      <c r="I200" s="30" t="str">
        <f aca="false">IF($C200="","",IFERROR(IF(INDEX(links!$C$2:$C$501,MATCH($C200,links!$D$2:$D$501,0))="","",INDEX(links!$C$2:$C$501,MATCH($C200,links!$D$2:$D$501,0))),""))</f>
        <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c r="B201" s="38"/>
      <c r="D201" s="10"/>
      <c r="G201" s="30" t="str">
        <f aca="false">IF($C201="","",IFERROR(IF(INDEX(links!$A$2:$A$501,MATCH($C201,links!$D$2:$D$501,0))="","",INDEX(links!$A$2:$A$501,MATCH($C201,links!$D$2:$D$501,0))),""))</f>
        <v/>
      </c>
      <c r="H201" s="30" t="str">
        <f aca="false">IF($C201="","",IFERROR(IF(INDEX(links!$B$2:$B$501,MATCH($C201,links!$D$2:$D$501,0))="","",INDEX(links!$B$2:$B$501,MATCH($C201,links!$D$2:$D$501,0))),""))</f>
        <v/>
      </c>
      <c r="I201" s="30" t="str">
        <f aca="false">IF($C201="","",IFERROR(IF(INDEX(links!$C$2:$C$501,MATCH($C201,links!$D$2:$D$501,0))="","",INDEX(links!$C$2:$C$501,MATCH($C201,links!$D$2:$D$501,0))),""))</f>
        <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c r="B202" s="38"/>
      <c r="D202" s="10"/>
      <c r="G202" s="30" t="str">
        <f aca="false">IF($C202="","",IFERROR(IF(INDEX(links!$A$2:$A$501,MATCH($C202,links!$D$2:$D$501,0))="","",INDEX(links!$A$2:$A$501,MATCH($C202,links!$D$2:$D$501,0))),""))</f>
        <v/>
      </c>
      <c r="H202" s="30" t="str">
        <f aca="false">IF($C202="","",IFERROR(IF(INDEX(links!$B$2:$B$501,MATCH($C202,links!$D$2:$D$501,0))="","",INDEX(links!$B$2:$B$501,MATCH($C202,links!$D$2:$D$501,0))),""))</f>
        <v/>
      </c>
      <c r="I202" s="30" t="str">
        <f aca="false">IF($C202="","",IFERROR(IF(INDEX(links!$C$2:$C$501,MATCH($C202,links!$D$2:$D$501,0))="","",INDEX(links!$C$2:$C$501,MATCH($C202,links!$D$2:$D$501,0))),""))</f>
        <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c r="B203" s="38"/>
      <c r="D203" s="10"/>
      <c r="G203" s="30" t="str">
        <f aca="false">IF($C203="","",IFERROR(IF(INDEX(links!$A$2:$A$501,MATCH($C203,links!$D$2:$D$501,0))="","",INDEX(links!$A$2:$A$501,MATCH($C203,links!$D$2:$D$501,0))),""))</f>
        <v/>
      </c>
      <c r="H203" s="30" t="str">
        <f aca="false">IF($C203="","",IFERROR(IF(INDEX(links!$B$2:$B$501,MATCH($C203,links!$D$2:$D$501,0))="","",INDEX(links!$B$2:$B$501,MATCH($C203,links!$D$2:$D$501,0))),""))</f>
        <v/>
      </c>
      <c r="I203" s="30" t="str">
        <f aca="false">IF($C203="","",IFERROR(IF(INDEX(links!$C$2:$C$501,MATCH($C203,links!$D$2:$D$501,0))="","",INDEX(links!$C$2:$C$501,MATCH($C203,links!$D$2:$D$501,0))),""))</f>
        <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c r="B204" s="38"/>
      <c r="D204" s="10"/>
      <c r="G204" s="30" t="str">
        <f aca="false">IF($C204="","",IFERROR(IF(INDEX(links!$A$2:$A$501,MATCH($C204,links!$D$2:$D$501,0))="","",INDEX(links!$A$2:$A$501,MATCH($C204,links!$D$2:$D$501,0))),""))</f>
        <v/>
      </c>
      <c r="H204" s="30" t="str">
        <f aca="false">IF($C204="","",IFERROR(IF(INDEX(links!$B$2:$B$501,MATCH($C204,links!$D$2:$D$501,0))="","",INDEX(links!$B$2:$B$501,MATCH($C204,links!$D$2:$D$501,0))),""))</f>
        <v/>
      </c>
      <c r="I204" s="30" t="str">
        <f aca="false">IF($C204="","",IFERROR(IF(INDEX(links!$C$2:$C$501,MATCH($C204,links!$D$2:$D$501,0))="","",INDEX(links!$C$2:$C$501,MATCH($C204,links!$D$2:$D$501,0))),""))</f>
        <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c r="B205" s="38"/>
      <c r="D205" s="10"/>
      <c r="G205" s="30" t="str">
        <f aca="false">IF($C205="","",IFERROR(IF(INDEX(links!$A$2:$A$501,MATCH($C205,links!$D$2:$D$501,0))="","",INDEX(links!$A$2:$A$501,MATCH($C205,links!$D$2:$D$501,0))),""))</f>
        <v/>
      </c>
      <c r="H205" s="30" t="str">
        <f aca="false">IF($C205="","",IFERROR(IF(INDEX(links!$B$2:$B$501,MATCH($C205,links!$D$2:$D$501,0))="","",INDEX(links!$B$2:$B$501,MATCH($C205,links!$D$2:$D$501,0))),""))</f>
        <v/>
      </c>
      <c r="I205" s="30" t="str">
        <f aca="false">IF($C205="","",IFERROR(IF(INDEX(links!$C$2:$C$501,MATCH($C205,links!$D$2:$D$501,0))="","",INDEX(links!$C$2:$C$501,MATCH($C205,links!$D$2:$D$501,0))),""))</f>
        <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c r="B206" s="38"/>
      <c r="D206" s="10"/>
      <c r="G206" s="30" t="str">
        <f aca="false">IF($C206="","",IFERROR(IF(INDEX(links!$A$2:$A$501,MATCH($C206,links!$D$2:$D$501,0))="","",INDEX(links!$A$2:$A$501,MATCH($C206,links!$D$2:$D$501,0))),""))</f>
        <v/>
      </c>
      <c r="H206" s="30" t="str">
        <f aca="false">IF($C206="","",IFERROR(IF(INDEX(links!$B$2:$B$501,MATCH($C206,links!$D$2:$D$501,0))="","",INDEX(links!$B$2:$B$501,MATCH($C206,links!$D$2:$D$501,0))),""))</f>
        <v/>
      </c>
      <c r="I206" s="30" t="str">
        <f aca="false">IF($C206="","",IFERROR(IF(INDEX(links!$C$2:$C$501,MATCH($C206,links!$D$2:$D$501,0))="","",INDEX(links!$C$2:$C$501,MATCH($C206,links!$D$2:$D$501,0))),""))</f>
        <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c r="B207" s="38"/>
      <c r="D207" s="10"/>
      <c r="G207" s="30" t="str">
        <f aca="false">IF($C207="","",IFERROR(IF(INDEX(links!$A$2:$A$501,MATCH($C207,links!$D$2:$D$501,0))="","",INDEX(links!$A$2:$A$501,MATCH($C207,links!$D$2:$D$501,0))),""))</f>
        <v/>
      </c>
      <c r="H207" s="30" t="str">
        <f aca="false">IF($C207="","",IFERROR(IF(INDEX(links!$B$2:$B$501,MATCH($C207,links!$D$2:$D$501,0))="","",INDEX(links!$B$2:$B$501,MATCH($C207,links!$D$2:$D$501,0))),""))</f>
        <v/>
      </c>
      <c r="I207" s="30" t="str">
        <f aca="false">IF($C207="","",IFERROR(IF(INDEX(links!$C$2:$C$501,MATCH($C207,links!$D$2:$D$501,0))="","",INDEX(links!$C$2:$C$501,MATCH($C207,links!$D$2:$D$501,0))),""))</f>
        <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c r="B208" s="38"/>
      <c r="D208" s="10"/>
      <c r="G208" s="30" t="str">
        <f aca="false">IF($C208="","",IFERROR(IF(INDEX(links!$A$2:$A$501,MATCH($C208,links!$D$2:$D$501,0))="","",INDEX(links!$A$2:$A$501,MATCH($C208,links!$D$2:$D$501,0))),""))</f>
        <v/>
      </c>
      <c r="H208" s="30" t="str">
        <f aca="false">IF($C208="","",IFERROR(IF(INDEX(links!$B$2:$B$501,MATCH($C208,links!$D$2:$D$501,0))="","",INDEX(links!$B$2:$B$501,MATCH($C208,links!$D$2:$D$501,0))),""))</f>
        <v/>
      </c>
      <c r="I208" s="30" t="str">
        <f aca="false">IF($C208="","",IFERROR(IF(INDEX(links!$C$2:$C$501,MATCH($C208,links!$D$2:$D$501,0))="","",INDEX(links!$C$2:$C$501,MATCH($C208,links!$D$2:$D$501,0))),""))</f>
        <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c r="B209" s="38"/>
      <c r="D209" s="10"/>
      <c r="G209" s="30" t="str">
        <f aca="false">IF($C209="","",IFERROR(IF(INDEX(links!$A$2:$A$501,MATCH($C209,links!$D$2:$D$501,0))="","",INDEX(links!$A$2:$A$501,MATCH($C209,links!$D$2:$D$501,0))),""))</f>
        <v/>
      </c>
      <c r="H209" s="30" t="str">
        <f aca="false">IF($C209="","",IFERROR(IF(INDEX(links!$B$2:$B$501,MATCH($C209,links!$D$2:$D$501,0))="","",INDEX(links!$B$2:$B$501,MATCH($C209,links!$D$2:$D$501,0))),""))</f>
        <v/>
      </c>
      <c r="I209" s="30" t="str">
        <f aca="false">IF($C209="","",IFERROR(IF(INDEX(links!$C$2:$C$501,MATCH($C209,links!$D$2:$D$501,0))="","",INDEX(links!$C$2:$C$501,MATCH($C209,links!$D$2:$D$501,0))),""))</f>
        <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c r="B210" s="38"/>
      <c r="D210" s="10"/>
      <c r="G210" s="30" t="str">
        <f aca="false">IF($C210="","",IFERROR(IF(INDEX(links!$A$2:$A$501,MATCH($C210,links!$D$2:$D$501,0))="","",INDEX(links!$A$2:$A$501,MATCH($C210,links!$D$2:$D$501,0))),""))</f>
        <v/>
      </c>
      <c r="H210" s="30" t="str">
        <f aca="false">IF($C210="","",IFERROR(IF(INDEX(links!$B$2:$B$501,MATCH($C210,links!$D$2:$D$501,0))="","",INDEX(links!$B$2:$B$501,MATCH($C210,links!$D$2:$D$501,0))),""))</f>
        <v/>
      </c>
      <c r="I210" s="30" t="str">
        <f aca="false">IF($C210="","",IFERROR(IF(INDEX(links!$C$2:$C$501,MATCH($C210,links!$D$2:$D$501,0))="","",INDEX(links!$C$2:$C$501,MATCH($C210,links!$D$2:$D$501,0))),""))</f>
        <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c r="B211" s="38"/>
      <c r="D211" s="10"/>
      <c r="G211" s="30" t="str">
        <f aca="false">IF($C211="","",IFERROR(IF(INDEX(links!$A$2:$A$501,MATCH($C211,links!$D$2:$D$501,0))="","",INDEX(links!$A$2:$A$501,MATCH($C211,links!$D$2:$D$501,0))),""))</f>
        <v/>
      </c>
      <c r="H211" s="30" t="str">
        <f aca="false">IF($C211="","",IFERROR(IF(INDEX(links!$B$2:$B$501,MATCH($C211,links!$D$2:$D$501,0))="","",INDEX(links!$B$2:$B$501,MATCH($C211,links!$D$2:$D$501,0))),""))</f>
        <v/>
      </c>
      <c r="I211" s="30" t="str">
        <f aca="false">IF($C211="","",IFERROR(IF(INDEX(links!$C$2:$C$501,MATCH($C211,links!$D$2:$D$501,0))="","",INDEX(links!$C$2:$C$501,MATCH($C211,links!$D$2:$D$501,0))),""))</f>
        <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c r="B212" s="38"/>
      <c r="D212" s="10"/>
      <c r="G212" s="30" t="str">
        <f aca="false">IF($C212="","",IFERROR(IF(INDEX(links!$A$2:$A$501,MATCH($C212,links!$D$2:$D$501,0))="","",INDEX(links!$A$2:$A$501,MATCH($C212,links!$D$2:$D$501,0))),""))</f>
        <v/>
      </c>
      <c r="H212" s="30" t="str">
        <f aca="false">IF($C212="","",IFERROR(IF(INDEX(links!$B$2:$B$501,MATCH($C212,links!$D$2:$D$501,0))="","",INDEX(links!$B$2:$B$501,MATCH($C212,links!$D$2:$D$501,0))),""))</f>
        <v/>
      </c>
      <c r="I212" s="30" t="str">
        <f aca="false">IF($C212="","",IFERROR(IF(INDEX(links!$C$2:$C$501,MATCH($C212,links!$D$2:$D$501,0))="","",INDEX(links!$C$2:$C$501,MATCH($C212,links!$D$2:$D$501,0))),""))</f>
        <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c r="B213" s="38"/>
      <c r="D213" s="10"/>
      <c r="G213" s="30" t="str">
        <f aca="false">IF($C213="","",IFERROR(IF(INDEX(links!$A$2:$A$501,MATCH($C213,links!$D$2:$D$501,0))="","",INDEX(links!$A$2:$A$501,MATCH($C213,links!$D$2:$D$501,0))),""))</f>
        <v/>
      </c>
      <c r="H213" s="30" t="str">
        <f aca="false">IF($C213="","",IFERROR(IF(INDEX(links!$B$2:$B$501,MATCH($C213,links!$D$2:$D$501,0))="","",INDEX(links!$B$2:$B$501,MATCH($C213,links!$D$2:$D$501,0))),""))</f>
        <v/>
      </c>
      <c r="I213" s="30" t="str">
        <f aca="false">IF($C213="","",IFERROR(IF(INDEX(links!$C$2:$C$501,MATCH($C213,links!$D$2:$D$501,0))="","",INDEX(links!$C$2:$C$501,MATCH($C213,links!$D$2:$D$501,0))),""))</f>
        <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c r="B214" s="38"/>
      <c r="D214" s="10"/>
      <c r="G214" s="30" t="str">
        <f aca="false">IF($C214="","",IFERROR(IF(INDEX(links!$A$2:$A$501,MATCH($C214,links!$D$2:$D$501,0))="","",INDEX(links!$A$2:$A$501,MATCH($C214,links!$D$2:$D$501,0))),""))</f>
        <v/>
      </c>
      <c r="H214" s="30" t="str">
        <f aca="false">IF($C214="","",IFERROR(IF(INDEX(links!$B$2:$B$501,MATCH($C214,links!$D$2:$D$501,0))="","",INDEX(links!$B$2:$B$501,MATCH($C214,links!$D$2:$D$501,0))),""))</f>
        <v/>
      </c>
      <c r="I214" s="30" t="str">
        <f aca="false">IF($C214="","",IFERROR(IF(INDEX(links!$C$2:$C$501,MATCH($C214,links!$D$2:$D$501,0))="","",INDEX(links!$C$2:$C$501,MATCH($C214,links!$D$2:$D$501,0))),""))</f>
        <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c r="B215" s="38"/>
      <c r="D215" s="10"/>
      <c r="G215" s="30" t="str">
        <f aca="false">IF($C215="","",IFERROR(IF(INDEX(links!$A$2:$A$501,MATCH($C215,links!$D$2:$D$501,0))="","",INDEX(links!$A$2:$A$501,MATCH($C215,links!$D$2:$D$501,0))),""))</f>
        <v/>
      </c>
      <c r="H215" s="30" t="str">
        <f aca="false">IF($C215="","",IFERROR(IF(INDEX(links!$B$2:$B$501,MATCH($C215,links!$D$2:$D$501,0))="","",INDEX(links!$B$2:$B$501,MATCH($C215,links!$D$2:$D$501,0))),""))</f>
        <v/>
      </c>
      <c r="I215" s="30" t="str">
        <f aca="false">IF($C215="","",IFERROR(IF(INDEX(links!$C$2:$C$501,MATCH($C215,links!$D$2:$D$501,0))="","",INDEX(links!$C$2:$C$501,MATCH($C215,links!$D$2:$D$501,0))),""))</f>
        <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c r="B216" s="38"/>
      <c r="D216" s="10"/>
      <c r="G216" s="30" t="str">
        <f aca="false">IF($C216="","",IFERROR(IF(INDEX(links!$A$2:$A$501,MATCH($C216,links!$D$2:$D$501,0))="","",INDEX(links!$A$2:$A$501,MATCH($C216,links!$D$2:$D$501,0))),""))</f>
        <v/>
      </c>
      <c r="H216" s="30" t="str">
        <f aca="false">IF($C216="","",IFERROR(IF(INDEX(links!$B$2:$B$501,MATCH($C216,links!$D$2:$D$501,0))="","",INDEX(links!$B$2:$B$501,MATCH($C216,links!$D$2:$D$501,0))),""))</f>
        <v/>
      </c>
      <c r="I216" s="30" t="str">
        <f aca="false">IF($C216="","",IFERROR(IF(INDEX(links!$C$2:$C$501,MATCH($C216,links!$D$2:$D$501,0))="","",INDEX(links!$C$2:$C$501,MATCH($C216,links!$D$2:$D$501,0))),""))</f>
        <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c r="B217" s="38"/>
      <c r="D217" s="10"/>
      <c r="G217" s="30" t="str">
        <f aca="false">IF($C217="","",IFERROR(IF(INDEX(links!$A$2:$A$501,MATCH($C217,links!$D$2:$D$501,0))="","",INDEX(links!$A$2:$A$501,MATCH($C217,links!$D$2:$D$501,0))),""))</f>
        <v/>
      </c>
      <c r="H217" s="30" t="str">
        <f aca="false">IF($C217="","",IFERROR(IF(INDEX(links!$B$2:$B$501,MATCH($C217,links!$D$2:$D$501,0))="","",INDEX(links!$B$2:$B$501,MATCH($C217,links!$D$2:$D$501,0))),""))</f>
        <v/>
      </c>
      <c r="I217" s="30" t="str">
        <f aca="false">IF($C217="","",IFERROR(IF(INDEX(links!$C$2:$C$501,MATCH($C217,links!$D$2:$D$501,0))="","",INDEX(links!$C$2:$C$501,MATCH($C217,links!$D$2:$D$501,0))),""))</f>
        <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c r="B218" s="38"/>
      <c r="D218" s="10"/>
      <c r="G218" s="30" t="str">
        <f aca="false">IF($C218="","",IFERROR(IF(INDEX(links!$A$2:$A$501,MATCH($C218,links!$D$2:$D$501,0))="","",INDEX(links!$A$2:$A$501,MATCH($C218,links!$D$2:$D$501,0))),""))</f>
        <v/>
      </c>
      <c r="H218" s="30" t="str">
        <f aca="false">IF($C218="","",IFERROR(IF(INDEX(links!$B$2:$B$501,MATCH($C218,links!$D$2:$D$501,0))="","",INDEX(links!$B$2:$B$501,MATCH($C218,links!$D$2:$D$501,0))),""))</f>
        <v/>
      </c>
      <c r="I218" s="30" t="str">
        <f aca="false">IF($C218="","",IFERROR(IF(INDEX(links!$C$2:$C$501,MATCH($C218,links!$D$2:$D$501,0))="","",INDEX(links!$C$2:$C$501,MATCH($C218,links!$D$2:$D$501,0))),""))</f>
        <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c r="B219" s="38"/>
      <c r="D219" s="10"/>
      <c r="G219" s="30" t="str">
        <f aca="false">IF($C219="","",IFERROR(IF(INDEX(links!$A$2:$A$501,MATCH($C219,links!$D$2:$D$501,0))="","",INDEX(links!$A$2:$A$501,MATCH($C219,links!$D$2:$D$501,0))),""))</f>
        <v/>
      </c>
      <c r="H219" s="30" t="str">
        <f aca="false">IF($C219="","",IFERROR(IF(INDEX(links!$B$2:$B$501,MATCH($C219,links!$D$2:$D$501,0))="","",INDEX(links!$B$2:$B$501,MATCH($C219,links!$D$2:$D$501,0))),""))</f>
        <v/>
      </c>
      <c r="I219" s="30" t="str">
        <f aca="false">IF($C219="","",IFERROR(IF(INDEX(links!$C$2:$C$501,MATCH($C219,links!$D$2:$D$501,0))="","",INDEX(links!$C$2:$C$501,MATCH($C219,links!$D$2:$D$501,0))),""))</f>
        <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c r="B220" s="38"/>
      <c r="D220" s="10"/>
      <c r="G220" s="30" t="str">
        <f aca="false">IF($C220="","",IFERROR(IF(INDEX(links!$A$2:$A$501,MATCH($C220,links!$D$2:$D$501,0))="","",INDEX(links!$A$2:$A$501,MATCH($C220,links!$D$2:$D$501,0))),""))</f>
        <v/>
      </c>
      <c r="H220" s="30" t="str">
        <f aca="false">IF($C220="","",IFERROR(IF(INDEX(links!$B$2:$B$501,MATCH($C220,links!$D$2:$D$501,0))="","",INDEX(links!$B$2:$B$501,MATCH($C220,links!$D$2:$D$501,0))),""))</f>
        <v/>
      </c>
      <c r="I220" s="30" t="str">
        <f aca="false">IF($C220="","",IFERROR(IF(INDEX(links!$C$2:$C$501,MATCH($C220,links!$D$2:$D$501,0))="","",INDEX(links!$C$2:$C$501,MATCH($C220,links!$D$2:$D$501,0))),""))</f>
        <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c r="B221" s="38"/>
      <c r="D221" s="10"/>
      <c r="G221" s="30" t="str">
        <f aca="false">IF($C221="","",IFERROR(IF(INDEX(links!$A$2:$A$501,MATCH($C221,links!$D$2:$D$501,0))="","",INDEX(links!$A$2:$A$501,MATCH($C221,links!$D$2:$D$501,0))),""))</f>
        <v/>
      </c>
      <c r="H221" s="30" t="str">
        <f aca="false">IF($C221="","",IFERROR(IF(INDEX(links!$B$2:$B$501,MATCH($C221,links!$D$2:$D$501,0))="","",INDEX(links!$B$2:$B$501,MATCH($C221,links!$D$2:$D$501,0))),""))</f>
        <v/>
      </c>
      <c r="I221" s="30" t="str">
        <f aca="false">IF($C221="","",IFERROR(IF(INDEX(links!$C$2:$C$501,MATCH($C221,links!$D$2:$D$501,0))="","",INDEX(links!$C$2:$C$501,MATCH($C221,links!$D$2:$D$501,0))),""))</f>
        <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c r="B222" s="38"/>
      <c r="D222" s="10"/>
      <c r="G222" s="30" t="str">
        <f aca="false">IF($C222="","",IFERROR(IF(INDEX(links!$A$2:$A$501,MATCH($C222,links!$D$2:$D$501,0))="","",INDEX(links!$A$2:$A$501,MATCH($C222,links!$D$2:$D$501,0))),""))</f>
        <v/>
      </c>
      <c r="H222" s="30" t="str">
        <f aca="false">IF($C222="","",IFERROR(IF(INDEX(links!$B$2:$B$501,MATCH($C222,links!$D$2:$D$501,0))="","",INDEX(links!$B$2:$B$501,MATCH($C222,links!$D$2:$D$501,0))),""))</f>
        <v/>
      </c>
      <c r="I222" s="30" t="str">
        <f aca="false">IF($C222="","",IFERROR(IF(INDEX(links!$C$2:$C$501,MATCH($C222,links!$D$2:$D$501,0))="","",INDEX(links!$C$2:$C$501,MATCH($C222,links!$D$2:$D$501,0))),""))</f>
        <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c r="B223" s="38"/>
      <c r="D223" s="10"/>
      <c r="G223" s="30" t="str">
        <f aca="false">IF($C223="","",IFERROR(IF(INDEX(links!$A$2:$A$501,MATCH($C223,links!$D$2:$D$501,0))="","",INDEX(links!$A$2:$A$501,MATCH($C223,links!$D$2:$D$501,0))),""))</f>
        <v/>
      </c>
      <c r="H223" s="30" t="str">
        <f aca="false">IF($C223="","",IFERROR(IF(INDEX(links!$B$2:$B$501,MATCH($C223,links!$D$2:$D$501,0))="","",INDEX(links!$B$2:$B$501,MATCH($C223,links!$D$2:$D$501,0))),""))</f>
        <v/>
      </c>
      <c r="I223" s="30" t="str">
        <f aca="false">IF($C223="","",IFERROR(IF(INDEX(links!$C$2:$C$501,MATCH($C223,links!$D$2:$D$501,0))="","",INDEX(links!$C$2:$C$501,MATCH($C223,links!$D$2:$D$501,0))),""))</f>
        <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c r="B224" s="38"/>
      <c r="D224" s="10"/>
      <c r="G224" s="30" t="str">
        <f aca="false">IF($C224="","",IFERROR(IF(INDEX(links!$A$2:$A$501,MATCH($C224,links!$D$2:$D$501,0))="","",INDEX(links!$A$2:$A$501,MATCH($C224,links!$D$2:$D$501,0))),""))</f>
        <v/>
      </c>
      <c r="H224" s="30" t="str">
        <f aca="false">IF($C224="","",IFERROR(IF(INDEX(links!$B$2:$B$501,MATCH($C224,links!$D$2:$D$501,0))="","",INDEX(links!$B$2:$B$501,MATCH($C224,links!$D$2:$D$501,0))),""))</f>
        <v/>
      </c>
      <c r="I224" s="30" t="str">
        <f aca="false">IF($C224="","",IFERROR(IF(INDEX(links!$C$2:$C$501,MATCH($C224,links!$D$2:$D$501,0))="","",INDEX(links!$C$2:$C$501,MATCH($C224,links!$D$2:$D$501,0))),""))</f>
        <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c r="B225" s="38"/>
      <c r="D225" s="10"/>
      <c r="G225" s="30" t="str">
        <f aca="false">IF($C225="","",IFERROR(IF(INDEX(links!$A$2:$A$501,MATCH($C225,links!$D$2:$D$501,0))="","",INDEX(links!$A$2:$A$501,MATCH($C225,links!$D$2:$D$501,0))),""))</f>
        <v/>
      </c>
      <c r="H225" s="30" t="str">
        <f aca="false">IF($C225="","",IFERROR(IF(INDEX(links!$B$2:$B$501,MATCH($C225,links!$D$2:$D$501,0))="","",INDEX(links!$B$2:$B$501,MATCH($C225,links!$D$2:$D$501,0))),""))</f>
        <v/>
      </c>
      <c r="I225" s="30" t="str">
        <f aca="false">IF($C225="","",IFERROR(IF(INDEX(links!$C$2:$C$501,MATCH($C225,links!$D$2:$D$501,0))="","",INDEX(links!$C$2:$C$501,MATCH($C225,links!$D$2:$D$501,0))),""))</f>
        <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c r="B226" s="38"/>
      <c r="D226" s="10"/>
      <c r="G226" s="30" t="str">
        <f aca="false">IF($C226="","",IFERROR(IF(INDEX(links!$A$2:$A$501,MATCH($C226,links!$D$2:$D$501,0))="","",INDEX(links!$A$2:$A$501,MATCH($C226,links!$D$2:$D$501,0))),""))</f>
        <v/>
      </c>
      <c r="H226" s="30" t="str">
        <f aca="false">IF($C226="","",IFERROR(IF(INDEX(links!$B$2:$B$501,MATCH($C226,links!$D$2:$D$501,0))="","",INDEX(links!$B$2:$B$501,MATCH($C226,links!$D$2:$D$501,0))),""))</f>
        <v/>
      </c>
      <c r="I226" s="30" t="str">
        <f aca="false">IF($C226="","",IFERROR(IF(INDEX(links!$C$2:$C$501,MATCH($C226,links!$D$2:$D$501,0))="","",INDEX(links!$C$2:$C$501,MATCH($C226,links!$D$2:$D$501,0))),""))</f>
        <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c r="B227" s="38"/>
      <c r="D227" s="10"/>
      <c r="G227" s="30" t="str">
        <f aca="false">IF($C227="","",IFERROR(IF(INDEX(links!$A$2:$A$501,MATCH($C227,links!$D$2:$D$501,0))="","",INDEX(links!$A$2:$A$501,MATCH($C227,links!$D$2:$D$501,0))),""))</f>
        <v/>
      </c>
      <c r="H227" s="30" t="str">
        <f aca="false">IF($C227="","",IFERROR(IF(INDEX(links!$B$2:$B$501,MATCH($C227,links!$D$2:$D$501,0))="","",INDEX(links!$B$2:$B$501,MATCH($C227,links!$D$2:$D$501,0))),""))</f>
        <v/>
      </c>
      <c r="I227" s="30" t="str">
        <f aca="false">IF($C227="","",IFERROR(IF(INDEX(links!$C$2:$C$501,MATCH($C227,links!$D$2:$D$501,0))="","",INDEX(links!$C$2:$C$501,MATCH($C227,links!$D$2:$D$501,0))),""))</f>
        <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c r="B228" s="38"/>
      <c r="D228" s="10"/>
      <c r="G228" s="30" t="str">
        <f aca="false">IF($C228="","",IFERROR(IF(INDEX(links!$A$2:$A$501,MATCH($C228,links!$D$2:$D$501,0))="","",INDEX(links!$A$2:$A$501,MATCH($C228,links!$D$2:$D$501,0))),""))</f>
        <v/>
      </c>
      <c r="H228" s="30" t="str">
        <f aca="false">IF($C228="","",IFERROR(IF(INDEX(links!$B$2:$B$501,MATCH($C228,links!$D$2:$D$501,0))="","",INDEX(links!$B$2:$B$501,MATCH($C228,links!$D$2:$D$501,0))),""))</f>
        <v/>
      </c>
      <c r="I228" s="30" t="str">
        <f aca="false">IF($C228="","",IFERROR(IF(INDEX(links!$C$2:$C$501,MATCH($C228,links!$D$2:$D$501,0))="","",INDEX(links!$C$2:$C$501,MATCH($C228,links!$D$2:$D$501,0))),""))</f>
        <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c r="B229" s="38"/>
      <c r="D229" s="10"/>
      <c r="G229" s="30" t="str">
        <f aca="false">IF($C229="","",IFERROR(IF(INDEX(links!$A$2:$A$501,MATCH($C229,links!$D$2:$D$501,0))="","",INDEX(links!$A$2:$A$501,MATCH($C229,links!$D$2:$D$501,0))),""))</f>
        <v/>
      </c>
      <c r="H229" s="30" t="str">
        <f aca="false">IF($C229="","",IFERROR(IF(INDEX(links!$B$2:$B$501,MATCH($C229,links!$D$2:$D$501,0))="","",INDEX(links!$B$2:$B$501,MATCH($C229,links!$D$2:$D$501,0))),""))</f>
        <v/>
      </c>
      <c r="I229" s="30" t="str">
        <f aca="false">IF($C229="","",IFERROR(IF(INDEX(links!$C$2:$C$501,MATCH($C229,links!$D$2:$D$501,0))="","",INDEX(links!$C$2:$C$501,MATCH($C229,links!$D$2:$D$501,0))),""))</f>
        <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c r="B230" s="38"/>
      <c r="D230" s="10"/>
      <c r="G230" s="30" t="str">
        <f aca="false">IF($C230="","",IFERROR(IF(INDEX(links!$A$2:$A$501,MATCH($C230,links!$D$2:$D$501,0))="","",INDEX(links!$A$2:$A$501,MATCH($C230,links!$D$2:$D$501,0))),""))</f>
        <v/>
      </c>
      <c r="H230" s="30" t="str">
        <f aca="false">IF($C230="","",IFERROR(IF(INDEX(links!$B$2:$B$501,MATCH($C230,links!$D$2:$D$501,0))="","",INDEX(links!$B$2:$B$501,MATCH($C230,links!$D$2:$D$501,0))),""))</f>
        <v/>
      </c>
      <c r="I230" s="30" t="str">
        <f aca="false">IF($C230="","",IFERROR(IF(INDEX(links!$C$2:$C$501,MATCH($C230,links!$D$2:$D$501,0))="","",INDEX(links!$C$2:$C$501,MATCH($C230,links!$D$2:$D$501,0))),""))</f>
        <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c r="B231" s="38"/>
      <c r="D231" s="10"/>
      <c r="G231" s="30" t="str">
        <f aca="false">IF($C231="","",IFERROR(IF(INDEX(links!$A$2:$A$501,MATCH($C231,links!$D$2:$D$501,0))="","",INDEX(links!$A$2:$A$501,MATCH($C231,links!$D$2:$D$501,0))),""))</f>
        <v/>
      </c>
      <c r="H231" s="30" t="str">
        <f aca="false">IF($C231="","",IFERROR(IF(INDEX(links!$B$2:$B$501,MATCH($C231,links!$D$2:$D$501,0))="","",INDEX(links!$B$2:$B$501,MATCH($C231,links!$D$2:$D$501,0))),""))</f>
        <v/>
      </c>
      <c r="I231" s="30" t="str">
        <f aca="false">IF($C231="","",IFERROR(IF(INDEX(links!$C$2:$C$501,MATCH($C231,links!$D$2:$D$501,0))="","",INDEX(links!$C$2:$C$501,MATCH($C231,links!$D$2:$D$501,0))),""))</f>
        <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c r="B232" s="38"/>
      <c r="D232" s="10"/>
      <c r="G232" s="30" t="str">
        <f aca="false">IF($C232="","",IFERROR(IF(INDEX(links!$A$2:$A$501,MATCH($C232,links!$D$2:$D$501,0))="","",INDEX(links!$A$2:$A$501,MATCH($C232,links!$D$2:$D$501,0))),""))</f>
        <v/>
      </c>
      <c r="H232" s="30" t="str">
        <f aca="false">IF($C232="","",IFERROR(IF(INDEX(links!$B$2:$B$501,MATCH($C232,links!$D$2:$D$501,0))="","",INDEX(links!$B$2:$B$501,MATCH($C232,links!$D$2:$D$501,0))),""))</f>
        <v/>
      </c>
      <c r="I232" s="30" t="str">
        <f aca="false">IF($C232="","",IFERROR(IF(INDEX(links!$C$2:$C$501,MATCH($C232,links!$D$2:$D$501,0))="","",INDEX(links!$C$2:$C$501,MATCH($C232,links!$D$2:$D$501,0))),""))</f>
        <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c r="B233" s="38"/>
      <c r="D233" s="10"/>
      <c r="G233" s="30" t="str">
        <f aca="false">IF($C233="","",IFERROR(IF(INDEX(links!$A$2:$A$501,MATCH($C233,links!$D$2:$D$501,0))="","",INDEX(links!$A$2:$A$501,MATCH($C233,links!$D$2:$D$501,0))),""))</f>
        <v/>
      </c>
      <c r="H233" s="30" t="str">
        <f aca="false">IF($C233="","",IFERROR(IF(INDEX(links!$B$2:$B$501,MATCH($C233,links!$D$2:$D$501,0))="","",INDEX(links!$B$2:$B$501,MATCH($C233,links!$D$2:$D$501,0))),""))</f>
        <v/>
      </c>
      <c r="I233" s="30" t="str">
        <f aca="false">IF($C233="","",IFERROR(IF(INDEX(links!$C$2:$C$501,MATCH($C233,links!$D$2:$D$501,0))="","",INDEX(links!$C$2:$C$501,MATCH($C233,links!$D$2:$D$501,0))),""))</f>
        <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c r="B234" s="38"/>
      <c r="D234" s="10"/>
      <c r="G234" s="30" t="str">
        <f aca="false">IF($C234="","",IFERROR(IF(INDEX(links!$A$2:$A$501,MATCH($C234,links!$D$2:$D$501,0))="","",INDEX(links!$A$2:$A$501,MATCH($C234,links!$D$2:$D$501,0))),""))</f>
        <v/>
      </c>
      <c r="H234" s="30" t="str">
        <f aca="false">IF($C234="","",IFERROR(IF(INDEX(links!$B$2:$B$501,MATCH($C234,links!$D$2:$D$501,0))="","",INDEX(links!$B$2:$B$501,MATCH($C234,links!$D$2:$D$501,0))),""))</f>
        <v/>
      </c>
      <c r="I234" s="30" t="str">
        <f aca="false">IF($C234="","",IFERROR(IF(INDEX(links!$C$2:$C$501,MATCH($C234,links!$D$2:$D$501,0))="","",INDEX(links!$C$2:$C$501,MATCH($C234,links!$D$2:$D$501,0))),""))</f>
        <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c r="B235" s="38"/>
      <c r="D235" s="10"/>
      <c r="G235" s="30" t="str">
        <f aca="false">IF($C235="","",IFERROR(IF(INDEX(links!$A$2:$A$501,MATCH($C235,links!$D$2:$D$501,0))="","",INDEX(links!$A$2:$A$501,MATCH($C235,links!$D$2:$D$501,0))),""))</f>
        <v/>
      </c>
      <c r="H235" s="30" t="str">
        <f aca="false">IF($C235="","",IFERROR(IF(INDEX(links!$B$2:$B$501,MATCH($C235,links!$D$2:$D$501,0))="","",INDEX(links!$B$2:$B$501,MATCH($C235,links!$D$2:$D$501,0))),""))</f>
        <v/>
      </c>
      <c r="I235" s="30" t="str">
        <f aca="false">IF($C235="","",IFERROR(IF(INDEX(links!$C$2:$C$501,MATCH($C235,links!$D$2:$D$501,0))="","",INDEX(links!$C$2:$C$501,MATCH($C235,links!$D$2:$D$501,0))),""))</f>
        <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c r="B236" s="38"/>
      <c r="D236" s="10"/>
      <c r="G236" s="30" t="str">
        <f aca="false">IF($C236="","",IFERROR(IF(INDEX(links!$A$2:$A$501,MATCH($C236,links!$D$2:$D$501,0))="","",INDEX(links!$A$2:$A$501,MATCH($C236,links!$D$2:$D$501,0))),""))</f>
        <v/>
      </c>
      <c r="H236" s="30" t="str">
        <f aca="false">IF($C236="","",IFERROR(IF(INDEX(links!$B$2:$B$501,MATCH($C236,links!$D$2:$D$501,0))="","",INDEX(links!$B$2:$B$501,MATCH($C236,links!$D$2:$D$501,0))),""))</f>
        <v/>
      </c>
      <c r="I236" s="30" t="str">
        <f aca="false">IF($C236="","",IFERROR(IF(INDEX(links!$C$2:$C$501,MATCH($C236,links!$D$2:$D$501,0))="","",INDEX(links!$C$2:$C$501,MATCH($C236,links!$D$2:$D$501,0))),""))</f>
        <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c r="B237" s="38"/>
      <c r="D237" s="10"/>
      <c r="G237" s="30" t="str">
        <f aca="false">IF($C237="","",IFERROR(IF(INDEX(links!$A$2:$A$501,MATCH($C237,links!$D$2:$D$501,0))="","",INDEX(links!$A$2:$A$501,MATCH($C237,links!$D$2:$D$501,0))),""))</f>
        <v/>
      </c>
      <c r="H237" s="30" t="str">
        <f aca="false">IF($C237="","",IFERROR(IF(INDEX(links!$B$2:$B$501,MATCH($C237,links!$D$2:$D$501,0))="","",INDEX(links!$B$2:$B$501,MATCH($C237,links!$D$2:$D$501,0))),""))</f>
        <v/>
      </c>
      <c r="I237" s="30" t="str">
        <f aca="false">IF($C237="","",IFERROR(IF(INDEX(links!$C$2:$C$501,MATCH($C237,links!$D$2:$D$501,0))="","",INDEX(links!$C$2:$C$501,MATCH($C237,links!$D$2:$D$501,0))),""))</f>
        <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c r="B238" s="38"/>
      <c r="D238" s="10"/>
      <c r="G238" s="30" t="str">
        <f aca="false">IF($C238="","",IFERROR(IF(INDEX(links!$A$2:$A$501,MATCH($C238,links!$D$2:$D$501,0))="","",INDEX(links!$A$2:$A$501,MATCH($C238,links!$D$2:$D$501,0))),""))</f>
        <v/>
      </c>
      <c r="H238" s="30" t="str">
        <f aca="false">IF($C238="","",IFERROR(IF(INDEX(links!$B$2:$B$501,MATCH($C238,links!$D$2:$D$501,0))="","",INDEX(links!$B$2:$B$501,MATCH($C238,links!$D$2:$D$501,0))),""))</f>
        <v/>
      </c>
      <c r="I238" s="30" t="str">
        <f aca="false">IF($C238="","",IFERROR(IF(INDEX(links!$C$2:$C$501,MATCH($C238,links!$D$2:$D$501,0))="","",INDEX(links!$C$2:$C$501,MATCH($C238,links!$D$2:$D$501,0))),""))</f>
        <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c r="B239" s="38"/>
      <c r="D239" s="10"/>
      <c r="G239" s="30" t="str">
        <f aca="false">IF($C239="","",IFERROR(IF(INDEX(links!$A$2:$A$501,MATCH($C239,links!$D$2:$D$501,0))="","",INDEX(links!$A$2:$A$501,MATCH($C239,links!$D$2:$D$501,0))),""))</f>
        <v/>
      </c>
      <c r="H239" s="30" t="str">
        <f aca="false">IF($C239="","",IFERROR(IF(INDEX(links!$B$2:$B$501,MATCH($C239,links!$D$2:$D$501,0))="","",INDEX(links!$B$2:$B$501,MATCH($C239,links!$D$2:$D$501,0))),""))</f>
        <v/>
      </c>
      <c r="I239" s="30" t="str">
        <f aca="false">IF($C239="","",IFERROR(IF(INDEX(links!$C$2:$C$501,MATCH($C239,links!$D$2:$D$501,0))="","",INDEX(links!$C$2:$C$501,MATCH($C239,links!$D$2:$D$501,0))),""))</f>
        <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c r="B240" s="38"/>
      <c r="D240" s="10"/>
      <c r="G240" s="30" t="str">
        <f aca="false">IF($C240="","",IFERROR(IF(INDEX(links!$A$2:$A$501,MATCH($C240,links!$D$2:$D$501,0))="","",INDEX(links!$A$2:$A$501,MATCH($C240,links!$D$2:$D$501,0))),""))</f>
        <v/>
      </c>
      <c r="H240" s="30" t="str">
        <f aca="false">IF($C240="","",IFERROR(IF(INDEX(links!$B$2:$B$501,MATCH($C240,links!$D$2:$D$501,0))="","",INDEX(links!$B$2:$B$501,MATCH($C240,links!$D$2:$D$501,0))),""))</f>
        <v/>
      </c>
      <c r="I240" s="30" t="str">
        <f aca="false">IF($C240="","",IFERROR(IF(INDEX(links!$C$2:$C$501,MATCH($C240,links!$D$2:$D$501,0))="","",INDEX(links!$C$2:$C$501,MATCH($C240,links!$D$2:$D$501,0))),""))</f>
        <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c r="B241" s="38"/>
      <c r="D241" s="10"/>
      <c r="G241" s="30" t="str">
        <f aca="false">IF($C241="","",IFERROR(IF(INDEX(links!$A$2:$A$501,MATCH($C241,links!$D$2:$D$501,0))="","",INDEX(links!$A$2:$A$501,MATCH($C241,links!$D$2:$D$501,0))),""))</f>
        <v/>
      </c>
      <c r="H241" s="30" t="str">
        <f aca="false">IF($C241="","",IFERROR(IF(INDEX(links!$B$2:$B$501,MATCH($C241,links!$D$2:$D$501,0))="","",INDEX(links!$B$2:$B$501,MATCH($C241,links!$D$2:$D$501,0))),""))</f>
        <v/>
      </c>
      <c r="I241" s="30" t="str">
        <f aca="false">IF($C241="","",IFERROR(IF(INDEX(links!$C$2:$C$501,MATCH($C241,links!$D$2:$D$501,0))="","",INDEX(links!$C$2:$C$501,MATCH($C241,links!$D$2:$D$501,0))),""))</f>
        <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c r="B242" s="38"/>
      <c r="D242" s="10"/>
      <c r="G242" s="30" t="str">
        <f aca="false">IF($C242="","",IFERROR(IF(INDEX(links!$A$2:$A$501,MATCH($C242,links!$D$2:$D$501,0))="","",INDEX(links!$A$2:$A$501,MATCH($C242,links!$D$2:$D$501,0))),""))</f>
        <v/>
      </c>
      <c r="H242" s="30" t="str">
        <f aca="false">IF($C242="","",IFERROR(IF(INDEX(links!$B$2:$B$501,MATCH($C242,links!$D$2:$D$501,0))="","",INDEX(links!$B$2:$B$501,MATCH($C242,links!$D$2:$D$501,0))),""))</f>
        <v/>
      </c>
      <c r="I242" s="30" t="str">
        <f aca="false">IF($C242="","",IFERROR(IF(INDEX(links!$C$2:$C$501,MATCH($C242,links!$D$2:$D$501,0))="","",INDEX(links!$C$2:$C$501,MATCH($C242,links!$D$2:$D$501,0))),""))</f>
        <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c r="B243" s="38"/>
      <c r="D243" s="10"/>
      <c r="G243" s="30" t="str">
        <f aca="false">IF($C243="","",IFERROR(IF(INDEX(links!$A$2:$A$501,MATCH($C243,links!$D$2:$D$501,0))="","",INDEX(links!$A$2:$A$501,MATCH($C243,links!$D$2:$D$501,0))),""))</f>
        <v/>
      </c>
      <c r="H243" s="30" t="str">
        <f aca="false">IF($C243="","",IFERROR(IF(INDEX(links!$B$2:$B$501,MATCH($C243,links!$D$2:$D$501,0))="","",INDEX(links!$B$2:$B$501,MATCH($C243,links!$D$2:$D$501,0))),""))</f>
        <v/>
      </c>
      <c r="I243" s="30" t="str">
        <f aca="false">IF($C243="","",IFERROR(IF(INDEX(links!$C$2:$C$501,MATCH($C243,links!$D$2:$D$501,0))="","",INDEX(links!$C$2:$C$501,MATCH($C243,links!$D$2:$D$501,0))),""))</f>
        <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c r="B244" s="38"/>
      <c r="D244" s="10"/>
      <c r="G244" s="30" t="str">
        <f aca="false">IF($C244="","",IFERROR(IF(INDEX(links!$A$2:$A$501,MATCH($C244,links!$D$2:$D$501,0))="","",INDEX(links!$A$2:$A$501,MATCH($C244,links!$D$2:$D$501,0))),""))</f>
        <v/>
      </c>
      <c r="H244" s="30" t="str">
        <f aca="false">IF($C244="","",IFERROR(IF(INDEX(links!$B$2:$B$501,MATCH($C244,links!$D$2:$D$501,0))="","",INDEX(links!$B$2:$B$501,MATCH($C244,links!$D$2:$D$501,0))),""))</f>
        <v/>
      </c>
      <c r="I244" s="30" t="str">
        <f aca="false">IF($C244="","",IFERROR(IF(INDEX(links!$C$2:$C$501,MATCH($C244,links!$D$2:$D$501,0))="","",INDEX(links!$C$2:$C$501,MATCH($C244,links!$D$2:$D$501,0))),""))</f>
        <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c r="B245" s="38"/>
      <c r="D245" s="10"/>
      <c r="G245" s="30" t="str">
        <f aca="false">IF($C245="","",IFERROR(IF(INDEX(links!$A$2:$A$501,MATCH($C245,links!$D$2:$D$501,0))="","",INDEX(links!$A$2:$A$501,MATCH($C245,links!$D$2:$D$501,0))),""))</f>
        <v/>
      </c>
      <c r="H245" s="30" t="str">
        <f aca="false">IF($C245="","",IFERROR(IF(INDEX(links!$B$2:$B$501,MATCH($C245,links!$D$2:$D$501,0))="","",INDEX(links!$B$2:$B$501,MATCH($C245,links!$D$2:$D$501,0))),""))</f>
        <v/>
      </c>
      <c r="I245" s="30" t="str">
        <f aca="false">IF($C245="","",IFERROR(IF(INDEX(links!$C$2:$C$501,MATCH($C245,links!$D$2:$D$501,0))="","",INDEX(links!$C$2:$C$501,MATCH($C245,links!$D$2:$D$501,0))),""))</f>
        <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c r="B246" s="38"/>
      <c r="D246" s="10"/>
      <c r="G246" s="30" t="str">
        <f aca="false">IF($C246="","",IFERROR(IF(INDEX(links!$A$2:$A$501,MATCH($C246,links!$D$2:$D$501,0))="","",INDEX(links!$A$2:$A$501,MATCH($C246,links!$D$2:$D$501,0))),""))</f>
        <v/>
      </c>
      <c r="H246" s="30" t="str">
        <f aca="false">IF($C246="","",IFERROR(IF(INDEX(links!$B$2:$B$501,MATCH($C246,links!$D$2:$D$501,0))="","",INDEX(links!$B$2:$B$501,MATCH($C246,links!$D$2:$D$501,0))),""))</f>
        <v/>
      </c>
      <c r="I246" s="30" t="str">
        <f aca="false">IF($C246="","",IFERROR(IF(INDEX(links!$C$2:$C$501,MATCH($C246,links!$D$2:$D$501,0))="","",INDEX(links!$C$2:$C$501,MATCH($C246,links!$D$2:$D$501,0))),""))</f>
        <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c r="B247" s="38"/>
      <c r="D247" s="10"/>
      <c r="G247" s="30" t="str">
        <f aca="false">IF($C247="","",IFERROR(IF(INDEX(links!$A$2:$A$501,MATCH($C247,links!$D$2:$D$501,0))="","",INDEX(links!$A$2:$A$501,MATCH($C247,links!$D$2:$D$501,0))),""))</f>
        <v/>
      </c>
      <c r="H247" s="30" t="str">
        <f aca="false">IF($C247="","",IFERROR(IF(INDEX(links!$B$2:$B$501,MATCH($C247,links!$D$2:$D$501,0))="","",INDEX(links!$B$2:$B$501,MATCH($C247,links!$D$2:$D$501,0))),""))</f>
        <v/>
      </c>
      <c r="I247" s="30" t="str">
        <f aca="false">IF($C247="","",IFERROR(IF(INDEX(links!$C$2:$C$501,MATCH($C247,links!$D$2:$D$501,0))="","",INDEX(links!$C$2:$C$501,MATCH($C247,links!$D$2:$D$501,0))),""))</f>
        <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c r="B248" s="38"/>
      <c r="D248" s="10"/>
      <c r="G248" s="30" t="str">
        <f aca="false">IF($C248="","",IFERROR(IF(INDEX(links!$A$2:$A$501,MATCH($C248,links!$D$2:$D$501,0))="","",INDEX(links!$A$2:$A$501,MATCH($C248,links!$D$2:$D$501,0))),""))</f>
        <v/>
      </c>
      <c r="H248" s="30" t="str">
        <f aca="false">IF($C248="","",IFERROR(IF(INDEX(links!$B$2:$B$501,MATCH($C248,links!$D$2:$D$501,0))="","",INDEX(links!$B$2:$B$501,MATCH($C248,links!$D$2:$D$501,0))),""))</f>
        <v/>
      </c>
      <c r="I248" s="30" t="str">
        <f aca="false">IF($C248="","",IFERROR(IF(INDEX(links!$C$2:$C$501,MATCH($C248,links!$D$2:$D$501,0))="","",INDEX(links!$C$2:$C$501,MATCH($C248,links!$D$2:$D$501,0))),""))</f>
        <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c r="B249" s="38"/>
      <c r="D249" s="10"/>
      <c r="G249" s="30" t="str">
        <f aca="false">IF($C249="","",IFERROR(IF(INDEX(links!$A$2:$A$501,MATCH($C249,links!$D$2:$D$501,0))="","",INDEX(links!$A$2:$A$501,MATCH($C249,links!$D$2:$D$501,0))),""))</f>
        <v/>
      </c>
      <c r="H249" s="30" t="str">
        <f aca="false">IF($C249="","",IFERROR(IF(INDEX(links!$B$2:$B$501,MATCH($C249,links!$D$2:$D$501,0))="","",INDEX(links!$B$2:$B$501,MATCH($C249,links!$D$2:$D$501,0))),""))</f>
        <v/>
      </c>
      <c r="I249" s="30" t="str">
        <f aca="false">IF($C249="","",IFERROR(IF(INDEX(links!$C$2:$C$501,MATCH($C249,links!$D$2:$D$501,0))="","",INDEX(links!$C$2:$C$501,MATCH($C249,links!$D$2:$D$501,0))),""))</f>
        <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c r="B250" s="38"/>
      <c r="D250" s="10"/>
      <c r="G250" s="30" t="str">
        <f aca="false">IF($C250="","",IFERROR(IF(INDEX(links!$A$2:$A$501,MATCH($C250,links!$D$2:$D$501,0))="","",INDEX(links!$A$2:$A$501,MATCH($C250,links!$D$2:$D$501,0))),""))</f>
        <v/>
      </c>
      <c r="H250" s="30" t="str">
        <f aca="false">IF($C250="","",IFERROR(IF(INDEX(links!$B$2:$B$501,MATCH($C250,links!$D$2:$D$501,0))="","",INDEX(links!$B$2:$B$501,MATCH($C250,links!$D$2:$D$501,0))),""))</f>
        <v/>
      </c>
      <c r="I250" s="30" t="str">
        <f aca="false">IF($C250="","",IFERROR(IF(INDEX(links!$C$2:$C$501,MATCH($C250,links!$D$2:$D$501,0))="","",INDEX(links!$C$2:$C$501,MATCH($C250,links!$D$2:$D$501,0))),""))</f>
        <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c r="B251" s="38"/>
      <c r="D251" s="10"/>
      <c r="G251" s="30" t="str">
        <f aca="false">IF($C251="","",IFERROR(IF(INDEX(links!$A$2:$A$501,MATCH($C251,links!$D$2:$D$501,0))="","",INDEX(links!$A$2:$A$501,MATCH($C251,links!$D$2:$D$501,0))),""))</f>
        <v/>
      </c>
      <c r="H251" s="30" t="str">
        <f aca="false">IF($C251="","",IFERROR(IF(INDEX(links!$B$2:$B$501,MATCH($C251,links!$D$2:$D$501,0))="","",INDEX(links!$B$2:$B$501,MATCH($C251,links!$D$2:$D$501,0))),""))</f>
        <v/>
      </c>
      <c r="I251" s="30" t="str">
        <f aca="false">IF($C251="","",IFERROR(IF(INDEX(links!$C$2:$C$501,MATCH($C251,links!$D$2:$D$501,0))="","",INDEX(links!$C$2:$C$501,MATCH($C251,links!$D$2:$D$501,0))),""))</f>
        <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c r="B252" s="38"/>
      <c r="D252" s="10"/>
      <c r="G252" s="30" t="str">
        <f aca="false">IF($C252="","",IFERROR(IF(INDEX(links!$A$2:$A$501,MATCH($C252,links!$D$2:$D$501,0))="","",INDEX(links!$A$2:$A$501,MATCH($C252,links!$D$2:$D$501,0))),""))</f>
        <v/>
      </c>
      <c r="H252" s="30" t="str">
        <f aca="false">IF($C252="","",IFERROR(IF(INDEX(links!$B$2:$B$501,MATCH($C252,links!$D$2:$D$501,0))="","",INDEX(links!$B$2:$B$501,MATCH($C252,links!$D$2:$D$501,0))),""))</f>
        <v/>
      </c>
      <c r="I252" s="30" t="str">
        <f aca="false">IF($C252="","",IFERROR(IF(INDEX(links!$C$2:$C$501,MATCH($C252,links!$D$2:$D$501,0))="","",INDEX(links!$C$2:$C$501,MATCH($C252,links!$D$2:$D$501,0))),""))</f>
        <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c r="B253" s="38"/>
      <c r="D253" s="10"/>
      <c r="G253" s="30" t="str">
        <f aca="false">IF($C253="","",IFERROR(IF(INDEX(links!$A$2:$A$501,MATCH($C253,links!$D$2:$D$501,0))="","",INDEX(links!$A$2:$A$501,MATCH($C253,links!$D$2:$D$501,0))),""))</f>
        <v/>
      </c>
      <c r="H253" s="30" t="str">
        <f aca="false">IF($C253="","",IFERROR(IF(INDEX(links!$B$2:$B$501,MATCH($C253,links!$D$2:$D$501,0))="","",INDEX(links!$B$2:$B$501,MATCH($C253,links!$D$2:$D$501,0))),""))</f>
        <v/>
      </c>
      <c r="I253" s="30" t="str">
        <f aca="false">IF($C253="","",IFERROR(IF(INDEX(links!$C$2:$C$501,MATCH($C253,links!$D$2:$D$501,0))="","",INDEX(links!$C$2:$C$501,MATCH($C253,links!$D$2:$D$501,0))),""))</f>
        <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c r="B254" s="38"/>
      <c r="D254" s="10"/>
      <c r="G254" s="30" t="str">
        <f aca="false">IF($C254="","",IFERROR(IF(INDEX(links!$A$2:$A$501,MATCH($C254,links!$D$2:$D$501,0))="","",INDEX(links!$A$2:$A$501,MATCH($C254,links!$D$2:$D$501,0))),""))</f>
        <v/>
      </c>
      <c r="H254" s="30" t="str">
        <f aca="false">IF($C254="","",IFERROR(IF(INDEX(links!$B$2:$B$501,MATCH($C254,links!$D$2:$D$501,0))="","",INDEX(links!$B$2:$B$501,MATCH($C254,links!$D$2:$D$501,0))),""))</f>
        <v/>
      </c>
      <c r="I254" s="30" t="str">
        <f aca="false">IF($C254="","",IFERROR(IF(INDEX(links!$C$2:$C$501,MATCH($C254,links!$D$2:$D$501,0))="","",INDEX(links!$C$2:$C$501,MATCH($C254,links!$D$2:$D$501,0))),""))</f>
        <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c r="B255" s="38"/>
      <c r="D255" s="10"/>
      <c r="G255" s="30" t="str">
        <f aca="false">IF($C255="","",IFERROR(IF(INDEX(links!$A$2:$A$501,MATCH($C255,links!$D$2:$D$501,0))="","",INDEX(links!$A$2:$A$501,MATCH($C255,links!$D$2:$D$501,0))),""))</f>
        <v/>
      </c>
      <c r="H255" s="30" t="str">
        <f aca="false">IF($C255="","",IFERROR(IF(INDEX(links!$B$2:$B$501,MATCH($C255,links!$D$2:$D$501,0))="","",INDEX(links!$B$2:$B$501,MATCH($C255,links!$D$2:$D$501,0))),""))</f>
        <v/>
      </c>
      <c r="I255" s="30" t="str">
        <f aca="false">IF($C255="","",IFERROR(IF(INDEX(links!$C$2:$C$501,MATCH($C255,links!$D$2:$D$501,0))="","",INDEX(links!$C$2:$C$501,MATCH($C255,links!$D$2:$D$501,0))),""))</f>
        <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8"/>
      <c r="D256" s="10"/>
      <c r="G256" s="30" t="str">
        <f aca="false">IF($C256="","",IFERROR(IF(INDEX(links!$A$2:$A$501,MATCH($C256,links!$D$2:$D$501,0))="","",INDEX(links!$A$2:$A$501,MATCH($C256,links!$D$2:$D$501,0))),""))</f>
        <v/>
      </c>
      <c r="H256" s="30" t="str">
        <f aca="false">IF($C256="","",IFERROR(IF(INDEX(links!$B$2:$B$501,MATCH($C256,links!$D$2:$D$501,0))="","",INDEX(links!$B$2:$B$501,MATCH($C256,links!$D$2:$D$501,0))),""))</f>
        <v/>
      </c>
      <c r="I256" s="30" t="str">
        <f aca="false">IF($C256="","",IFERROR(IF(INDEX(links!$C$2:$C$501,MATCH($C256,links!$D$2:$D$501,0))="","",INDEX(links!$C$2:$C$501,MATCH($C256,links!$D$2:$D$501,0))),""))</f>
        <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8"/>
      <c r="D257" s="10"/>
      <c r="G257" s="30" t="str">
        <f aca="false">IF($C257="","",IFERROR(IF(INDEX(links!$A$2:$A$501,MATCH($C257,links!$D$2:$D$501,0))="","",INDEX(links!$A$2:$A$501,MATCH($C257,links!$D$2:$D$501,0))),""))</f>
        <v/>
      </c>
      <c r="H257" s="30" t="str">
        <f aca="false">IF($C257="","",IFERROR(IF(INDEX(links!$B$2:$B$501,MATCH($C257,links!$D$2:$D$501,0))="","",INDEX(links!$B$2:$B$501,MATCH($C257,links!$D$2:$D$501,0))),""))</f>
        <v/>
      </c>
      <c r="I257" s="30" t="str">
        <f aca="false">IF($C257="","",IFERROR(IF(INDEX(links!$C$2:$C$501,MATCH($C257,links!$D$2:$D$501,0))="","",INDEX(links!$C$2:$C$501,MATCH($C257,links!$D$2:$D$501,0))),""))</f>
        <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8"/>
      <c r="D258" s="10"/>
      <c r="G258" s="30" t="str">
        <f aca="false">IF($C258="","",IFERROR(IF(INDEX(links!$A$2:$A$501,MATCH($C258,links!$D$2:$D$501,0))="","",INDEX(links!$A$2:$A$501,MATCH($C258,links!$D$2:$D$501,0))),""))</f>
        <v/>
      </c>
      <c r="H258" s="30" t="str">
        <f aca="false">IF($C258="","",IFERROR(IF(INDEX(links!$B$2:$B$501,MATCH($C258,links!$D$2:$D$501,0))="","",INDEX(links!$B$2:$B$501,MATCH($C258,links!$D$2:$D$501,0))),""))</f>
        <v/>
      </c>
      <c r="I258" s="30" t="str">
        <f aca="false">IF($C258="","",IFERROR(IF(INDEX(links!$C$2:$C$501,MATCH($C258,links!$D$2:$D$501,0))="","",INDEX(links!$C$2:$C$501,MATCH($C258,links!$D$2:$D$501,0))),""))</f>
        <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8"/>
      <c r="D259" s="10"/>
      <c r="G259" s="30" t="str">
        <f aca="false">IF($C259="","",IFERROR(IF(INDEX(links!$A$2:$A$501,MATCH($C259,links!$D$2:$D$501,0))="","",INDEX(links!$A$2:$A$501,MATCH($C259,links!$D$2:$D$501,0))),""))</f>
        <v/>
      </c>
      <c r="H259" s="30" t="str">
        <f aca="false">IF($C259="","",IFERROR(IF(INDEX(links!$B$2:$B$501,MATCH($C259,links!$D$2:$D$501,0))="","",INDEX(links!$B$2:$B$501,MATCH($C259,links!$D$2:$D$501,0))),""))</f>
        <v/>
      </c>
      <c r="I259" s="30" t="str">
        <f aca="false">IF($C259="","",IFERROR(IF(INDEX(links!$C$2:$C$501,MATCH($C259,links!$D$2:$D$501,0))="","",INDEX(links!$C$2:$C$501,MATCH($C259,links!$D$2:$D$501,0))),""))</f>
        <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8"/>
      <c r="D260" s="10"/>
      <c r="G260" s="30" t="str">
        <f aca="false">IF($C260="","",IFERROR(IF(INDEX(links!$A$2:$A$501,MATCH($C260,links!$D$2:$D$501,0))="","",INDEX(links!$A$2:$A$501,MATCH($C260,links!$D$2:$D$501,0))),""))</f>
        <v/>
      </c>
      <c r="H260" s="30" t="str">
        <f aca="false">IF($C260="","",IFERROR(IF(INDEX(links!$B$2:$B$501,MATCH($C260,links!$D$2:$D$501,0))="","",INDEX(links!$B$2:$B$501,MATCH($C260,links!$D$2:$D$501,0))),""))</f>
        <v/>
      </c>
      <c r="I260" s="30" t="str">
        <f aca="false">IF($C260="","",IFERROR(IF(INDEX(links!$C$2:$C$501,MATCH($C260,links!$D$2:$D$501,0))="","",INDEX(links!$C$2:$C$501,MATCH($C260,links!$D$2:$D$501,0))),""))</f>
        <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8"/>
      <c r="D261" s="10"/>
      <c r="G261" s="30" t="str">
        <f aca="false">IF($C261="","",IFERROR(IF(INDEX(links!$A$2:$A$501,MATCH($C261,links!$D$2:$D$501,0))="","",INDEX(links!$A$2:$A$501,MATCH($C261,links!$D$2:$D$501,0))),""))</f>
        <v/>
      </c>
      <c r="H261" s="30" t="str">
        <f aca="false">IF($C261="","",IFERROR(IF(INDEX(links!$B$2:$B$501,MATCH($C261,links!$D$2:$D$501,0))="","",INDEX(links!$B$2:$B$501,MATCH($C261,links!$D$2:$D$501,0))),""))</f>
        <v/>
      </c>
      <c r="I261" s="30" t="str">
        <f aca="false">IF($C261="","",IFERROR(IF(INDEX(links!$C$2:$C$501,MATCH($C261,links!$D$2:$D$501,0))="","",INDEX(links!$C$2:$C$501,MATCH($C261,links!$D$2:$D$501,0))),""))</f>
        <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8"/>
      <c r="D262" s="10"/>
      <c r="G262" s="30" t="str">
        <f aca="false">IF($C262="","",IFERROR(IF(INDEX(links!$A$2:$A$501,MATCH($C262,links!$D$2:$D$501,0))="","",INDEX(links!$A$2:$A$501,MATCH($C262,links!$D$2:$D$501,0))),""))</f>
        <v/>
      </c>
      <c r="H262" s="30" t="str">
        <f aca="false">IF($C262="","",IFERROR(IF(INDEX(links!$B$2:$B$501,MATCH($C262,links!$D$2:$D$501,0))="","",INDEX(links!$B$2:$B$501,MATCH($C262,links!$D$2:$D$501,0))),""))</f>
        <v/>
      </c>
      <c r="I262" s="30" t="str">
        <f aca="false">IF($C262="","",IFERROR(IF(INDEX(links!$C$2:$C$501,MATCH($C262,links!$D$2:$D$501,0))="","",INDEX(links!$C$2:$C$501,MATCH($C262,links!$D$2:$D$501,0))),""))</f>
        <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8"/>
      <c r="D263" s="10"/>
      <c r="G263" s="30" t="str">
        <f aca="false">IF($C263="","",IFERROR(IF(INDEX(links!$A$2:$A$501,MATCH($C263,links!$D$2:$D$501,0))="","",INDEX(links!$A$2:$A$501,MATCH($C263,links!$D$2:$D$501,0))),""))</f>
        <v/>
      </c>
      <c r="H263" s="30" t="str">
        <f aca="false">IF($C263="","",IFERROR(IF(INDEX(links!$B$2:$B$501,MATCH($C263,links!$D$2:$D$501,0))="","",INDEX(links!$B$2:$B$501,MATCH($C263,links!$D$2:$D$501,0))),""))</f>
        <v/>
      </c>
      <c r="I263" s="30" t="str">
        <f aca="false">IF($C263="","",IFERROR(IF(INDEX(links!$C$2:$C$501,MATCH($C263,links!$D$2:$D$501,0))="","",INDEX(links!$C$2:$C$501,MATCH($C263,links!$D$2:$D$501,0))),""))</f>
        <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8"/>
      <c r="D264" s="10"/>
      <c r="G264" s="30" t="str">
        <f aca="false">IF($C264="","",IFERROR(IF(INDEX(links!$A$2:$A$501,MATCH($C264,links!$D$2:$D$501,0))="","",INDEX(links!$A$2:$A$501,MATCH($C264,links!$D$2:$D$501,0))),""))</f>
        <v/>
      </c>
      <c r="H264" s="30" t="str">
        <f aca="false">IF($C264="","",IFERROR(IF(INDEX(links!$B$2:$B$501,MATCH($C264,links!$D$2:$D$501,0))="","",INDEX(links!$B$2:$B$501,MATCH($C264,links!$D$2:$D$501,0))),""))</f>
        <v/>
      </c>
      <c r="I264" s="30" t="str">
        <f aca="false">IF($C264="","",IFERROR(IF(INDEX(links!$C$2:$C$501,MATCH($C264,links!$D$2:$D$501,0))="","",INDEX(links!$C$2:$C$501,MATCH($C264,links!$D$2:$D$501,0))),""))</f>
        <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8"/>
      <c r="D265" s="10"/>
      <c r="G265" s="30" t="str">
        <f aca="false">IF($C265="","",IFERROR(IF(INDEX(links!$A$2:$A$501,MATCH($C265,links!$D$2:$D$501,0))="","",INDEX(links!$A$2:$A$501,MATCH($C265,links!$D$2:$D$501,0))),""))</f>
        <v/>
      </c>
      <c r="H265" s="30" t="str">
        <f aca="false">IF($C265="","",IFERROR(IF(INDEX(links!$B$2:$B$501,MATCH($C265,links!$D$2:$D$501,0))="","",INDEX(links!$B$2:$B$501,MATCH($C265,links!$D$2:$D$501,0))),""))</f>
        <v/>
      </c>
      <c r="I265" s="30" t="str">
        <f aca="false">IF($C265="","",IFERROR(IF(INDEX(links!$C$2:$C$501,MATCH($C265,links!$D$2:$D$501,0))="","",INDEX(links!$C$2:$C$501,MATCH($C265,links!$D$2:$D$501,0))),""))</f>
        <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8"/>
      <c r="D266" s="10"/>
      <c r="G266" s="30" t="str">
        <f aca="false">IF($C266="","",IFERROR(IF(INDEX(links!$A$2:$A$501,MATCH($C266,links!$D$2:$D$501,0))="","",INDEX(links!$A$2:$A$501,MATCH($C266,links!$D$2:$D$501,0))),""))</f>
        <v/>
      </c>
      <c r="H266" s="30" t="str">
        <f aca="false">IF($C266="","",IFERROR(IF(INDEX(links!$B$2:$B$501,MATCH($C266,links!$D$2:$D$501,0))="","",INDEX(links!$B$2:$B$501,MATCH($C266,links!$D$2:$D$501,0))),""))</f>
        <v/>
      </c>
      <c r="I266" s="30" t="str">
        <f aca="false">IF($C266="","",IFERROR(IF(INDEX(links!$C$2:$C$501,MATCH($C266,links!$D$2:$D$501,0))="","",INDEX(links!$C$2:$C$501,MATCH($C266,links!$D$2:$D$501,0))),""))</f>
        <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8"/>
      <c r="D267" s="10"/>
      <c r="G267" s="30" t="str">
        <f aca="false">IF($C267="","",IFERROR(IF(INDEX(links!$A$2:$A$501,MATCH($C267,links!$D$2:$D$501,0))="","",INDEX(links!$A$2:$A$501,MATCH($C267,links!$D$2:$D$501,0))),""))</f>
        <v/>
      </c>
      <c r="H267" s="30" t="str">
        <f aca="false">IF($C267="","",IFERROR(IF(INDEX(links!$B$2:$B$501,MATCH($C267,links!$D$2:$D$501,0))="","",INDEX(links!$B$2:$B$501,MATCH($C267,links!$D$2:$D$501,0))),""))</f>
        <v/>
      </c>
      <c r="I267" s="30" t="str">
        <f aca="false">IF($C267="","",IFERROR(IF(INDEX(links!$C$2:$C$501,MATCH($C267,links!$D$2:$D$501,0))="","",INDEX(links!$C$2:$C$501,MATCH($C267,links!$D$2:$D$501,0))),""))</f>
        <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8"/>
      <c r="D268" s="10"/>
      <c r="G268" s="30" t="str">
        <f aca="false">IF($C268="","",IFERROR(IF(INDEX(links!$A$2:$A$501,MATCH($C268,links!$D$2:$D$501,0))="","",INDEX(links!$A$2:$A$501,MATCH($C268,links!$D$2:$D$501,0))),""))</f>
        <v/>
      </c>
      <c r="H268" s="30" t="str">
        <f aca="false">IF($C268="","",IFERROR(IF(INDEX(links!$B$2:$B$501,MATCH($C268,links!$D$2:$D$501,0))="","",INDEX(links!$B$2:$B$501,MATCH($C268,links!$D$2:$D$501,0))),""))</f>
        <v/>
      </c>
      <c r="I268" s="30" t="str">
        <f aca="false">IF($C268="","",IFERROR(IF(INDEX(links!$C$2:$C$501,MATCH($C268,links!$D$2:$D$501,0))="","",INDEX(links!$C$2:$C$501,MATCH($C268,links!$D$2:$D$501,0))),""))</f>
        <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8"/>
      <c r="D269" s="10"/>
      <c r="G269" s="30" t="str">
        <f aca="false">IF($C269="","",IFERROR(IF(INDEX(links!$A$2:$A$501,MATCH($C269,links!$D$2:$D$501,0))="","",INDEX(links!$A$2:$A$501,MATCH($C269,links!$D$2:$D$501,0))),""))</f>
        <v/>
      </c>
      <c r="H269" s="30" t="str">
        <f aca="false">IF($C269="","",IFERROR(IF(INDEX(links!$B$2:$B$501,MATCH($C269,links!$D$2:$D$501,0))="","",INDEX(links!$B$2:$B$501,MATCH($C269,links!$D$2:$D$501,0))),""))</f>
        <v/>
      </c>
      <c r="I269" s="30" t="str">
        <f aca="false">IF($C269="","",IFERROR(IF(INDEX(links!$C$2:$C$501,MATCH($C269,links!$D$2:$D$501,0))="","",INDEX(links!$C$2:$C$501,MATCH($C269,links!$D$2:$D$501,0))),""))</f>
        <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8"/>
      <c r="D270" s="10"/>
      <c r="G270" s="30" t="str">
        <f aca="false">IF($C270="","",IFERROR(IF(INDEX(links!$A$2:$A$501,MATCH($C270,links!$D$2:$D$501,0))="","",INDEX(links!$A$2:$A$501,MATCH($C270,links!$D$2:$D$501,0))),""))</f>
        <v/>
      </c>
      <c r="H270" s="30" t="str">
        <f aca="false">IF($C270="","",IFERROR(IF(INDEX(links!$B$2:$B$501,MATCH($C270,links!$D$2:$D$501,0))="","",INDEX(links!$B$2:$B$501,MATCH($C270,links!$D$2:$D$501,0))),""))</f>
        <v/>
      </c>
      <c r="I270" s="30" t="str">
        <f aca="false">IF($C270="","",IFERROR(IF(INDEX(links!$C$2:$C$501,MATCH($C270,links!$D$2:$D$501,0))="","",INDEX(links!$C$2:$C$501,MATCH($C270,links!$D$2:$D$501,0))),""))</f>
        <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8"/>
      <c r="D271" s="10"/>
      <c r="G271" s="30" t="str">
        <f aca="false">IF($C271="","",IFERROR(IF(INDEX(links!$A$2:$A$501,MATCH($C271,links!$D$2:$D$501,0))="","",INDEX(links!$A$2:$A$501,MATCH($C271,links!$D$2:$D$501,0))),""))</f>
        <v/>
      </c>
      <c r="H271" s="30" t="str">
        <f aca="false">IF($C271="","",IFERROR(IF(INDEX(links!$B$2:$B$501,MATCH($C271,links!$D$2:$D$501,0))="","",INDEX(links!$B$2:$B$501,MATCH($C271,links!$D$2:$D$501,0))),""))</f>
        <v/>
      </c>
      <c r="I271" s="30" t="str">
        <f aca="false">IF($C271="","",IFERROR(IF(INDEX(links!$C$2:$C$501,MATCH($C271,links!$D$2:$D$501,0))="","",INDEX(links!$C$2:$C$501,MATCH($C271,links!$D$2:$D$501,0))),""))</f>
        <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8"/>
      <c r="D272" s="10"/>
      <c r="G272" s="30" t="str">
        <f aca="false">IF($C272="","",IFERROR(IF(INDEX(links!$A$2:$A$501,MATCH($C272,links!$D$2:$D$501,0))="","",INDEX(links!$A$2:$A$501,MATCH($C272,links!$D$2:$D$501,0))),""))</f>
        <v/>
      </c>
      <c r="H272" s="30" t="str">
        <f aca="false">IF($C272="","",IFERROR(IF(INDEX(links!$B$2:$B$501,MATCH($C272,links!$D$2:$D$501,0))="","",INDEX(links!$B$2:$B$501,MATCH($C272,links!$D$2:$D$501,0))),""))</f>
        <v/>
      </c>
      <c r="I272" s="30" t="str">
        <f aca="false">IF($C272="","",IFERROR(IF(INDEX(links!$C$2:$C$501,MATCH($C272,links!$D$2:$D$501,0))="","",INDEX(links!$C$2:$C$501,MATCH($C272,links!$D$2:$D$501,0))),""))</f>
        <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8"/>
      <c r="D273" s="10"/>
      <c r="G273" s="30" t="str">
        <f aca="false">IF($C273="","",IFERROR(IF(INDEX(links!$A$2:$A$501,MATCH($C273,links!$D$2:$D$501,0))="","",INDEX(links!$A$2:$A$501,MATCH($C273,links!$D$2:$D$501,0))),""))</f>
        <v/>
      </c>
      <c r="H273" s="30" t="str">
        <f aca="false">IF($C273="","",IFERROR(IF(INDEX(links!$B$2:$B$501,MATCH($C273,links!$D$2:$D$501,0))="","",INDEX(links!$B$2:$B$501,MATCH($C273,links!$D$2:$D$501,0))),""))</f>
        <v/>
      </c>
      <c r="I273" s="30" t="str">
        <f aca="false">IF($C273="","",IFERROR(IF(INDEX(links!$C$2:$C$501,MATCH($C273,links!$D$2:$D$501,0))="","",INDEX(links!$C$2:$C$501,MATCH($C273,links!$D$2:$D$501,0))),""))</f>
        <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8"/>
      <c r="D274" s="10"/>
      <c r="G274" s="30" t="str">
        <f aca="false">IF($C274="","",IFERROR(IF(INDEX(links!$A$2:$A$501,MATCH($C274,links!$D$2:$D$501,0))="","",INDEX(links!$A$2:$A$501,MATCH($C274,links!$D$2:$D$501,0))),""))</f>
        <v/>
      </c>
      <c r="H274" s="30" t="str">
        <f aca="false">IF($C274="","",IFERROR(IF(INDEX(links!$B$2:$B$501,MATCH($C274,links!$D$2:$D$501,0))="","",INDEX(links!$B$2:$B$501,MATCH($C274,links!$D$2:$D$501,0))),""))</f>
        <v/>
      </c>
      <c r="I274" s="30" t="str">
        <f aca="false">IF($C274="","",IFERROR(IF(INDEX(links!$C$2:$C$501,MATCH($C274,links!$D$2:$D$501,0))="","",INDEX(links!$C$2:$C$501,MATCH($C274,links!$D$2:$D$501,0))),""))</f>
        <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8"/>
      <c r="D275" s="10"/>
      <c r="G275" s="30" t="str">
        <f aca="false">IF($C275="","",IFERROR(IF(INDEX(links!$A$2:$A$501,MATCH($C275,links!$D$2:$D$501,0))="","",INDEX(links!$A$2:$A$501,MATCH($C275,links!$D$2:$D$501,0))),""))</f>
        <v/>
      </c>
      <c r="H275" s="30" t="str">
        <f aca="false">IF($C275="","",IFERROR(IF(INDEX(links!$B$2:$B$501,MATCH($C275,links!$D$2:$D$501,0))="","",INDEX(links!$B$2:$B$501,MATCH($C275,links!$D$2:$D$501,0))),""))</f>
        <v/>
      </c>
      <c r="I275" s="30" t="str">
        <f aca="false">IF($C275="","",IFERROR(IF(INDEX(links!$C$2:$C$501,MATCH($C275,links!$D$2:$D$501,0))="","",INDEX(links!$C$2:$C$501,MATCH($C275,links!$D$2:$D$501,0))),""))</f>
        <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344</v>
      </c>
      <c r="B1" s="28" t="s">
        <v>770</v>
      </c>
      <c r="C1" s="28" t="s">
        <v>771</v>
      </c>
      <c r="D1" s="28" t="s">
        <v>772</v>
      </c>
      <c r="E1" s="28" t="s">
        <v>773</v>
      </c>
      <c r="F1" s="28" t="s">
        <v>178</v>
      </c>
      <c r="G1" s="29" t="s">
        <v>774</v>
      </c>
      <c r="H1" s="29" t="s">
        <v>775</v>
      </c>
    </row>
    <row r="2" customFormat="false" ht="15" hidden="false" customHeight="false" outlineLevel="0" collapsed="false">
      <c r="A2" s="0" t="s">
        <v>458</v>
      </c>
      <c r="B2" s="11" t="n">
        <v>46408</v>
      </c>
      <c r="C2" s="0" t="n">
        <v>6</v>
      </c>
      <c r="D2" s="11" t="n">
        <v>46408</v>
      </c>
      <c r="E2" s="10" t="s">
        <v>776</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484</v>
      </c>
      <c r="B3" s="11" t="n">
        <v>46408</v>
      </c>
      <c r="C3" s="0" t="n">
        <v>2</v>
      </c>
      <c r="D3" s="11" t="n">
        <v>46408</v>
      </c>
      <c r="E3" s="10" t="s">
        <v>776</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458</v>
      </c>
      <c r="B4" s="11" t="n">
        <v>46429</v>
      </c>
      <c r="C4" s="0" t="n">
        <v>11</v>
      </c>
      <c r="D4" s="11" t="n">
        <v>46429</v>
      </c>
      <c r="E4" s="10" t="s">
        <v>776</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484</v>
      </c>
      <c r="B5" s="11" t="n">
        <v>46430</v>
      </c>
      <c r="C5" s="0" t="n">
        <v>4</v>
      </c>
      <c r="D5" s="11" t="n">
        <v>46430</v>
      </c>
      <c r="E5" s="10" t="s">
        <v>776</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B6" s="11"/>
      <c r="D6" s="11"/>
      <c r="G6" s="30" t="str">
        <f aca="false">IF(OR($A6="",$B6="",IFERROR(IF(INDEX(campaigns!$BG$2:$BG$51,MATCH($A6,campaigns!$A$2:$A$51,0))="","",INDEX(campaigns!$BG$2:$BG$51,MATCH($A6,campaigns!$A$2:$A$51,0))),"")=""),"",$B6-N(IFERROR(IF(INDEX(campaigns!$BG$2:$BG$51,MATCH($A6,campaigns!$A$2:$A$51,0))="","",INDEX(campaigns!$BG$2:$BG$51,MATCH($A6,campaigns!$A$2:$A$51,0))),"")))</f>
        <v/>
      </c>
      <c r="H6" s="30" t="str">
        <f aca="false">IF($G6="","",IF($G6&gt;=30,"Y","N"))</f>
        <v/>
      </c>
    </row>
    <row r="7" customFormat="false" ht="15" hidden="false" customHeight="false" outlineLevel="0" collapsed="false">
      <c r="B7" s="11"/>
      <c r="D7" s="11"/>
      <c r="G7" s="30" t="str">
        <f aca="false">IF(OR($A7="",$B7="",IFERROR(IF(INDEX(campaigns!$BG$2:$BG$51,MATCH($A7,campaigns!$A$2:$A$51,0))="","",INDEX(campaigns!$BG$2:$BG$51,MATCH($A7,campaigns!$A$2:$A$51,0))),"")=""),"",$B7-N(IFERROR(IF(INDEX(campaigns!$BG$2:$BG$51,MATCH($A7,campaigns!$A$2:$A$51,0))="","",INDEX(campaigns!$BG$2:$BG$51,MATCH($A7,campaigns!$A$2:$A$51,0))),"")))</f>
        <v/>
      </c>
      <c r="H7" s="30" t="str">
        <f aca="false">IF($G7="","",IF($G7&gt;=30,"Y","N"))</f>
        <v/>
      </c>
    </row>
    <row r="8" customFormat="false" ht="15" hidden="false" customHeight="false" outlineLevel="0" collapsed="false">
      <c r="B8" s="11"/>
      <c r="D8" s="11"/>
      <c r="G8" s="30" t="str">
        <f aca="false">IF(OR($A8="",$B8="",IFERROR(IF(INDEX(campaigns!$BG$2:$BG$51,MATCH($A8,campaigns!$A$2:$A$51,0))="","",INDEX(campaigns!$BG$2:$BG$51,MATCH($A8,campaigns!$A$2:$A$51,0))),"")=""),"",$B8-N(IFERROR(IF(INDEX(campaigns!$BG$2:$BG$51,MATCH($A8,campaigns!$A$2:$A$51,0))="","",INDEX(campaigns!$BG$2:$BG$51,MATCH($A8,campaigns!$A$2:$A$51,0))),"")))</f>
        <v/>
      </c>
      <c r="H8" s="30" t="str">
        <f aca="false">IF($G8="","",IF($G8&gt;=30,"Y","N"))</f>
        <v/>
      </c>
    </row>
    <row r="9" customFormat="false" ht="15" hidden="false" customHeight="false" outlineLevel="0" collapsed="false">
      <c r="B9" s="11"/>
      <c r="D9" s="11"/>
      <c r="G9" s="30" t="str">
        <f aca="false">IF(OR($A9="",$B9="",IFERROR(IF(INDEX(campaigns!$BG$2:$BG$51,MATCH($A9,campaigns!$A$2:$A$51,0))="","",INDEX(campaigns!$BG$2:$BG$51,MATCH($A9,campaigns!$A$2:$A$51,0))),"")=""),"",$B9-N(IFERROR(IF(INDEX(campaigns!$BG$2:$BG$51,MATCH($A9,campaigns!$A$2:$A$51,0))="","",INDEX(campaigns!$BG$2:$BG$51,MATCH($A9,campaigns!$A$2:$A$51,0))),"")))</f>
        <v/>
      </c>
      <c r="H9" s="30" t="str">
        <f aca="false">IF($G9="","",IF($G9&gt;=30,"Y","N"))</f>
        <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777</v>
      </c>
      <c r="B1" s="28" t="s">
        <v>77</v>
      </c>
      <c r="C1" s="28" t="s">
        <v>649</v>
      </c>
      <c r="D1" s="28" t="s">
        <v>299</v>
      </c>
      <c r="E1" s="28" t="s">
        <v>344</v>
      </c>
      <c r="F1" s="28" t="s">
        <v>540</v>
      </c>
      <c r="G1" s="28" t="s">
        <v>778</v>
      </c>
      <c r="H1" s="28" t="s">
        <v>779</v>
      </c>
      <c r="I1" s="28" t="s">
        <v>780</v>
      </c>
      <c r="J1" s="28" t="s">
        <v>781</v>
      </c>
      <c r="K1" s="28" t="s">
        <v>782</v>
      </c>
      <c r="L1" s="28" t="s">
        <v>783</v>
      </c>
      <c r="M1" s="28" t="s">
        <v>178</v>
      </c>
      <c r="N1" s="29" t="s">
        <v>784</v>
      </c>
      <c r="O1" s="29" t="s">
        <v>120</v>
      </c>
    </row>
    <row r="2" customFormat="false" ht="15" hidden="false" customHeight="false" outlineLevel="0" collapsed="false">
      <c r="A2" s="0" t="s">
        <v>785</v>
      </c>
      <c r="B2" s="11" t="n">
        <v>46386</v>
      </c>
      <c r="C2" s="38" t="n">
        <v>0.479166666666667</v>
      </c>
      <c r="D2" s="10" t="s">
        <v>337</v>
      </c>
      <c r="E2" s="10" t="s">
        <v>484</v>
      </c>
      <c r="G2" s="10" t="s">
        <v>786</v>
      </c>
      <c r="H2" s="10" t="s">
        <v>787</v>
      </c>
      <c r="I2" s="10" t="s">
        <v>788</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789</v>
      </c>
      <c r="B3" s="11" t="n">
        <v>46399</v>
      </c>
      <c r="C3" s="38" t="n">
        <v>0.452777777777778</v>
      </c>
      <c r="D3" s="10" t="s">
        <v>337</v>
      </c>
      <c r="F3" s="10" t="s">
        <v>584</v>
      </c>
      <c r="G3" s="10" t="s">
        <v>790</v>
      </c>
      <c r="H3" s="10" t="s">
        <v>791</v>
      </c>
      <c r="I3" s="10" t="s">
        <v>792</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793</v>
      </c>
      <c r="B4" s="11" t="n">
        <v>46400</v>
      </c>
      <c r="C4" s="38" t="n">
        <v>0.708333333333333</v>
      </c>
      <c r="D4" s="10" t="s">
        <v>337</v>
      </c>
      <c r="E4" s="10" t="s">
        <v>458</v>
      </c>
      <c r="F4" s="10" t="s">
        <v>584</v>
      </c>
      <c r="G4" s="10" t="s">
        <v>794</v>
      </c>
      <c r="H4" s="10" t="s">
        <v>795</v>
      </c>
      <c r="I4" s="10" t="s">
        <v>796</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B5" s="11"/>
      <c r="C5" s="38"/>
      <c r="G5" s="10"/>
      <c r="J5" s="11"/>
      <c r="K5" s="11"/>
      <c r="L5" s="11"/>
      <c r="N5" s="30" t="str">
        <f aca="true">IF($B5="","",IF($L5="",IF(config!$B$37&lt;&gt;"",config!$B$37,TODAY())-$B5,$L5-$B5))</f>
        <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B6" s="11"/>
      <c r="C6" s="38"/>
      <c r="G6" s="10"/>
      <c r="J6" s="11"/>
      <c r="K6" s="11"/>
      <c r="L6" s="11"/>
      <c r="N6" s="30" t="str">
        <f aca="true">IF($B6="","",IF($L6="",IF(config!$B$37&lt;&gt;"",config!$B$37,TODAY())-$B6,$L6-$B6))</f>
        <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B7" s="11"/>
      <c r="C7" s="38"/>
      <c r="G7" s="10"/>
      <c r="J7" s="11"/>
      <c r="K7" s="11"/>
      <c r="L7" s="11"/>
      <c r="N7" s="30" t="str">
        <f aca="true">IF($B7="","",IF($L7="",IF(config!$B$37&lt;&gt;"",config!$B$37,TODAY())-$B7,$L7-$B7))</f>
        <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8"/>
      <c r="G8" s="10"/>
      <c r="J8" s="11"/>
      <c r="K8" s="11"/>
      <c r="L8" s="11"/>
      <c r="N8" s="30" t="str">
        <f aca="true">IF($B8="","",IF($L8="",IF(config!$B$37&lt;&gt;"",config!$B$37,TODAY())-$B8,$L8-$B8))</f>
        <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8"/>
      <c r="G9" s="10"/>
      <c r="J9" s="11"/>
      <c r="K9" s="11"/>
      <c r="L9" s="11"/>
      <c r="N9" s="30" t="str">
        <f aca="true">IF($B9="","",IF($L9="",IF(config!$B$37&lt;&gt;"",config!$B$37,TODAY())-$B9,$L9-$B9))</f>
        <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344</v>
      </c>
      <c r="D1" s="28" t="s">
        <v>123</v>
      </c>
      <c r="E1" s="28" t="s">
        <v>331</v>
      </c>
      <c r="F1" s="28" t="s">
        <v>178</v>
      </c>
      <c r="G1" s="29" t="s">
        <v>120</v>
      </c>
    </row>
    <row r="2" customFormat="false" ht="15" hidden="false" customHeight="false" outlineLevel="0" collapsed="false">
      <c r="A2" s="11" t="n">
        <v>46322</v>
      </c>
      <c r="D2" s="10" t="s">
        <v>127</v>
      </c>
      <c r="E2" s="12" t="n">
        <v>1.5</v>
      </c>
      <c r="F2" s="10" t="s">
        <v>797</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797</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797</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797</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797</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797</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797</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797</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797</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797</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458</v>
      </c>
      <c r="D12" s="10" t="s">
        <v>126</v>
      </c>
      <c r="E12" s="12" t="n">
        <v>2</v>
      </c>
      <c r="F12" s="10" t="s">
        <v>798</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484</v>
      </c>
      <c r="D13" s="10" t="s">
        <v>126</v>
      </c>
      <c r="E13" s="12" t="n">
        <v>2</v>
      </c>
      <c r="F13" s="10" t="s">
        <v>798</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458</v>
      </c>
      <c r="D14" s="10" t="s">
        <v>126</v>
      </c>
      <c r="E14" s="12" t="n">
        <v>2</v>
      </c>
      <c r="F14" s="10" t="s">
        <v>798</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484</v>
      </c>
      <c r="D15" s="10" t="s">
        <v>126</v>
      </c>
      <c r="E15" s="12" t="n">
        <v>2</v>
      </c>
      <c r="F15" s="10" t="s">
        <v>798</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458</v>
      </c>
      <c r="D16" s="10" t="s">
        <v>126</v>
      </c>
      <c r="E16" s="12" t="n">
        <v>2</v>
      </c>
      <c r="F16" s="10" t="s">
        <v>798</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484</v>
      </c>
      <c r="D17" s="10" t="s">
        <v>126</v>
      </c>
      <c r="E17" s="12" t="n">
        <v>2</v>
      </c>
      <c r="F17" s="10" t="s">
        <v>798</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458</v>
      </c>
      <c r="D18" s="10" t="s">
        <v>126</v>
      </c>
      <c r="E18" s="12" t="n">
        <v>2</v>
      </c>
      <c r="F18" s="10" t="s">
        <v>798</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484</v>
      </c>
      <c r="D19" s="10" t="s">
        <v>126</v>
      </c>
      <c r="E19" s="12" t="n">
        <v>2</v>
      </c>
      <c r="F19" s="10" t="s">
        <v>798</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458</v>
      </c>
      <c r="D20" s="10" t="s">
        <v>126</v>
      </c>
      <c r="E20" s="12" t="n">
        <v>2</v>
      </c>
      <c r="F20" s="10" t="s">
        <v>798</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484</v>
      </c>
      <c r="D21" s="10" t="s">
        <v>126</v>
      </c>
      <c r="E21" s="12" t="n">
        <v>2</v>
      </c>
      <c r="F21" s="10" t="s">
        <v>798</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799</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799</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799</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799</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799</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800</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801</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802</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803</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804</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805</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458</v>
      </c>
      <c r="D33" s="10" t="s">
        <v>131</v>
      </c>
      <c r="E33" s="12" t="n">
        <v>1.5</v>
      </c>
      <c r="F33" s="10" t="s">
        <v>806</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484</v>
      </c>
      <c r="D34" s="10" t="s">
        <v>131</v>
      </c>
      <c r="E34" s="12" t="n">
        <v>1.5</v>
      </c>
      <c r="F34" s="10" t="s">
        <v>806</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458</v>
      </c>
      <c r="D35" s="10" t="s">
        <v>131</v>
      </c>
      <c r="E35" s="12" t="n">
        <v>0.5</v>
      </c>
      <c r="F35" s="10" t="s">
        <v>807</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484</v>
      </c>
      <c r="D36" s="10" t="s">
        <v>131</v>
      </c>
      <c r="E36" s="12" t="n">
        <v>0.5</v>
      </c>
      <c r="F36" s="10" t="s">
        <v>807</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808</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809</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c r="D39" s="10"/>
      <c r="E39" s="12"/>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c r="D40" s="10"/>
      <c r="E40" s="12"/>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c r="D41" s="10"/>
      <c r="E41" s="12"/>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c r="D42" s="10"/>
      <c r="E42" s="12"/>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c r="D43" s="10"/>
      <c r="E43" s="12"/>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c r="D44" s="10"/>
      <c r="E44" s="12"/>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c r="D45" s="10"/>
      <c r="E45" s="12"/>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c r="D46" s="10"/>
      <c r="E46" s="12"/>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c r="D47" s="10"/>
      <c r="E47" s="12"/>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c r="D48" s="10"/>
      <c r="E48" s="12"/>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c r="D49" s="10"/>
      <c r="E49" s="12"/>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c r="D50" s="10"/>
      <c r="E50" s="12"/>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c r="D51" s="10"/>
      <c r="E51" s="12"/>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c r="D52" s="10"/>
      <c r="E52" s="12"/>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c r="D53" s="10"/>
      <c r="E53" s="12"/>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c r="D54" s="10"/>
      <c r="E54" s="12"/>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c r="D55" s="10"/>
      <c r="E55" s="12"/>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c r="D56" s="10"/>
      <c r="E56" s="12"/>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c r="D57" s="10"/>
      <c r="E57" s="12"/>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c r="D58" s="10"/>
      <c r="E58" s="12"/>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c r="D59" s="10"/>
      <c r="E59" s="12"/>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c r="D60" s="10"/>
      <c r="E60" s="12"/>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c r="D61" s="10"/>
      <c r="E61" s="12"/>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c r="D62" s="10"/>
      <c r="E62" s="12"/>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c r="D63" s="10"/>
      <c r="E63" s="12"/>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c r="D64" s="10"/>
      <c r="E64" s="12"/>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c r="D65" s="10"/>
      <c r="E65" s="12"/>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c r="D66" s="10"/>
      <c r="E66" s="12"/>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D67" s="10"/>
      <c r="E67" s="12"/>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D68" s="10"/>
      <c r="E68" s="12"/>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D69" s="10"/>
      <c r="E69" s="12"/>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344</v>
      </c>
      <c r="D1" s="28" t="s">
        <v>810</v>
      </c>
      <c r="E1" s="28" t="s">
        <v>811</v>
      </c>
      <c r="F1" s="28" t="s">
        <v>812</v>
      </c>
      <c r="G1" s="28" t="s">
        <v>813</v>
      </c>
      <c r="H1" s="28" t="s">
        <v>178</v>
      </c>
      <c r="I1" s="29" t="s">
        <v>120</v>
      </c>
    </row>
    <row r="2" customFormat="false" ht="15" hidden="false" customHeight="false" outlineLevel="0" collapsed="false">
      <c r="A2" s="11" t="n">
        <v>46394</v>
      </c>
      <c r="B2" s="10" t="s">
        <v>337</v>
      </c>
      <c r="C2" s="10" t="s">
        <v>458</v>
      </c>
      <c r="D2" s="10" t="s">
        <v>814</v>
      </c>
      <c r="E2" s="12" t="n">
        <v>40</v>
      </c>
      <c r="F2" s="10" t="s">
        <v>815</v>
      </c>
      <c r="H2" s="10" t="s">
        <v>816</v>
      </c>
      <c r="I2" s="30" t="str">
        <f aca="false">IF($A2="","",IF(COUNTIF(drops!$A$2:$A$21,$B2)=0,"drop_id not on drops; ","")&amp;IF(N($E2)&lt;=0,"amount?; ","")&amp;IF($D2="","cost type?; ",""))</f>
        <v/>
      </c>
    </row>
    <row r="3" customFormat="false" ht="15" hidden="false" customHeight="false" outlineLevel="0" collapsed="false">
      <c r="A3" s="11" t="n">
        <v>46394</v>
      </c>
      <c r="B3" s="10" t="s">
        <v>337</v>
      </c>
      <c r="C3" s="10" t="s">
        <v>484</v>
      </c>
      <c r="D3" s="10" t="s">
        <v>814</v>
      </c>
      <c r="E3" s="12" t="n">
        <v>40</v>
      </c>
      <c r="F3" s="10" t="s">
        <v>815</v>
      </c>
      <c r="H3" s="10" t="s">
        <v>816</v>
      </c>
      <c r="I3" s="30" t="str">
        <f aca="false">IF($A3="","",IF(COUNTIF(drops!$A$2:$A$21,$B3)=0,"drop_id not on drops; ","")&amp;IF(N($E3)&lt;=0,"amount?; ","")&amp;IF($D3="","cost type?; ",""))</f>
        <v/>
      </c>
    </row>
    <row r="4" customFormat="false" ht="15" hidden="false" customHeight="false" outlineLevel="0" collapsed="false">
      <c r="A4" s="11" t="n">
        <v>46399</v>
      </c>
      <c r="B4" s="10" t="s">
        <v>337</v>
      </c>
      <c r="D4" s="10" t="s">
        <v>817</v>
      </c>
      <c r="E4" s="12" t="n">
        <v>34</v>
      </c>
      <c r="F4" s="10" t="s">
        <v>818</v>
      </c>
      <c r="H4" s="10" t="s">
        <v>819</v>
      </c>
      <c r="I4" s="30" t="str">
        <f aca="false">IF($A4="","",IF(COUNTIF(drops!$A$2:$A$21,$B4)=0,"drop_id not on drops; ","")&amp;IF(N($E4)&lt;=0,"amount?; ","")&amp;IF($D4="","cost type?; ",""))</f>
        <v/>
      </c>
    </row>
    <row r="5" customFormat="false" ht="15" hidden="false" customHeight="false" outlineLevel="0" collapsed="false">
      <c r="A5" s="11" t="n">
        <v>46399</v>
      </c>
      <c r="B5" s="10" t="s">
        <v>337</v>
      </c>
      <c r="D5" s="10" t="s">
        <v>817</v>
      </c>
      <c r="E5" s="12" t="n">
        <v>29</v>
      </c>
      <c r="F5" s="10" t="s">
        <v>818</v>
      </c>
      <c r="H5" s="10" t="s">
        <v>820</v>
      </c>
      <c r="I5" s="30" t="str">
        <f aca="false">IF($A5="","",IF(COUNTIF(drops!$A$2:$A$21,$B5)=0,"drop_id not on drops; ","")&amp;IF(N($E5)&lt;=0,"amount?; ","")&amp;IF($D5="","cost type?; ",""))</f>
        <v/>
      </c>
    </row>
    <row r="6" customFormat="false" ht="15" hidden="false" customHeight="false" outlineLevel="0" collapsed="false">
      <c r="A6" s="11" t="n">
        <v>46394</v>
      </c>
      <c r="B6" s="10" t="s">
        <v>337</v>
      </c>
      <c r="D6" s="10" t="s">
        <v>821</v>
      </c>
      <c r="E6" s="12" t="n">
        <v>9</v>
      </c>
      <c r="F6" s="10" t="s">
        <v>822</v>
      </c>
      <c r="H6" s="10" t="s">
        <v>823</v>
      </c>
      <c r="I6" s="30" t="str">
        <f aca="false">IF($A6="","",IF(COUNTIF(drops!$A$2:$A$21,$B6)=0,"drop_id not on drops; ","")&amp;IF(N($E6)&lt;=0,"amount?; ","")&amp;IF($D6="","cost type?; ",""))</f>
        <v/>
      </c>
    </row>
    <row r="7" customFormat="false" ht="15" hidden="false" customHeight="false" outlineLevel="0" collapsed="false">
      <c r="A7" s="11"/>
      <c r="D7" s="10"/>
      <c r="E7" s="12"/>
      <c r="I7" s="30" t="str">
        <f aca="false">IF($A7="","",IF(COUNTIF(drops!$A$2:$A$21,$B7)=0,"drop_id not on drops; ","")&amp;IF(N($E7)&lt;=0,"amount?; ","")&amp;IF($D7="","cost type?; ",""))</f>
        <v/>
      </c>
    </row>
    <row r="8" customFormat="false" ht="15" hidden="false" customHeight="false" outlineLevel="0" collapsed="false">
      <c r="A8" s="11"/>
      <c r="D8" s="10"/>
      <c r="E8" s="12"/>
      <c r="I8" s="30" t="str">
        <f aca="false">IF($A8="","",IF(COUNTIF(drops!$A$2:$A$21,$B8)=0,"drop_id not on drops; ","")&amp;IF(N($E8)&lt;=0,"amount?; ","")&amp;IF($D8="","cost type?; ",""))</f>
        <v/>
      </c>
    </row>
    <row r="9" customFormat="false" ht="15" hidden="false" customHeight="false" outlineLevel="0" collapsed="false">
      <c r="A9" s="11"/>
      <c r="D9" s="10"/>
      <c r="E9" s="12"/>
      <c r="I9" s="30" t="str">
        <f aca="false">IF($A9="","",IF(COUNTIF(drops!$A$2:$A$21,$B9)=0,"drop_id not on drops; ","")&amp;IF(N($E9)&lt;=0,"amount?; ","")&amp;IF($D9="","cost type?; ",""))</f>
        <v/>
      </c>
    </row>
    <row r="10" customFormat="false" ht="15" hidden="false" customHeight="false" outlineLevel="0" collapsed="false">
      <c r="A10" s="11"/>
      <c r="D10" s="10"/>
      <c r="E10" s="12"/>
      <c r="I10" s="30" t="str">
        <f aca="false">IF($A10="","",IF(COUNTIF(drops!$A$2:$A$21,$B10)=0,"drop_id not on drops; ","")&amp;IF(N($E10)&lt;=0,"amount?; ","")&amp;IF($D10="","cost type?; ",""))</f>
        <v/>
      </c>
    </row>
    <row r="11" customFormat="false" ht="15" hidden="false" customHeight="false" outlineLevel="0" collapsed="false">
      <c r="A11" s="11"/>
      <c r="D11" s="10"/>
      <c r="E11" s="12"/>
      <c r="I11" s="30" t="str">
        <f aca="false">IF($A11="","",IF(COUNTIF(drops!$A$2:$A$21,$B11)=0,"drop_id not on drops; ","")&amp;IF(N($E11)&lt;=0,"amount?; ","")&amp;IF($D11="","cost type?; ",""))</f>
        <v/>
      </c>
    </row>
    <row r="12" customFormat="false" ht="15" hidden="false" customHeight="false" outlineLevel="0" collapsed="false">
      <c r="A12" s="11"/>
      <c r="D12" s="10"/>
      <c r="E12" s="12"/>
      <c r="I12" s="30" t="str">
        <f aca="false">IF($A12="","",IF(COUNTIF(drops!$A$2:$A$21,$B12)=0,"drop_id not on drops; ","")&amp;IF(N($E12)&lt;=0,"amount?; ","")&amp;IF($D12="","cost type?; ",""))</f>
        <v/>
      </c>
    </row>
    <row r="13" customFormat="false" ht="15" hidden="false" customHeight="false" outlineLevel="0" collapsed="false">
      <c r="A13" s="11"/>
      <c r="D13" s="10"/>
      <c r="E13" s="12"/>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824</v>
      </c>
      <c r="B1" s="28" t="s">
        <v>344</v>
      </c>
      <c r="C1" s="28" t="s">
        <v>825</v>
      </c>
      <c r="D1" s="28" t="s">
        <v>826</v>
      </c>
      <c r="E1" s="28" t="s">
        <v>811</v>
      </c>
      <c r="F1" s="28" t="s">
        <v>827</v>
      </c>
      <c r="G1" s="28" t="s">
        <v>828</v>
      </c>
      <c r="H1" s="28" t="s">
        <v>829</v>
      </c>
      <c r="I1" s="28" t="s">
        <v>830</v>
      </c>
      <c r="J1" s="28" t="s">
        <v>831</v>
      </c>
      <c r="K1" s="28" t="s">
        <v>832</v>
      </c>
      <c r="L1" s="28" t="s">
        <v>446</v>
      </c>
      <c r="M1" s="28" t="s">
        <v>178</v>
      </c>
      <c r="N1" s="29" t="s">
        <v>397</v>
      </c>
      <c r="O1" s="29" t="s">
        <v>833</v>
      </c>
      <c r="P1" s="29" t="s">
        <v>834</v>
      </c>
      <c r="Q1" s="29" t="s">
        <v>79</v>
      </c>
      <c r="R1" s="29" t="s">
        <v>835</v>
      </c>
      <c r="S1" s="29" t="s">
        <v>120</v>
      </c>
    </row>
    <row r="2" customFormat="false" ht="15" hidden="false" customHeight="false" outlineLevel="0" collapsed="false">
      <c r="A2" s="0" t="s">
        <v>836</v>
      </c>
      <c r="B2" s="0" t="s">
        <v>458</v>
      </c>
      <c r="C2" s="10" t="s">
        <v>837</v>
      </c>
      <c r="D2" s="11" t="n">
        <v>46363</v>
      </c>
      <c r="E2" s="12" t="n">
        <v>600</v>
      </c>
      <c r="F2" s="12" t="n">
        <v>0</v>
      </c>
      <c r="G2" s="10" t="s">
        <v>534</v>
      </c>
      <c r="H2" s="11" t="n">
        <v>46366</v>
      </c>
      <c r="I2" s="12" t="n">
        <v>600</v>
      </c>
      <c r="J2" s="10" t="s">
        <v>838</v>
      </c>
      <c r="K2" s="10" t="s">
        <v>839</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840</v>
      </c>
      <c r="B3" s="0" t="s">
        <v>484</v>
      </c>
      <c r="C3" s="10" t="s">
        <v>837</v>
      </c>
      <c r="D3" s="11" t="n">
        <v>46364</v>
      </c>
      <c r="E3" s="12" t="n">
        <v>600</v>
      </c>
      <c r="F3" s="12" t="n">
        <v>0</v>
      </c>
      <c r="G3" s="10" t="s">
        <v>539</v>
      </c>
      <c r="H3" s="11" t="n">
        <v>46367</v>
      </c>
      <c r="I3" s="12" t="n">
        <v>600</v>
      </c>
      <c r="J3" s="10" t="s">
        <v>838</v>
      </c>
      <c r="K3" s="10" t="s">
        <v>841</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842</v>
      </c>
      <c r="B4" s="0" t="s">
        <v>458</v>
      </c>
      <c r="C4" s="10" t="s">
        <v>843</v>
      </c>
      <c r="D4" s="11" t="n">
        <v>46400</v>
      </c>
      <c r="E4" s="12" t="n">
        <v>-120</v>
      </c>
      <c r="F4" s="12" t="n">
        <v>0</v>
      </c>
      <c r="G4" s="10" t="s">
        <v>534</v>
      </c>
      <c r="H4" s="11" t="n">
        <v>46402</v>
      </c>
      <c r="I4" s="12" t="n">
        <v>-120</v>
      </c>
      <c r="J4" s="10" t="s">
        <v>838</v>
      </c>
      <c r="K4" s="10" t="s">
        <v>844</v>
      </c>
      <c r="L4" s="12" t="n">
        <v>0</v>
      </c>
      <c r="M4" s="10" t="s">
        <v>845</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C5" s="10"/>
      <c r="D5" s="11"/>
      <c r="E5" s="12"/>
      <c r="F5" s="12"/>
      <c r="H5" s="11"/>
      <c r="I5" s="12"/>
      <c r="J5" s="10"/>
      <c r="L5" s="12"/>
      <c r="N5" s="30" t="str">
        <f aca="false">IF($B5="","",IFERROR(IF(INDEX(campaigns!$BE$2:$BE$51,MATCH($B5,campaigns!$A$2:$A$51,0))="","",INDEX(campaigns!$BE$2:$BE$51,MATCH($B5,campaigns!$A$2:$A$51,0))),""))</f>
        <v/>
      </c>
      <c r="O5" s="31" t="str">
        <f aca="false">IF(OR($A5="",$D5=""),"",IF($C5="founding_full",WORKDAY($D5,config!$B$27,calendar!$A$2:$A$80),$D5))</f>
        <v/>
      </c>
      <c r="P5" s="32" t="str">
        <f aca="false">IF($A5="","",N($E5)+N($F5))</f>
        <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30" t="str">
        <f aca="false">IF($A5="","",IF(OR($C5="founding_full",$C5="standard_deposit"),"Y","N"))</f>
        <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C6" s="10"/>
      <c r="D6" s="11"/>
      <c r="E6" s="12"/>
      <c r="F6" s="12"/>
      <c r="H6" s="11"/>
      <c r="I6" s="12"/>
      <c r="J6" s="10"/>
      <c r="L6" s="12"/>
      <c r="N6" s="30" t="str">
        <f aca="false">IF($B6="","",IFERROR(IF(INDEX(campaigns!$BE$2:$BE$51,MATCH($B6,campaigns!$A$2:$A$51,0))="","",INDEX(campaigns!$BE$2:$BE$51,MATCH($B6,campaigns!$A$2:$A$51,0))),""))</f>
        <v/>
      </c>
      <c r="O6" s="31" t="str">
        <f aca="false">IF(OR($A6="",$D6=""),"",IF($C6="founding_full",WORKDAY($D6,config!$B$27,calendar!$A$2:$A$80),$D6))</f>
        <v/>
      </c>
      <c r="P6" s="32" t="str">
        <f aca="false">IF($A6="","",N($E6)+N($F6))</f>
        <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30" t="str">
        <f aca="false">IF($A6="","",IF(OR($C6="founding_full",$C6="standard_deposit"),"Y","N"))</f>
        <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C7" s="10"/>
      <c r="D7" s="11"/>
      <c r="E7" s="12"/>
      <c r="F7" s="12"/>
      <c r="H7" s="11"/>
      <c r="I7" s="12"/>
      <c r="J7" s="10"/>
      <c r="L7" s="12"/>
      <c r="N7" s="30" t="str">
        <f aca="false">IF($B7="","",IFERROR(IF(INDEX(campaigns!$BE$2:$BE$51,MATCH($B7,campaigns!$A$2:$A$51,0))="","",INDEX(campaigns!$BE$2:$BE$51,MATCH($B7,campaigns!$A$2:$A$51,0))),""))</f>
        <v/>
      </c>
      <c r="O7" s="31" t="str">
        <f aca="false">IF(OR($A7="",$D7=""),"",IF($C7="founding_full",WORKDAY($D7,config!$B$27,calendar!$A$2:$A$80),$D7))</f>
        <v/>
      </c>
      <c r="P7" s="32" t="str">
        <f aca="false">IF($A7="","",N($E7)+N($F7))</f>
        <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30" t="str">
        <f aca="false">IF($A7="","",IF(OR($C7="founding_full",$C7="standard_deposit"),"Y","N"))</f>
        <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C8" s="10"/>
      <c r="D8" s="11"/>
      <c r="E8" s="12"/>
      <c r="F8" s="12"/>
      <c r="H8" s="11"/>
      <c r="I8" s="12"/>
      <c r="J8" s="10"/>
      <c r="L8" s="12"/>
      <c r="N8" s="30" t="str">
        <f aca="false">IF($B8="","",IFERROR(IF(INDEX(campaigns!$BE$2:$BE$51,MATCH($B8,campaigns!$A$2:$A$51,0))="","",INDEX(campaigns!$BE$2:$BE$51,MATCH($B8,campaigns!$A$2:$A$51,0))),""))</f>
        <v/>
      </c>
      <c r="O8" s="31" t="str">
        <f aca="false">IF(OR($A8="",$D8=""),"",IF($C8="founding_full",WORKDAY($D8,config!$B$27,calendar!$A$2:$A$80),$D8))</f>
        <v/>
      </c>
      <c r="P8" s="32" t="str">
        <f aca="false">IF($A8="","",N($E8)+N($F8))</f>
        <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30" t="str">
        <f aca="false">IF($A8="","",IF(OR($C8="founding_full",$C8="standard_deposit"),"Y","N"))</f>
        <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C9" s="10"/>
      <c r="D9" s="11"/>
      <c r="E9" s="12"/>
      <c r="F9" s="12"/>
      <c r="H9" s="11"/>
      <c r="I9" s="12"/>
      <c r="J9" s="10"/>
      <c r="L9" s="12"/>
      <c r="N9" s="30" t="str">
        <f aca="false">IF($B9="","",IFERROR(IF(INDEX(campaigns!$BE$2:$BE$51,MATCH($B9,campaigns!$A$2:$A$51,0))="","",INDEX(campaigns!$BE$2:$BE$51,MATCH($B9,campaigns!$A$2:$A$51,0))),""))</f>
        <v/>
      </c>
      <c r="O9" s="31" t="str">
        <f aca="false">IF(OR($A9="",$D9=""),"",IF($C9="founding_full",WORKDAY($D9,config!$B$27,calendar!$A$2:$A$80),$D9))</f>
        <v/>
      </c>
      <c r="P9" s="32" t="str">
        <f aca="false">IF($A9="","",N($E9)+N($F9))</f>
        <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30" t="str">
        <f aca="false">IF($A9="","",IF(OR($C9="founding_full",$C9="standard_deposit"),"Y","N"))</f>
        <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C10" s="10"/>
      <c r="D10" s="11"/>
      <c r="E10" s="12"/>
      <c r="F10" s="12"/>
      <c r="H10" s="11"/>
      <c r="I10" s="12"/>
      <c r="J10" s="10"/>
      <c r="L10" s="12"/>
      <c r="N10" s="30" t="str">
        <f aca="false">IF($B10="","",IFERROR(IF(INDEX(campaigns!$BE$2:$BE$51,MATCH($B10,campaigns!$A$2:$A$51,0))="","",INDEX(campaigns!$BE$2:$BE$51,MATCH($B10,campaigns!$A$2:$A$51,0))),""))</f>
        <v/>
      </c>
      <c r="O10" s="31" t="str">
        <f aca="false">IF(OR($A10="",$D10=""),"",IF($C10="founding_full",WORKDAY($D10,config!$B$27,calendar!$A$2:$A$80),$D10))</f>
        <v/>
      </c>
      <c r="P10" s="32" t="str">
        <f aca="false">IF($A10="","",N($E10)+N($F10))</f>
        <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30" t="str">
        <f aca="false">IF($A10="","",IF(OR($C10="founding_full",$C10="standard_deposit"),"Y","N"))</f>
        <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C11" s="10"/>
      <c r="D11" s="11"/>
      <c r="E11" s="12"/>
      <c r="F11" s="12"/>
      <c r="H11" s="11"/>
      <c r="I11" s="12"/>
      <c r="J11" s="10"/>
      <c r="L11" s="12"/>
      <c r="N11" s="30" t="str">
        <f aca="false">IF($B11="","",IFERROR(IF(INDEX(campaigns!$BE$2:$BE$51,MATCH($B11,campaigns!$A$2:$A$51,0))="","",INDEX(campaigns!$BE$2:$BE$51,MATCH($B11,campaigns!$A$2:$A$51,0))),""))</f>
        <v/>
      </c>
      <c r="O11" s="31" t="str">
        <f aca="false">IF(OR($A11="",$D11=""),"",IF($C11="founding_full",WORKDAY($D11,config!$B$27,calendar!$A$2:$A$80),$D11))</f>
        <v/>
      </c>
      <c r="P11" s="32" t="str">
        <f aca="false">IF($A11="","",N($E11)+N($F11))</f>
        <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30" t="str">
        <f aca="false">IF($A11="","",IF(OR($C11="founding_full",$C11="standard_deposit"),"Y","N"))</f>
        <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30" t="str">
        <f aca="false">IF($B12="","",IFERROR(IF(INDEX(campaigns!$BE$2:$BE$51,MATCH($B12,campaigns!$A$2:$A$51,0))="","",INDEX(campaigns!$BE$2:$BE$51,MATCH($B12,campaigns!$A$2:$A$51,0))),""))</f>
        <v/>
      </c>
      <c r="O12" s="31" t="str">
        <f aca="false">IF(OR($A12="",$D12=""),"",IF($C12="founding_full",WORKDAY($D12,config!$B$27,calendar!$A$2:$A$80),$D12))</f>
        <v/>
      </c>
      <c r="P12" s="32" t="str">
        <f aca="false">IF($A12="","",N($E12)+N($F12))</f>
        <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30" t="str">
        <f aca="false">IF($A12="","",IF(OR($C12="founding_full",$C12="standard_deposit"),"Y","N"))</f>
        <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30" t="str">
        <f aca="false">IF($B13="","",IFERROR(IF(INDEX(campaigns!$BE$2:$BE$51,MATCH($B13,campaigns!$A$2:$A$51,0))="","",INDEX(campaigns!$BE$2:$BE$51,MATCH($B13,campaigns!$A$2:$A$51,0))),""))</f>
        <v/>
      </c>
      <c r="O13" s="31" t="str">
        <f aca="false">IF(OR($A13="",$D13=""),"",IF($C13="founding_full",WORKDAY($D13,config!$B$27,calendar!$A$2:$A$80),$D13))</f>
        <v/>
      </c>
      <c r="P13" s="32" t="str">
        <f aca="false">IF($A13="","",N($E13)+N($F13))</f>
        <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30" t="str">
        <f aca="false">IF($A13="","",IF(OR($C13="founding_full",$C13="standard_deposit"),"Y","N"))</f>
        <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30" t="str">
        <f aca="false">IF($B14="","",IFERROR(IF(INDEX(campaigns!$BE$2:$BE$51,MATCH($B14,campaigns!$A$2:$A$51,0))="","",INDEX(campaigns!$BE$2:$BE$51,MATCH($B14,campaigns!$A$2:$A$51,0))),""))</f>
        <v/>
      </c>
      <c r="O14" s="31" t="str">
        <f aca="false">IF(OR($A14="",$D14=""),"",IF($C14="founding_full",WORKDAY($D14,config!$B$27,calendar!$A$2:$A$80),$D14))</f>
        <v/>
      </c>
      <c r="P14" s="32" t="str">
        <f aca="false">IF($A14="","",N($E14)+N($F14))</f>
        <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30" t="str">
        <f aca="false">IF($A14="","",IF(OR($C14="founding_full",$C14="standard_deposit"),"Y","N"))</f>
        <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846</v>
      </c>
      <c r="B1" s="40" t="s">
        <v>847</v>
      </c>
      <c r="C1" s="40" t="s">
        <v>138</v>
      </c>
      <c r="D1" s="40" t="s">
        <v>511</v>
      </c>
      <c r="E1" s="40" t="s">
        <v>512</v>
      </c>
      <c r="F1" s="40" t="s">
        <v>513</v>
      </c>
      <c r="G1" s="40" t="s">
        <v>514</v>
      </c>
      <c r="H1" s="40" t="s">
        <v>552</v>
      </c>
      <c r="I1" s="40" t="s">
        <v>553</v>
      </c>
      <c r="J1" s="40" t="s">
        <v>554</v>
      </c>
      <c r="K1" s="40" t="s">
        <v>555</v>
      </c>
      <c r="L1" s="40" t="s">
        <v>556</v>
      </c>
      <c r="M1" s="40" t="s">
        <v>557</v>
      </c>
      <c r="N1" s="40" t="s">
        <v>558</v>
      </c>
      <c r="O1" s="40" t="s">
        <v>559</v>
      </c>
      <c r="P1" s="40" t="s">
        <v>560</v>
      </c>
      <c r="Q1" s="40" t="s">
        <v>561</v>
      </c>
      <c r="R1" s="40" t="s">
        <v>562</v>
      </c>
      <c r="S1" s="40" t="s">
        <v>563</v>
      </c>
      <c r="T1" s="40" t="s">
        <v>305</v>
      </c>
      <c r="U1" s="40" t="s">
        <v>678</v>
      </c>
    </row>
    <row r="2" customFormat="false" ht="15" hidden="false" customHeight="false" outlineLevel="0" collapsed="false">
      <c r="A2" s="0" t="s">
        <v>848</v>
      </c>
      <c r="B2" s="0" t="s">
        <v>849</v>
      </c>
      <c r="C2" s="0" t="s">
        <v>850</v>
      </c>
      <c r="D2" s="0" t="s">
        <v>851</v>
      </c>
      <c r="E2" s="0" t="s">
        <v>852</v>
      </c>
      <c r="F2" s="0" t="s">
        <v>853</v>
      </c>
      <c r="G2" s="0" t="s">
        <v>854</v>
      </c>
      <c r="H2" s="0" t="s">
        <v>855</v>
      </c>
      <c r="I2" s="0" t="s">
        <v>856</v>
      </c>
      <c r="J2" s="0" t="n">
        <v>52</v>
      </c>
      <c r="K2" s="0" t="s">
        <v>851</v>
      </c>
      <c r="L2" s="0" t="s">
        <v>852</v>
      </c>
      <c r="M2" s="0" t="s">
        <v>472</v>
      </c>
      <c r="N2" s="0" t="s">
        <v>857</v>
      </c>
      <c r="O2" s="0" t="s">
        <v>858</v>
      </c>
      <c r="P2" s="0" t="s">
        <v>146</v>
      </c>
      <c r="Q2" s="0" t="s">
        <v>859</v>
      </c>
      <c r="R2" s="0" t="s">
        <v>860</v>
      </c>
      <c r="T2" s="0" t="s">
        <v>861</v>
      </c>
      <c r="U2" s="0" t="s">
        <v>509</v>
      </c>
    </row>
    <row r="3" customFormat="false" ht="15" hidden="false" customHeight="false" outlineLevel="0" collapsed="false">
      <c r="A3" s="0" t="s">
        <v>862</v>
      </c>
      <c r="B3" s="0" t="s">
        <v>849</v>
      </c>
      <c r="C3" s="0" t="s">
        <v>863</v>
      </c>
      <c r="D3" s="0" t="s">
        <v>864</v>
      </c>
      <c r="E3" s="0" t="s">
        <v>852</v>
      </c>
      <c r="F3" s="0" t="s">
        <v>865</v>
      </c>
      <c r="G3" s="0" t="s">
        <v>866</v>
      </c>
      <c r="H3" s="0" t="s">
        <v>867</v>
      </c>
      <c r="I3" s="0" t="s">
        <v>868</v>
      </c>
      <c r="J3" s="0" t="n">
        <v>95</v>
      </c>
      <c r="K3" s="0" t="s">
        <v>864</v>
      </c>
      <c r="L3" s="0" t="s">
        <v>852</v>
      </c>
      <c r="M3" s="0" t="s">
        <v>472</v>
      </c>
      <c r="N3" s="0" t="s">
        <v>857</v>
      </c>
      <c r="O3" s="0" t="s">
        <v>869</v>
      </c>
      <c r="P3" s="0" t="s">
        <v>870</v>
      </c>
      <c r="Q3" s="0" t="s">
        <v>859</v>
      </c>
      <c r="R3" s="0" t="s">
        <v>871</v>
      </c>
      <c r="T3" s="0" t="s">
        <v>861</v>
      </c>
      <c r="U3" s="0" t="s">
        <v>509</v>
      </c>
    </row>
    <row r="4" customFormat="false" ht="15" hidden="false" customHeight="false" outlineLevel="0" collapsed="false">
      <c r="A4" s="0" t="s">
        <v>872</v>
      </c>
      <c r="B4" s="0" t="s">
        <v>849</v>
      </c>
      <c r="C4" s="0" t="s">
        <v>873</v>
      </c>
      <c r="D4" s="0" t="s">
        <v>874</v>
      </c>
      <c r="E4" s="0" t="s">
        <v>852</v>
      </c>
      <c r="F4" s="0" t="s">
        <v>875</v>
      </c>
      <c r="G4" s="0" t="s">
        <v>876</v>
      </c>
      <c r="H4" s="0" t="s">
        <v>877</v>
      </c>
      <c r="I4" s="0" t="s">
        <v>878</v>
      </c>
      <c r="J4" s="0" t="n">
        <v>190</v>
      </c>
      <c r="K4" s="0" t="s">
        <v>874</v>
      </c>
      <c r="L4" s="0" t="s">
        <v>852</v>
      </c>
      <c r="M4" s="0" t="s">
        <v>472</v>
      </c>
      <c r="N4" s="0" t="s">
        <v>646</v>
      </c>
      <c r="O4" s="0" t="s">
        <v>879</v>
      </c>
      <c r="P4" s="0" t="s">
        <v>482</v>
      </c>
      <c r="Q4" s="0" t="s">
        <v>859</v>
      </c>
      <c r="R4" s="0" t="s">
        <v>880</v>
      </c>
      <c r="T4" s="0" t="s">
        <v>861</v>
      </c>
      <c r="U4" s="0"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846</v>
      </c>
      <c r="B1" s="40" t="s">
        <v>847</v>
      </c>
      <c r="C1" s="40" t="s">
        <v>397</v>
      </c>
      <c r="D1" s="40" t="s">
        <v>509</v>
      </c>
      <c r="E1" s="40" t="s">
        <v>511</v>
      </c>
      <c r="F1" s="40" t="s">
        <v>512</v>
      </c>
      <c r="G1" s="40" t="s">
        <v>513</v>
      </c>
      <c r="H1" s="40" t="s">
        <v>514</v>
      </c>
      <c r="I1" s="40" t="s">
        <v>351</v>
      </c>
      <c r="J1" s="40" t="s">
        <v>398</v>
      </c>
      <c r="K1" s="40" t="s">
        <v>510</v>
      </c>
      <c r="L1" s="40" t="s">
        <v>516</v>
      </c>
      <c r="M1" s="40" t="s">
        <v>515</v>
      </c>
      <c r="N1" s="40" t="s">
        <v>517</v>
      </c>
      <c r="O1" s="40" t="s">
        <v>881</v>
      </c>
      <c r="P1" s="40" t="s">
        <v>882</v>
      </c>
      <c r="Q1" s="40" t="s">
        <v>518</v>
      </c>
      <c r="R1" s="40" t="s">
        <v>519</v>
      </c>
      <c r="S1" s="40" t="s">
        <v>520</v>
      </c>
      <c r="T1" s="40" t="s">
        <v>521</v>
      </c>
      <c r="U1" s="40" t="s">
        <v>522</v>
      </c>
      <c r="V1" s="40" t="s">
        <v>523</v>
      </c>
      <c r="W1" s="40" t="s">
        <v>524</v>
      </c>
      <c r="X1" s="40" t="s">
        <v>525</v>
      </c>
      <c r="Y1" s="40" t="s">
        <v>526</v>
      </c>
      <c r="Z1" s="40" t="s">
        <v>305</v>
      </c>
      <c r="AA1" s="40" t="s">
        <v>678</v>
      </c>
    </row>
    <row r="2" customFormat="false" ht="15" hidden="false" customHeight="false" outlineLevel="0" collapsed="false">
      <c r="A2" s="0" t="s">
        <v>531</v>
      </c>
      <c r="B2" s="0" t="s">
        <v>883</v>
      </c>
      <c r="C2" s="0" t="s">
        <v>884</v>
      </c>
      <c r="D2" s="0" t="s">
        <v>885</v>
      </c>
      <c r="E2" s="0" t="s">
        <v>886</v>
      </c>
      <c r="F2" s="0" t="s">
        <v>887</v>
      </c>
      <c r="G2" s="0" t="s">
        <v>888</v>
      </c>
      <c r="H2" s="0" t="s">
        <v>889</v>
      </c>
      <c r="I2" s="0" t="s">
        <v>462</v>
      </c>
      <c r="J2" s="0" t="s">
        <v>890</v>
      </c>
      <c r="K2" s="0" t="s">
        <v>891</v>
      </c>
      <c r="L2" s="0" t="s">
        <v>467</v>
      </c>
      <c r="M2" s="0" t="s">
        <v>892</v>
      </c>
      <c r="N2" s="0" t="s">
        <v>472</v>
      </c>
      <c r="O2" s="0" t="s">
        <v>893</v>
      </c>
      <c r="P2" s="0" t="s">
        <v>472</v>
      </c>
      <c r="Q2" s="0" t="s">
        <v>894</v>
      </c>
      <c r="R2" s="0" t="s">
        <v>472</v>
      </c>
      <c r="S2" s="0" t="s">
        <v>472</v>
      </c>
      <c r="T2" s="0" t="s">
        <v>472</v>
      </c>
      <c r="U2" s="0" t="s">
        <v>472</v>
      </c>
      <c r="V2" s="0" t="s">
        <v>472</v>
      </c>
      <c r="W2" s="0" t="s">
        <v>472</v>
      </c>
      <c r="X2" s="0" t="s">
        <v>895</v>
      </c>
      <c r="Y2" s="0" t="s">
        <v>472</v>
      </c>
      <c r="AA2" s="0"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896</v>
      </c>
      <c r="B1" s="41" t="s">
        <v>897</v>
      </c>
      <c r="C1" s="41" t="s">
        <v>898</v>
      </c>
      <c r="D1" s="41" t="s">
        <v>899</v>
      </c>
      <c r="E1" s="41" t="s">
        <v>900</v>
      </c>
      <c r="F1" s="41" t="s">
        <v>901</v>
      </c>
      <c r="G1" s="41" t="s">
        <v>902</v>
      </c>
      <c r="H1" s="41" t="s">
        <v>903</v>
      </c>
      <c r="I1" s="41" t="s">
        <v>904</v>
      </c>
      <c r="J1" s="41" t="s">
        <v>905</v>
      </c>
      <c r="K1" s="41" t="s">
        <v>906</v>
      </c>
      <c r="L1" s="41" t="s">
        <v>907</v>
      </c>
      <c r="M1" s="41" t="s">
        <v>908</v>
      </c>
      <c r="N1" s="41" t="s">
        <v>909</v>
      </c>
      <c r="O1" s="41" t="s">
        <v>910</v>
      </c>
      <c r="P1" s="41" t="s">
        <v>911</v>
      </c>
      <c r="Q1" s="41" t="s">
        <v>912</v>
      </c>
      <c r="R1" s="41" t="s">
        <v>913</v>
      </c>
      <c r="S1" s="41" t="s">
        <v>914</v>
      </c>
      <c r="U1" s="23" t="s">
        <v>915</v>
      </c>
    </row>
    <row r="2" customFormat="false" ht="15" hidden="false" customHeight="false" outlineLevel="0" collapsed="false">
      <c r="A2" s="42" t="n">
        <v>46338.5847222222</v>
      </c>
      <c r="B2" s="10" t="s">
        <v>916</v>
      </c>
      <c r="C2" s="10" t="s">
        <v>917</v>
      </c>
      <c r="D2" s="10" t="s">
        <v>852</v>
      </c>
      <c r="E2" s="10" t="s">
        <v>918</v>
      </c>
      <c r="F2" s="10" t="s">
        <v>919</v>
      </c>
      <c r="G2" s="10" t="s">
        <v>920</v>
      </c>
      <c r="H2" s="10" t="s">
        <v>921</v>
      </c>
      <c r="I2" s="0" t="n">
        <v>48</v>
      </c>
      <c r="J2" s="10" t="s">
        <v>922</v>
      </c>
      <c r="M2" s="10" t="s">
        <v>923</v>
      </c>
      <c r="N2" s="10" t="s">
        <v>869</v>
      </c>
      <c r="O2" s="10" t="s">
        <v>924</v>
      </c>
      <c r="P2" s="10" t="s">
        <v>925</v>
      </c>
      <c r="Q2" s="10" t="s">
        <v>926</v>
      </c>
      <c r="S2" s="10" t="s">
        <v>861</v>
      </c>
    </row>
    <row r="3" customFormat="false" ht="15" hidden="false" customHeight="false" outlineLevel="0" collapsed="false">
      <c r="A3" s="42" t="n">
        <v>46351.5861111111</v>
      </c>
      <c r="B3" s="10" t="s">
        <v>927</v>
      </c>
      <c r="C3" s="10" t="s">
        <v>928</v>
      </c>
      <c r="D3" s="10" t="s">
        <v>852</v>
      </c>
      <c r="E3" s="10" t="s">
        <v>929</v>
      </c>
      <c r="F3" s="10" t="s">
        <v>930</v>
      </c>
      <c r="G3" s="10" t="s">
        <v>931</v>
      </c>
      <c r="H3" s="10" t="s">
        <v>932</v>
      </c>
      <c r="I3" s="0" t="n">
        <v>110</v>
      </c>
      <c r="J3" s="10" t="s">
        <v>922</v>
      </c>
      <c r="M3" s="10" t="s">
        <v>933</v>
      </c>
      <c r="N3" s="10" t="s">
        <v>879</v>
      </c>
      <c r="O3" s="10" t="s">
        <v>924</v>
      </c>
      <c r="P3" s="10" t="s">
        <v>925</v>
      </c>
      <c r="Q3" s="10" t="s">
        <v>934</v>
      </c>
      <c r="S3" s="10" t="s">
        <v>861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896</v>
      </c>
      <c r="B1" s="41" t="s">
        <v>935</v>
      </c>
      <c r="C1" s="41" t="s">
        <v>936</v>
      </c>
      <c r="D1" s="41" t="s">
        <v>937</v>
      </c>
      <c r="E1" s="41" t="s">
        <v>938</v>
      </c>
      <c r="F1" s="41" t="s">
        <v>939</v>
      </c>
      <c r="G1" s="41" t="s">
        <v>898</v>
      </c>
      <c r="H1" s="41" t="s">
        <v>940</v>
      </c>
      <c r="I1" s="41" t="s">
        <v>900</v>
      </c>
      <c r="J1" s="41" t="s">
        <v>901</v>
      </c>
      <c r="K1" s="41" t="s">
        <v>941</v>
      </c>
      <c r="L1" s="41" t="s">
        <v>942</v>
      </c>
      <c r="M1" s="41" t="s">
        <v>943</v>
      </c>
      <c r="N1" s="41" t="s">
        <v>944</v>
      </c>
      <c r="O1" s="41" t="s">
        <v>945</v>
      </c>
      <c r="P1" s="41" t="s">
        <v>946</v>
      </c>
      <c r="Q1" s="41" t="s">
        <v>947</v>
      </c>
      <c r="R1" s="41" t="s">
        <v>948</v>
      </c>
      <c r="S1" s="41" t="s">
        <v>949</v>
      </c>
      <c r="T1" s="41" t="s">
        <v>950</v>
      </c>
      <c r="U1" s="41" t="s">
        <v>951</v>
      </c>
      <c r="V1" s="41" t="s">
        <v>952</v>
      </c>
      <c r="W1" s="41" t="s">
        <v>953</v>
      </c>
      <c r="X1" s="41" t="s">
        <v>954</v>
      </c>
      <c r="Y1" s="41" t="s">
        <v>955</v>
      </c>
      <c r="AA1" s="23" t="s">
        <v>956</v>
      </c>
    </row>
    <row r="2" customFormat="false" ht="15" hidden="false" customHeight="false" outlineLevel="0" collapsed="false">
      <c r="A2" s="42" t="n">
        <v>46345.5868055556</v>
      </c>
      <c r="B2" s="10" t="s">
        <v>957</v>
      </c>
      <c r="C2" s="10" t="s">
        <v>958</v>
      </c>
      <c r="D2" s="10" t="s">
        <v>486</v>
      </c>
      <c r="E2" s="10" t="s">
        <v>959</v>
      </c>
      <c r="F2" s="10" t="s">
        <v>960</v>
      </c>
      <c r="G2" s="10" t="s">
        <v>961</v>
      </c>
      <c r="H2" s="10" t="s">
        <v>887</v>
      </c>
      <c r="I2" s="10" t="s">
        <v>962</v>
      </c>
      <c r="J2" s="10" t="s">
        <v>963</v>
      </c>
      <c r="K2" s="10" t="s">
        <v>964</v>
      </c>
      <c r="M2" s="10" t="s">
        <v>467</v>
      </c>
      <c r="N2" s="10" t="s">
        <v>965</v>
      </c>
      <c r="O2" s="10" t="s">
        <v>966</v>
      </c>
      <c r="P2" s="10" t="s">
        <v>893</v>
      </c>
      <c r="Q2" s="10" t="s">
        <v>966</v>
      </c>
      <c r="R2" s="10" t="s">
        <v>966</v>
      </c>
      <c r="S2" s="10" t="s">
        <v>966</v>
      </c>
      <c r="T2" s="10" t="s">
        <v>966</v>
      </c>
      <c r="U2" s="10" t="s">
        <v>966</v>
      </c>
      <c r="V2" s="10" t="s">
        <v>966</v>
      </c>
      <c r="W2" s="10" t="s">
        <v>895</v>
      </c>
      <c r="X2" s="10" t="s">
        <v>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846</v>
      </c>
      <c r="B1" s="29" t="s">
        <v>847</v>
      </c>
      <c r="C1" s="29" t="s">
        <v>138</v>
      </c>
      <c r="D1" s="29" t="s">
        <v>511</v>
      </c>
      <c r="E1" s="29" t="s">
        <v>512</v>
      </c>
      <c r="F1" s="29" t="s">
        <v>513</v>
      </c>
      <c r="G1" s="29" t="s">
        <v>514</v>
      </c>
      <c r="H1" s="29" t="s">
        <v>552</v>
      </c>
      <c r="I1" s="29" t="s">
        <v>553</v>
      </c>
      <c r="J1" s="29" t="s">
        <v>554</v>
      </c>
      <c r="K1" s="29" t="s">
        <v>555</v>
      </c>
      <c r="L1" s="29" t="s">
        <v>556</v>
      </c>
      <c r="M1" s="29" t="s">
        <v>557</v>
      </c>
      <c r="N1" s="29" t="s">
        <v>558</v>
      </c>
      <c r="O1" s="29" t="s">
        <v>559</v>
      </c>
      <c r="P1" s="29" t="s">
        <v>560</v>
      </c>
      <c r="Q1" s="29" t="s">
        <v>561</v>
      </c>
      <c r="R1" s="29" t="s">
        <v>562</v>
      </c>
      <c r="S1" s="29" t="s">
        <v>563</v>
      </c>
      <c r="T1" s="29" t="s">
        <v>305</v>
      </c>
      <c r="U1" s="29" t="s">
        <v>678</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
      </c>
      <c r="B4" s="30" t="str">
        <f aca="true">IF(INDIRECT("office_form!A"&amp;ROW())="","",config!$B$36)</f>
        <v/>
      </c>
      <c r="C4" s="30" t="str">
        <f aca="true">IF(INDIRECT("office_form!A"&amp;ROW())="","",IF(INDIRECT("office_form!B"&amp;ROW())="","",INDIRECT("office_form!B"&amp;ROW())))</f>
        <v/>
      </c>
      <c r="D4" s="30" t="str">
        <f aca="true">IF(INDIRECT("office_form!A"&amp;ROW())="","",IF(INDIRECT("office_form!C"&amp;ROW())="","",INDIRECT("office_form!C"&amp;ROW())))</f>
        <v/>
      </c>
      <c r="E4" s="30" t="str">
        <f aca="true">IF(INDIRECT("office_form!A"&amp;ROW())="","",IF(INDIRECT("office_form!D"&amp;ROW())="","",INDIRECT("office_form!D"&amp;ROW())))</f>
        <v/>
      </c>
      <c r="F4" s="30" t="str">
        <f aca="true">IF(INDIRECT("office_form!A"&amp;ROW())="","",IF(INDIRECT("office_form!E"&amp;ROW())="","",INDIRECT("office_form!E"&amp;ROW())))</f>
        <v/>
      </c>
      <c r="G4" s="30" t="str">
        <f aca="true">IF(INDIRECT("office_form!A"&amp;ROW())="","",IF(INDIRECT("office_form!F"&amp;ROW())="","",INDIRECT("office_form!F"&amp;ROW())))</f>
        <v/>
      </c>
      <c r="H4" s="30" t="str">
        <f aca="true">IF(INDIRECT("office_form!A"&amp;ROW())="","",IF(INDIRECT("office_form!G"&amp;ROW())="","",INDIRECT("office_form!G"&amp;ROW())))</f>
        <v/>
      </c>
      <c r="I4" s="30" t="str">
        <f aca="true">IF(INDIRECT("office_form!A"&amp;ROW())="","",IF(INDIRECT("office_form!H"&amp;ROW())="","",INDIRECT("office_form!H"&amp;ROW())))</f>
        <v/>
      </c>
      <c r="J4" s="30" t="str">
        <f aca="true">IF(INDIRECT("office_form!A"&amp;ROW())="","",IF(INDIRECT("office_form!I"&amp;ROW())="","",INDIRECT("office_form!I"&amp;ROW())))</f>
        <v/>
      </c>
      <c r="K4" s="30" t="str">
        <f aca="true">IF(INDIRECT("office_form!A"&amp;ROW())="","",IF($M4="Y",$D4,IF(INDIRECT("office_form!K"&amp;ROW())="","",INDIRECT("office_form!K"&amp;ROW()))))</f>
        <v/>
      </c>
      <c r="L4" s="30" t="str">
        <f aca="true">IF(INDIRECT("office_form!A"&amp;ROW())="","",IF($M4="Y",$E4,IF(INDIRECT("office_form!L"&amp;ROW())="","",INDIRECT("office_form!L"&amp;ROW()))))</f>
        <v/>
      </c>
      <c r="M4" s="30" t="str">
        <f aca="true">IF(INDIRECT("office_form!A"&amp;ROW())="","",IF(IF(INDIRECT("office_form!J"&amp;ROW())="","",INDIRECT("office_form!J"&amp;ROW()))="Yes, me","Y",IF(IF(INDIRECT("office_form!J"&amp;ROW())="","",INDIRECT("office_form!J"&amp;ROW()))="Someone else","N","")))</f>
        <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30" t="str">
        <f aca="true">IF(INDIRECT("office_form!A"&amp;ROW())="","",IF(INDIRECT("office_form!N"&amp;ROW())="","",INDIRECT("office_form!N"&amp;ROW())))</f>
        <v/>
      </c>
      <c r="P4" s="30" t="str">
        <f aca="true">IF(INDIRECT("office_form!A"&amp;ROW())="","",IF(IF(INDIRECT("office_form!O"&amp;ROW())="","",INDIRECT("office_form!O"&amp;ROW()))="Yes","yes",IF(IF(INDIRECT("office_form!O"&amp;ROW())="","",INDIRECT("office_form!O"&amp;ROW()))="No","no",IF(IF(INDIRECT("office_form!O"&amp;ROW())="","",INDIRECT("office_form!O"&amp;ROW()))="Not sure","unsure",""))))</f>
        <v/>
      </c>
      <c r="Q4" s="30" t="str">
        <f aca="true">IF(INDIRECT("office_form!A"&amp;ROW())="","",IF(IF(INDIRECT("office_form!P"&amp;ROW())="","",INDIRECT("office_form!P"&amp;ROW()))="Slack","slack",IF(IF(INDIRECT("office_form!P"&amp;ROW())="","",INDIRECT("office_form!P"&amp;ROW()))="Email","email",IF(IF(INDIRECT("office_form!P"&amp;ROW())="","",INDIRECT("office_form!P"&amp;ROW()))="Other","other",""))))</f>
        <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30" t="str">
        <f aca="true">IF(INDIRECT("office_form!A"&amp;ROW())="","",IF(INDIRECT("office_form!R"&amp;ROW())="","",INDIRECT("office_form!R"&amp;ROW())))</f>
        <v/>
      </c>
      <c r="T4" s="30" t="str">
        <f aca="true">IF(INDIRECT("office_form!A"&amp;ROW())="","",IF(INDIRECT("office_form!S"&amp;ROW())="","",INDIRECT("office_form!S"&amp;ROW())))</f>
        <v/>
      </c>
      <c r="U4" s="30" t="str">
        <f aca="true">IF(INDIRECT("office_form!A"&amp;ROW())="","","founder")</f>
        <v/>
      </c>
    </row>
    <row r="5" customFormat="false" ht="15" hidden="false" customHeight="false" outlineLevel="0" collapsed="false">
      <c r="A5" s="30" t="str">
        <f aca="true">IF(INDIRECT("office_form!A"&amp;ROW())="","",TEXT(INDIRECT("office_form!A"&amp;ROW()),"yyyy-mm-dd""T""hh:mm:ss"))</f>
        <v/>
      </c>
      <c r="B5" s="30" t="str">
        <f aca="true">IF(INDIRECT("office_form!A"&amp;ROW())="","",config!$B$36)</f>
        <v/>
      </c>
      <c r="C5" s="30" t="str">
        <f aca="true">IF(INDIRECT("office_form!A"&amp;ROW())="","",IF(INDIRECT("office_form!B"&amp;ROW())="","",INDIRECT("office_form!B"&amp;ROW())))</f>
        <v/>
      </c>
      <c r="D5" s="30" t="str">
        <f aca="true">IF(INDIRECT("office_form!A"&amp;ROW())="","",IF(INDIRECT("office_form!C"&amp;ROW())="","",INDIRECT("office_form!C"&amp;ROW())))</f>
        <v/>
      </c>
      <c r="E5" s="30" t="str">
        <f aca="true">IF(INDIRECT("office_form!A"&amp;ROW())="","",IF(INDIRECT("office_form!D"&amp;ROW())="","",INDIRECT("office_form!D"&amp;ROW())))</f>
        <v/>
      </c>
      <c r="F5" s="30" t="str">
        <f aca="true">IF(INDIRECT("office_form!A"&amp;ROW())="","",IF(INDIRECT("office_form!E"&amp;ROW())="","",INDIRECT("office_form!E"&amp;ROW())))</f>
        <v/>
      </c>
      <c r="G5" s="30" t="str">
        <f aca="true">IF(INDIRECT("office_form!A"&amp;ROW())="","",IF(INDIRECT("office_form!F"&amp;ROW())="","",INDIRECT("office_form!F"&amp;ROW())))</f>
        <v/>
      </c>
      <c r="H5" s="30" t="str">
        <f aca="true">IF(INDIRECT("office_form!A"&amp;ROW())="","",IF(INDIRECT("office_form!G"&amp;ROW())="","",INDIRECT("office_form!G"&amp;ROW())))</f>
        <v/>
      </c>
      <c r="I5" s="30" t="str">
        <f aca="true">IF(INDIRECT("office_form!A"&amp;ROW())="","",IF(INDIRECT("office_form!H"&amp;ROW())="","",INDIRECT("office_form!H"&amp;ROW())))</f>
        <v/>
      </c>
      <c r="J5" s="30" t="str">
        <f aca="true">IF(INDIRECT("office_form!A"&amp;ROW())="","",IF(INDIRECT("office_form!I"&amp;ROW())="","",INDIRECT("office_form!I"&amp;ROW())))</f>
        <v/>
      </c>
      <c r="K5" s="30" t="str">
        <f aca="true">IF(INDIRECT("office_form!A"&amp;ROW())="","",IF($M5="Y",$D5,IF(INDIRECT("office_form!K"&amp;ROW())="","",INDIRECT("office_form!K"&amp;ROW()))))</f>
        <v/>
      </c>
      <c r="L5" s="30" t="str">
        <f aca="true">IF(INDIRECT("office_form!A"&amp;ROW())="","",IF($M5="Y",$E5,IF(INDIRECT("office_form!L"&amp;ROW())="","",INDIRECT("office_form!L"&amp;ROW()))))</f>
        <v/>
      </c>
      <c r="M5" s="30" t="str">
        <f aca="true">IF(INDIRECT("office_form!A"&amp;ROW())="","",IF(IF(INDIRECT("office_form!J"&amp;ROW())="","",INDIRECT("office_form!J"&amp;ROW()))="Yes, me","Y",IF(IF(INDIRECT("office_form!J"&amp;ROW())="","",INDIRECT("office_form!J"&amp;ROW()))="Someone else","N","")))</f>
        <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30" t="str">
        <f aca="true">IF(INDIRECT("office_form!A"&amp;ROW())="","",IF(INDIRECT("office_form!N"&amp;ROW())="","",INDIRECT("office_form!N"&amp;ROW())))</f>
        <v/>
      </c>
      <c r="P5" s="30" t="str">
        <f aca="true">IF(INDIRECT("office_form!A"&amp;ROW())="","",IF(IF(INDIRECT("office_form!O"&amp;ROW())="","",INDIRECT("office_form!O"&amp;ROW()))="Yes","yes",IF(IF(INDIRECT("office_form!O"&amp;ROW())="","",INDIRECT("office_form!O"&amp;ROW()))="No","no",IF(IF(INDIRECT("office_form!O"&amp;ROW())="","",INDIRECT("office_form!O"&amp;ROW()))="Not sure","unsure",""))))</f>
        <v/>
      </c>
      <c r="Q5" s="30" t="str">
        <f aca="true">IF(INDIRECT("office_form!A"&amp;ROW())="","",IF(IF(INDIRECT("office_form!P"&amp;ROW())="","",INDIRECT("office_form!P"&amp;ROW()))="Slack","slack",IF(IF(INDIRECT("office_form!P"&amp;ROW())="","",INDIRECT("office_form!P"&amp;ROW()))="Email","email",IF(IF(INDIRECT("office_form!P"&amp;ROW())="","",INDIRECT("office_form!P"&amp;ROW()))="Other","other",""))))</f>
        <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30" t="str">
        <f aca="true">IF(INDIRECT("office_form!A"&amp;ROW())="","",IF(INDIRECT("office_form!R"&amp;ROW())="","",INDIRECT("office_form!R"&amp;ROW())))</f>
        <v/>
      </c>
      <c r="T5" s="30" t="str">
        <f aca="true">IF(INDIRECT("office_form!A"&amp;ROW())="","",IF(INDIRECT("office_form!S"&amp;ROW())="","",INDIRECT("office_form!S"&amp;ROW())))</f>
        <v/>
      </c>
      <c r="U5" s="30" t="str">
        <f aca="true">IF(INDIRECT("office_form!A"&amp;ROW())="","","founder")</f>
        <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846</v>
      </c>
      <c r="B1" s="29" t="s">
        <v>847</v>
      </c>
      <c r="C1" s="29" t="s">
        <v>397</v>
      </c>
      <c r="D1" s="29" t="s">
        <v>509</v>
      </c>
      <c r="E1" s="29" t="s">
        <v>511</v>
      </c>
      <c r="F1" s="29" t="s">
        <v>512</v>
      </c>
      <c r="G1" s="29" t="s">
        <v>513</v>
      </c>
      <c r="H1" s="29" t="s">
        <v>514</v>
      </c>
      <c r="I1" s="29" t="s">
        <v>351</v>
      </c>
      <c r="J1" s="29" t="s">
        <v>398</v>
      </c>
      <c r="K1" s="29" t="s">
        <v>510</v>
      </c>
      <c r="L1" s="29" t="s">
        <v>516</v>
      </c>
      <c r="M1" s="29" t="s">
        <v>515</v>
      </c>
      <c r="N1" s="29" t="s">
        <v>517</v>
      </c>
      <c r="O1" s="29" t="s">
        <v>881</v>
      </c>
      <c r="P1" s="29" t="s">
        <v>882</v>
      </c>
      <c r="Q1" s="29" t="s">
        <v>518</v>
      </c>
      <c r="R1" s="29" t="s">
        <v>519</v>
      </c>
      <c r="S1" s="29" t="s">
        <v>520</v>
      </c>
      <c r="T1" s="29" t="s">
        <v>521</v>
      </c>
      <c r="U1" s="29" t="s">
        <v>522</v>
      </c>
      <c r="V1" s="29" t="s">
        <v>523</v>
      </c>
      <c r="W1" s="29" t="s">
        <v>524</v>
      </c>
      <c r="X1" s="29" t="s">
        <v>525</v>
      </c>
      <c r="Y1" s="29" t="s">
        <v>526</v>
      </c>
      <c r="Z1" s="29" t="s">
        <v>305</v>
      </c>
      <c r="AA1" s="29" t="s">
        <v>678</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846</v>
      </c>
      <c r="B1" s="40" t="s">
        <v>847</v>
      </c>
      <c r="C1" s="40" t="s">
        <v>138</v>
      </c>
      <c r="D1" s="40" t="s">
        <v>511</v>
      </c>
      <c r="E1" s="40" t="s">
        <v>512</v>
      </c>
      <c r="F1" s="40" t="s">
        <v>513</v>
      </c>
      <c r="G1" s="40" t="s">
        <v>514</v>
      </c>
      <c r="H1" s="40" t="s">
        <v>552</v>
      </c>
      <c r="I1" s="40" t="s">
        <v>553</v>
      </c>
      <c r="J1" s="40" t="s">
        <v>554</v>
      </c>
      <c r="K1" s="40" t="s">
        <v>555</v>
      </c>
      <c r="L1" s="40" t="s">
        <v>556</v>
      </c>
      <c r="M1" s="40" t="s">
        <v>557</v>
      </c>
      <c r="N1" s="40" t="s">
        <v>558</v>
      </c>
      <c r="O1" s="40" t="s">
        <v>559</v>
      </c>
      <c r="P1" s="40" t="s">
        <v>560</v>
      </c>
      <c r="Q1" s="40" t="s">
        <v>561</v>
      </c>
      <c r="R1" s="40" t="s">
        <v>562</v>
      </c>
      <c r="S1" s="40" t="s">
        <v>563</v>
      </c>
      <c r="T1" s="40" t="s">
        <v>305</v>
      </c>
      <c r="U1" s="40" t="s">
        <v>678</v>
      </c>
      <c r="V1" s="40" t="s">
        <v>540</v>
      </c>
      <c r="W1" s="40" t="s">
        <v>566</v>
      </c>
      <c r="X1" s="40" t="s">
        <v>349</v>
      </c>
      <c r="Y1" s="40" t="s">
        <v>968</v>
      </c>
      <c r="Z1" s="40" t="s">
        <v>564</v>
      </c>
      <c r="AA1" s="40" t="s">
        <v>969</v>
      </c>
      <c r="AB1" s="40" t="s">
        <v>970</v>
      </c>
      <c r="AC1" s="40" t="s">
        <v>971</v>
      </c>
      <c r="AD1" s="40" t="s">
        <v>567</v>
      </c>
      <c r="AE1" s="40" t="s">
        <v>972</v>
      </c>
      <c r="AF1" s="40" t="s">
        <v>973</v>
      </c>
      <c r="AG1" s="40" t="s">
        <v>565</v>
      </c>
      <c r="AH1" s="40" t="s">
        <v>350</v>
      </c>
      <c r="AI1" s="40" t="s">
        <v>541</v>
      </c>
      <c r="AJ1" s="40" t="s">
        <v>574</v>
      </c>
      <c r="AK1" s="40" t="s">
        <v>575</v>
      </c>
    </row>
    <row r="2" customFormat="false" ht="15" hidden="false" customHeight="false" outlineLevel="0" collapsed="false">
      <c r="A2" s="0" t="s">
        <v>848</v>
      </c>
      <c r="B2" s="0" t="s">
        <v>849</v>
      </c>
      <c r="C2" s="0" t="s">
        <v>850</v>
      </c>
      <c r="D2" s="0" t="s">
        <v>851</v>
      </c>
      <c r="E2" s="0" t="s">
        <v>852</v>
      </c>
      <c r="F2" s="0" t="s">
        <v>853</v>
      </c>
      <c r="G2" s="0" t="s">
        <v>854</v>
      </c>
      <c r="H2" s="0" t="s">
        <v>855</v>
      </c>
      <c r="I2" s="0" t="s">
        <v>856</v>
      </c>
      <c r="J2" s="0" t="n">
        <v>52</v>
      </c>
      <c r="K2" s="0" t="s">
        <v>851</v>
      </c>
      <c r="L2" s="0" t="s">
        <v>852</v>
      </c>
      <c r="M2" s="0" t="s">
        <v>472</v>
      </c>
      <c r="N2" s="0" t="s">
        <v>857</v>
      </c>
      <c r="O2" s="0" t="s">
        <v>858</v>
      </c>
      <c r="P2" s="0" t="s">
        <v>146</v>
      </c>
      <c r="Q2" s="0" t="s">
        <v>859</v>
      </c>
      <c r="R2" s="0" t="s">
        <v>860</v>
      </c>
      <c r="T2" s="0" t="s">
        <v>861</v>
      </c>
      <c r="U2" s="0" t="s">
        <v>509</v>
      </c>
      <c r="V2" s="0" t="s">
        <v>576</v>
      </c>
      <c r="W2" s="0" t="s">
        <v>974</v>
      </c>
      <c r="X2" s="11" t="n">
        <v>46342</v>
      </c>
      <c r="Y2" s="10" t="s">
        <v>975</v>
      </c>
      <c r="Z2" s="10" t="s">
        <v>472</v>
      </c>
      <c r="AA2" s="10" t="s">
        <v>976</v>
      </c>
      <c r="AB2" s="11" t="n">
        <v>46336</v>
      </c>
      <c r="AD2" s="10" t="s">
        <v>977</v>
      </c>
      <c r="AE2" s="10" t="s">
        <v>854</v>
      </c>
      <c r="AF2" s="10" t="s">
        <v>853</v>
      </c>
      <c r="AG2" s="10" t="s">
        <v>493</v>
      </c>
      <c r="AH2" s="10" t="s">
        <v>461</v>
      </c>
    </row>
    <row r="3" customFormat="false" ht="15" hidden="false" customHeight="false" outlineLevel="0" collapsed="false">
      <c r="A3" s="0" t="s">
        <v>978</v>
      </c>
      <c r="B3" s="0" t="s">
        <v>254</v>
      </c>
      <c r="C3" s="0" t="s">
        <v>916</v>
      </c>
      <c r="D3" s="0" t="s">
        <v>917</v>
      </c>
      <c r="E3" s="0" t="s">
        <v>852</v>
      </c>
      <c r="F3" s="0" t="s">
        <v>918</v>
      </c>
      <c r="G3" s="0" t="s">
        <v>919</v>
      </c>
      <c r="H3" s="0" t="s">
        <v>920</v>
      </c>
      <c r="I3" s="0" t="s">
        <v>921</v>
      </c>
      <c r="J3" s="0" t="n">
        <v>48</v>
      </c>
      <c r="K3" s="0" t="s">
        <v>917</v>
      </c>
      <c r="L3" s="0" t="s">
        <v>852</v>
      </c>
      <c r="M3" s="0" t="s">
        <v>472</v>
      </c>
      <c r="N3" s="0" t="s">
        <v>646</v>
      </c>
      <c r="O3" s="0" t="s">
        <v>869</v>
      </c>
      <c r="P3" s="0" t="s">
        <v>146</v>
      </c>
      <c r="Q3" s="0" t="s">
        <v>979</v>
      </c>
      <c r="R3" s="0" t="s">
        <v>980</v>
      </c>
      <c r="T3" s="0" t="s">
        <v>861</v>
      </c>
      <c r="U3" s="0" t="s">
        <v>338</v>
      </c>
      <c r="V3" s="0" t="s">
        <v>579</v>
      </c>
      <c r="W3" s="0" t="s">
        <v>981</v>
      </c>
      <c r="X3" s="11" t="n">
        <v>46344</v>
      </c>
      <c r="Y3" s="10" t="s">
        <v>982</v>
      </c>
      <c r="Z3" s="10" t="s">
        <v>493</v>
      </c>
      <c r="AA3" s="10" t="s">
        <v>976</v>
      </c>
      <c r="AB3" s="11" t="n">
        <v>46338</v>
      </c>
      <c r="AD3" s="10" t="s">
        <v>983</v>
      </c>
      <c r="AE3" s="10" t="s">
        <v>919</v>
      </c>
      <c r="AF3" s="10" t="s">
        <v>918</v>
      </c>
      <c r="AG3" s="10" t="s">
        <v>493</v>
      </c>
      <c r="AH3" s="10" t="s">
        <v>461</v>
      </c>
    </row>
    <row r="4" customFormat="false" ht="15" hidden="false" customHeight="false" outlineLevel="0" collapsed="false">
      <c r="A4" s="0" t="s">
        <v>862</v>
      </c>
      <c r="B4" s="0" t="s">
        <v>849</v>
      </c>
      <c r="C4" s="0" t="s">
        <v>863</v>
      </c>
      <c r="D4" s="0" t="s">
        <v>864</v>
      </c>
      <c r="E4" s="0" t="s">
        <v>852</v>
      </c>
      <c r="F4" s="0" t="s">
        <v>865</v>
      </c>
      <c r="G4" s="0" t="s">
        <v>866</v>
      </c>
      <c r="H4" s="0" t="s">
        <v>867</v>
      </c>
      <c r="I4" s="0" t="s">
        <v>868</v>
      </c>
      <c r="J4" s="0" t="n">
        <v>95</v>
      </c>
      <c r="K4" s="0" t="s">
        <v>864</v>
      </c>
      <c r="L4" s="0" t="s">
        <v>852</v>
      </c>
      <c r="M4" s="0" t="s">
        <v>472</v>
      </c>
      <c r="N4" s="0" t="s">
        <v>857</v>
      </c>
      <c r="O4" s="0" t="s">
        <v>869</v>
      </c>
      <c r="P4" s="0" t="s">
        <v>870</v>
      </c>
      <c r="Q4" s="0" t="s">
        <v>859</v>
      </c>
      <c r="R4" s="0" t="s">
        <v>871</v>
      </c>
      <c r="T4" s="0" t="s">
        <v>861</v>
      </c>
      <c r="U4" s="0" t="s">
        <v>509</v>
      </c>
      <c r="V4" s="0" t="s">
        <v>581</v>
      </c>
      <c r="W4" s="0" t="s">
        <v>984</v>
      </c>
      <c r="X4" s="11" t="n">
        <v>46350</v>
      </c>
      <c r="Y4" s="10" t="s">
        <v>985</v>
      </c>
      <c r="Z4" s="10" t="s">
        <v>472</v>
      </c>
      <c r="AA4" s="10" t="s">
        <v>986</v>
      </c>
      <c r="AB4" s="11" t="n">
        <v>46344</v>
      </c>
      <c r="AC4" s="0" t="n">
        <v>200</v>
      </c>
      <c r="AD4" s="10" t="s">
        <v>987</v>
      </c>
      <c r="AE4" s="10" t="s">
        <v>866</v>
      </c>
      <c r="AF4" s="10" t="s">
        <v>865</v>
      </c>
      <c r="AG4" s="10" t="s">
        <v>493</v>
      </c>
      <c r="AH4" s="10" t="s">
        <v>461</v>
      </c>
    </row>
    <row r="5" customFormat="false" ht="15" hidden="false" customHeight="false" outlineLevel="0" collapsed="false">
      <c r="A5" s="0" t="s">
        <v>988</v>
      </c>
      <c r="B5" s="0" t="s">
        <v>254</v>
      </c>
      <c r="C5" s="0" t="s">
        <v>927</v>
      </c>
      <c r="D5" s="0" t="s">
        <v>928</v>
      </c>
      <c r="E5" s="0" t="s">
        <v>852</v>
      </c>
      <c r="F5" s="0" t="s">
        <v>929</v>
      </c>
      <c r="G5" s="0" t="s">
        <v>930</v>
      </c>
      <c r="H5" s="0" t="s">
        <v>931</v>
      </c>
      <c r="I5" s="0" t="s">
        <v>932</v>
      </c>
      <c r="J5" s="0" t="n">
        <v>110</v>
      </c>
      <c r="K5" s="0" t="s">
        <v>928</v>
      </c>
      <c r="L5" s="0" t="s">
        <v>852</v>
      </c>
      <c r="M5" s="0" t="s">
        <v>472</v>
      </c>
      <c r="N5" s="0" t="s">
        <v>989</v>
      </c>
      <c r="O5" s="0" t="s">
        <v>879</v>
      </c>
      <c r="P5" s="0" t="s">
        <v>146</v>
      </c>
      <c r="Q5" s="0" t="s">
        <v>979</v>
      </c>
      <c r="R5" s="0" t="s">
        <v>990</v>
      </c>
      <c r="T5" s="0" t="s">
        <v>861</v>
      </c>
      <c r="U5" s="0" t="s">
        <v>338</v>
      </c>
      <c r="V5" s="0" t="s">
        <v>584</v>
      </c>
      <c r="W5" s="0" t="s">
        <v>991</v>
      </c>
      <c r="X5" s="11" t="n">
        <v>46357</v>
      </c>
      <c r="Y5" s="10" t="s">
        <v>992</v>
      </c>
      <c r="Z5" s="10" t="s">
        <v>493</v>
      </c>
      <c r="AA5" s="10" t="s">
        <v>976</v>
      </c>
      <c r="AB5" s="11" t="n">
        <v>46351</v>
      </c>
      <c r="AD5" s="10" t="s">
        <v>993</v>
      </c>
      <c r="AE5" s="10" t="s">
        <v>930</v>
      </c>
      <c r="AF5" s="10" t="s">
        <v>929</v>
      </c>
      <c r="AG5" s="10" t="s">
        <v>493</v>
      </c>
      <c r="AH5" s="10" t="s">
        <v>461</v>
      </c>
    </row>
    <row r="6" customFormat="false" ht="15" hidden="false" customHeight="false" outlineLevel="0" collapsed="false">
      <c r="A6" s="0" t="s">
        <v>872</v>
      </c>
      <c r="B6" s="0" t="s">
        <v>849</v>
      </c>
      <c r="C6" s="0" t="s">
        <v>873</v>
      </c>
      <c r="D6" s="0" t="s">
        <v>874</v>
      </c>
      <c r="E6" s="0" t="s">
        <v>852</v>
      </c>
      <c r="F6" s="0" t="s">
        <v>875</v>
      </c>
      <c r="G6" s="0" t="s">
        <v>876</v>
      </c>
      <c r="H6" s="0" t="s">
        <v>877</v>
      </c>
      <c r="I6" s="0" t="s">
        <v>878</v>
      </c>
      <c r="J6" s="0" t="n">
        <v>190</v>
      </c>
      <c r="K6" s="0" t="s">
        <v>874</v>
      </c>
      <c r="L6" s="0" t="s">
        <v>852</v>
      </c>
      <c r="M6" s="0" t="s">
        <v>472</v>
      </c>
      <c r="N6" s="0" t="s">
        <v>646</v>
      </c>
      <c r="O6" s="0" t="s">
        <v>879</v>
      </c>
      <c r="P6" s="0" t="s">
        <v>482</v>
      </c>
      <c r="Q6" s="0" t="s">
        <v>859</v>
      </c>
      <c r="R6" s="0" t="s">
        <v>880</v>
      </c>
      <c r="T6" s="0" t="s">
        <v>861</v>
      </c>
      <c r="U6" s="0" t="s">
        <v>509</v>
      </c>
      <c r="V6" s="0" t="s">
        <v>586</v>
      </c>
      <c r="W6" s="0" t="s">
        <v>994</v>
      </c>
      <c r="X6" s="11" t="n">
        <v>46359</v>
      </c>
      <c r="Y6" s="10" t="s">
        <v>995</v>
      </c>
      <c r="Z6" s="10" t="s">
        <v>493</v>
      </c>
      <c r="AA6" s="10" t="s">
        <v>976</v>
      </c>
      <c r="AB6" s="11" t="n">
        <v>46353</v>
      </c>
      <c r="AD6" s="10" t="s">
        <v>996</v>
      </c>
      <c r="AE6" s="10" t="s">
        <v>876</v>
      </c>
      <c r="AF6" s="10" t="s">
        <v>875</v>
      </c>
      <c r="AG6" s="10" t="s">
        <v>493</v>
      </c>
      <c r="AH6" s="10"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846</v>
      </c>
      <c r="B1" s="40" t="s">
        <v>847</v>
      </c>
      <c r="C1" s="40" t="s">
        <v>397</v>
      </c>
      <c r="D1" s="40" t="s">
        <v>509</v>
      </c>
      <c r="E1" s="40" t="s">
        <v>511</v>
      </c>
      <c r="F1" s="40" t="s">
        <v>512</v>
      </c>
      <c r="G1" s="40" t="s">
        <v>513</v>
      </c>
      <c r="H1" s="40" t="s">
        <v>514</v>
      </c>
      <c r="I1" s="40" t="s">
        <v>351</v>
      </c>
      <c r="J1" s="40" t="s">
        <v>398</v>
      </c>
      <c r="K1" s="40" t="s">
        <v>510</v>
      </c>
      <c r="L1" s="40" t="s">
        <v>516</v>
      </c>
      <c r="M1" s="40" t="s">
        <v>515</v>
      </c>
      <c r="N1" s="40" t="s">
        <v>517</v>
      </c>
      <c r="O1" s="40" t="s">
        <v>881</v>
      </c>
      <c r="P1" s="40" t="s">
        <v>882</v>
      </c>
      <c r="Q1" s="40" t="s">
        <v>518</v>
      </c>
      <c r="R1" s="40" t="s">
        <v>519</v>
      </c>
      <c r="S1" s="40" t="s">
        <v>520</v>
      </c>
      <c r="T1" s="40" t="s">
        <v>521</v>
      </c>
      <c r="U1" s="40" t="s">
        <v>522</v>
      </c>
      <c r="V1" s="40" t="s">
        <v>523</v>
      </c>
      <c r="W1" s="40" t="s">
        <v>524</v>
      </c>
      <c r="X1" s="40" t="s">
        <v>525</v>
      </c>
      <c r="Y1" s="40" t="s">
        <v>526</v>
      </c>
      <c r="Z1" s="40" t="s">
        <v>305</v>
      </c>
      <c r="AA1" s="40" t="s">
        <v>678</v>
      </c>
      <c r="AB1" s="40" t="s">
        <v>345</v>
      </c>
      <c r="AC1" s="40" t="s">
        <v>566</v>
      </c>
      <c r="AD1" s="40" t="s">
        <v>100</v>
      </c>
      <c r="AE1" s="40" t="s">
        <v>400</v>
      </c>
      <c r="AF1" s="40" t="s">
        <v>997</v>
      </c>
      <c r="AG1" s="40" t="s">
        <v>401</v>
      </c>
      <c r="AH1" s="40" t="s">
        <v>349</v>
      </c>
      <c r="AI1" s="40" t="s">
        <v>824</v>
      </c>
      <c r="AJ1" s="40" t="s">
        <v>998</v>
      </c>
      <c r="AK1" s="40" t="s">
        <v>999</v>
      </c>
      <c r="AL1" s="40" t="s">
        <v>369</v>
      </c>
      <c r="AM1" s="40" t="s">
        <v>370</v>
      </c>
      <c r="AN1" s="40" t="s">
        <v>371</v>
      </c>
      <c r="AO1" s="40" t="s">
        <v>353</v>
      </c>
      <c r="AP1" s="40" t="s">
        <v>355</v>
      </c>
      <c r="AQ1" s="40" t="s">
        <v>362</v>
      </c>
      <c r="AR1" s="40" t="s">
        <v>363</v>
      </c>
      <c r="AS1" s="40" t="s">
        <v>365</v>
      </c>
      <c r="AT1" s="40" t="s">
        <v>366</v>
      </c>
      <c r="AU1" s="40" t="s">
        <v>1000</v>
      </c>
      <c r="AV1" s="40" t="s">
        <v>344</v>
      </c>
      <c r="AW1" s="40" t="s">
        <v>367</v>
      </c>
      <c r="AX1" s="40" t="s">
        <v>368</v>
      </c>
      <c r="AY1" s="40" t="s">
        <v>503</v>
      </c>
      <c r="AZ1" s="40" t="s">
        <v>504</v>
      </c>
      <c r="BA1" s="40" t="s">
        <v>505</v>
      </c>
      <c r="BB1" s="40" t="s">
        <v>350</v>
      </c>
      <c r="BC1" s="40" t="s">
        <v>508</v>
      </c>
      <c r="BD1" s="40" t="s">
        <v>356</v>
      </c>
      <c r="BE1" s="40" t="s">
        <v>354</v>
      </c>
      <c r="BF1" s="40" t="s">
        <v>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344</v>
      </c>
      <c r="B1" s="28" t="s">
        <v>540</v>
      </c>
      <c r="C1" s="28" t="s">
        <v>422</v>
      </c>
      <c r="D1" s="28" t="s">
        <v>614</v>
      </c>
      <c r="E1" s="28" t="s">
        <v>426</v>
      </c>
      <c r="F1" s="28" t="s">
        <v>427</v>
      </c>
      <c r="G1" s="28" t="s">
        <v>428</v>
      </c>
      <c r="H1" s="28" t="s">
        <v>615</v>
      </c>
      <c r="I1" s="28" t="s">
        <v>616</v>
      </c>
      <c r="J1" s="28" t="s">
        <v>617</v>
      </c>
      <c r="K1" s="28" t="s">
        <v>618</v>
      </c>
      <c r="L1" s="28" t="s">
        <v>619</v>
      </c>
      <c r="M1" s="28" t="s">
        <v>147</v>
      </c>
      <c r="N1" s="28" t="s">
        <v>1001</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896</v>
      </c>
      <c r="B1" s="41" t="s">
        <v>1002</v>
      </c>
      <c r="C1" s="41" t="s">
        <v>1003</v>
      </c>
      <c r="D1" s="41" t="s">
        <v>1004</v>
      </c>
      <c r="E1" s="41" t="s">
        <v>1005</v>
      </c>
      <c r="F1" s="41" t="s">
        <v>1006</v>
      </c>
      <c r="G1" s="41" t="s">
        <v>1007</v>
      </c>
      <c r="I1" s="23" t="s">
        <v>1008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896</v>
      </c>
      <c r="B1" s="41" t="s">
        <v>1002</v>
      </c>
      <c r="C1" s="41" t="s">
        <v>1009</v>
      </c>
      <c r="D1" s="41" t="s">
        <v>1004</v>
      </c>
      <c r="E1" s="41" t="s">
        <v>1005</v>
      </c>
      <c r="F1" s="41" t="s">
        <v>1006</v>
      </c>
      <c r="G1" s="41" t="s">
        <v>1010</v>
      </c>
    </row>
    <row r="2" customFormat="false" ht="15" hidden="false" customHeight="false" outlineLevel="0" collapsed="false">
      <c r="A2" s="42" t="n">
        <v>46394.675</v>
      </c>
      <c r="B2" s="10" t="s">
        <v>1011</v>
      </c>
      <c r="C2" s="10" t="s">
        <v>966</v>
      </c>
      <c r="D2" s="0" t="n">
        <v>5</v>
      </c>
      <c r="E2" s="10" t="s">
        <v>966</v>
      </c>
      <c r="G2" s="10" t="s">
        <v>1012</v>
      </c>
    </row>
    <row r="3" customFormat="false" ht="15" hidden="false" customHeight="false" outlineLevel="0" collapsed="false">
      <c r="A3" s="42" t="n">
        <v>46399.3756944445</v>
      </c>
      <c r="B3" s="10" t="s">
        <v>1013</v>
      </c>
      <c r="C3" s="10" t="s">
        <v>924</v>
      </c>
      <c r="F3" s="10" t="s">
        <v>1014</v>
      </c>
      <c r="G3" s="10" t="s">
        <v>477</v>
      </c>
    </row>
    <row r="4" customFormat="false" ht="15" hidden="false" customHeight="false" outlineLevel="0" collapsed="false">
      <c r="A4" s="42" t="n">
        <v>46399.3861111111</v>
      </c>
      <c r="B4" s="10" t="s">
        <v>1015</v>
      </c>
      <c r="C4" s="10" t="s">
        <v>966</v>
      </c>
      <c r="D4" s="0" t="n">
        <v>4</v>
      </c>
      <c r="E4" s="10" t="s">
        <v>966</v>
      </c>
      <c r="G4" s="10" t="s">
        <v>477</v>
      </c>
    </row>
    <row r="5" customFormat="false" ht="15" hidden="false" customHeight="false" outlineLevel="0" collapsed="false">
      <c r="A5" s="42" t="n">
        <v>46399.4027777778</v>
      </c>
      <c r="B5" s="10" t="s">
        <v>1011</v>
      </c>
      <c r="C5" s="10" t="s">
        <v>966</v>
      </c>
      <c r="D5" s="0" t="n">
        <v>3</v>
      </c>
      <c r="E5" s="10" t="s">
        <v>1016</v>
      </c>
      <c r="G5" s="10" t="s">
        <v>478</v>
      </c>
    </row>
    <row r="6" customFormat="false" ht="15" hidden="false" customHeight="false" outlineLevel="0" collapsed="false">
      <c r="A6" s="42" t="n">
        <v>46399.4416666667</v>
      </c>
      <c r="B6" s="10" t="s">
        <v>1015</v>
      </c>
      <c r="C6" s="10" t="s">
        <v>924</v>
      </c>
      <c r="F6" s="10" t="s">
        <v>1017</v>
      </c>
    </row>
    <row r="7" customFormat="false" ht="15" hidden="false" customHeight="false" outlineLevel="0" collapsed="false">
      <c r="A7" s="42" t="n">
        <v>46399.4569444444</v>
      </c>
      <c r="B7" s="10" t="s">
        <v>1018</v>
      </c>
      <c r="C7" s="10" t="s">
        <v>966</v>
      </c>
      <c r="D7" s="0" t="n">
        <v>5</v>
      </c>
      <c r="E7" s="10" t="s">
        <v>966</v>
      </c>
      <c r="G7" s="10" t="s">
        <v>1019</v>
      </c>
    </row>
    <row r="8" customFormat="false" ht="15" hidden="false" customHeight="false" outlineLevel="0" collapsed="false">
      <c r="A8" s="42" t="n">
        <v>46399.5097222222</v>
      </c>
      <c r="B8" s="10" t="s">
        <v>1020</v>
      </c>
      <c r="C8" s="10" t="s">
        <v>966</v>
      </c>
      <c r="D8" s="0" t="n">
        <v>4</v>
      </c>
      <c r="E8" s="10" t="s">
        <v>966</v>
      </c>
    </row>
    <row r="9" customFormat="false" ht="15" hidden="false" customHeight="false" outlineLevel="0" collapsed="false">
      <c r="A9" s="42" t="n">
        <v>46399.5375</v>
      </c>
      <c r="B9" s="10" t="s">
        <v>1018</v>
      </c>
      <c r="C9" s="10" t="s">
        <v>966</v>
      </c>
      <c r="D9" s="0" t="n">
        <v>5</v>
      </c>
      <c r="E9" s="10" t="s">
        <v>966</v>
      </c>
      <c r="G9" s="10" t="s">
        <v>1019</v>
      </c>
    </row>
    <row r="10" customFormat="false" ht="15" hidden="false" customHeight="false" outlineLevel="0" collapsed="false">
      <c r="A10" s="42" t="n">
        <v>46399.5513888889</v>
      </c>
      <c r="B10" s="10" t="s">
        <v>1018</v>
      </c>
      <c r="C10" s="10" t="s">
        <v>966</v>
      </c>
      <c r="D10" s="0" t="n">
        <v>4</v>
      </c>
      <c r="E10" s="10" t="s">
        <v>924</v>
      </c>
    </row>
    <row r="11" customFormat="false" ht="15" hidden="false" customHeight="false" outlineLevel="0" collapsed="false">
      <c r="A11" s="42" t="n">
        <v>46399.5520833333</v>
      </c>
      <c r="B11" s="10" t="s">
        <v>1015</v>
      </c>
      <c r="C11" s="10" t="s">
        <v>924</v>
      </c>
      <c r="F11" s="10" t="s">
        <v>1021</v>
      </c>
      <c r="G11" s="10" t="s">
        <v>496</v>
      </c>
    </row>
    <row r="12" customFormat="false" ht="15" hidden="false" customHeight="false" outlineLevel="0" collapsed="false">
      <c r="A12" s="42" t="n">
        <v>46400.3770833333</v>
      </c>
      <c r="B12" s="10" t="s">
        <v>1013</v>
      </c>
      <c r="C12" s="10" t="s">
        <v>966</v>
      </c>
      <c r="D12" s="0" t="n">
        <v>4</v>
      </c>
      <c r="E12" s="10" t="s">
        <v>966</v>
      </c>
      <c r="G12" s="10" t="s">
        <v>1022</v>
      </c>
    </row>
    <row r="13" customFormat="false" ht="15" hidden="false" customHeight="false" outlineLevel="0" collapsed="false">
      <c r="A13" s="42" t="n">
        <v>46400.4</v>
      </c>
      <c r="B13" s="10" t="s">
        <v>1018</v>
      </c>
      <c r="C13" s="10" t="s">
        <v>924</v>
      </c>
      <c r="F13" s="10" t="s">
        <v>1021</v>
      </c>
      <c r="G13" s="10" t="s">
        <v>477</v>
      </c>
    </row>
    <row r="14" customFormat="false" ht="15" hidden="false" customHeight="false" outlineLevel="0" collapsed="false">
      <c r="A14" s="42" t="n">
        <v>46400.4284722222</v>
      </c>
      <c r="B14" s="10" t="s">
        <v>1011</v>
      </c>
      <c r="C14" s="10" t="s">
        <v>966</v>
      </c>
      <c r="D14" s="0" t="n">
        <v>3</v>
      </c>
      <c r="E14" s="10" t="s">
        <v>1016</v>
      </c>
      <c r="G14" s="10" t="s">
        <v>1023</v>
      </c>
    </row>
    <row r="15" customFormat="false" ht="15" hidden="false" customHeight="false" outlineLevel="0" collapsed="false">
      <c r="A15" s="42" t="n">
        <v>46400.4416666667</v>
      </c>
      <c r="B15" s="10" t="s">
        <v>1020</v>
      </c>
      <c r="C15" s="10" t="s">
        <v>966</v>
      </c>
      <c r="D15" s="0" t="n">
        <v>4</v>
      </c>
      <c r="E15" s="10" t="s">
        <v>1016</v>
      </c>
    </row>
    <row r="16" customFormat="false" ht="15" hidden="false" customHeight="false" outlineLevel="0" collapsed="false">
      <c r="A16" s="42" t="n">
        <v>46400.4652777778</v>
      </c>
      <c r="B16" s="10" t="s">
        <v>1015</v>
      </c>
      <c r="C16" s="10" t="s">
        <v>924</v>
      </c>
      <c r="F16" s="10" t="s">
        <v>1017</v>
      </c>
      <c r="G16" s="10" t="s">
        <v>1019</v>
      </c>
    </row>
    <row r="17" customFormat="false" ht="15" hidden="false" customHeight="false" outlineLevel="0" collapsed="false">
      <c r="A17" s="42" t="n">
        <v>46400.4986111111</v>
      </c>
      <c r="B17" s="10" t="s">
        <v>1011</v>
      </c>
      <c r="C17" s="10" t="s">
        <v>924</v>
      </c>
      <c r="F17" s="10" t="s">
        <v>1017</v>
      </c>
    </row>
    <row r="18" customFormat="false" ht="15" hidden="false" customHeight="false" outlineLevel="0" collapsed="false">
      <c r="A18" s="42" t="n">
        <v>46400.5402777778</v>
      </c>
      <c r="B18" s="10" t="s">
        <v>1018</v>
      </c>
      <c r="C18" s="10" t="s">
        <v>966</v>
      </c>
      <c r="D18" s="0" t="n">
        <v>5</v>
      </c>
      <c r="E18" s="10" t="s">
        <v>1016</v>
      </c>
    </row>
    <row r="19" customFormat="false" ht="15" hidden="false" customHeight="false" outlineLevel="0" collapsed="false">
      <c r="A19" s="42" t="n">
        <v>46400.5486111111</v>
      </c>
      <c r="B19" s="10" t="s">
        <v>1011</v>
      </c>
      <c r="C19" s="10" t="s">
        <v>966</v>
      </c>
      <c r="D19" s="0" t="n">
        <v>4</v>
      </c>
      <c r="E19" s="10" t="s">
        <v>966</v>
      </c>
    </row>
    <row r="20" customFormat="false" ht="15" hidden="false" customHeight="false" outlineLevel="0" collapsed="false">
      <c r="A20" s="42" t="n">
        <v>46400.5541666667</v>
      </c>
      <c r="B20" s="10" t="s">
        <v>1020</v>
      </c>
      <c r="C20" s="10" t="s">
        <v>966</v>
      </c>
      <c r="D20" s="0" t="n">
        <v>4</v>
      </c>
      <c r="E20" s="10" t="s">
        <v>1016</v>
      </c>
    </row>
    <row r="21" customFormat="false" ht="15" hidden="false" customHeight="false" outlineLevel="0" collapsed="false">
      <c r="A21" s="42" t="n">
        <v>46400.5569444444</v>
      </c>
      <c r="B21" s="10" t="s">
        <v>1020</v>
      </c>
      <c r="C21" s="10" t="s">
        <v>966</v>
      </c>
      <c r="D21" s="0" t="n">
        <v>5</v>
      </c>
      <c r="E21" s="10" t="s">
        <v>966</v>
      </c>
      <c r="G21" s="10" t="s">
        <v>497</v>
      </c>
    </row>
    <row r="22" customFormat="false" ht="15" hidden="false" customHeight="false" outlineLevel="0" collapsed="false">
      <c r="A22" s="42" t="n">
        <v>46400.5625</v>
      </c>
      <c r="B22" s="10" t="s">
        <v>1020</v>
      </c>
      <c r="C22" s="10" t="s">
        <v>966</v>
      </c>
      <c r="D22" s="0" t="n">
        <v>4</v>
      </c>
      <c r="E22" s="10" t="s">
        <v>924</v>
      </c>
      <c r="G22" s="10" t="s">
        <v>477</v>
      </c>
    </row>
    <row r="23" customFormat="false" ht="15" hidden="false" customHeight="false" outlineLevel="0" collapsed="false">
      <c r="A23" s="42" t="n">
        <v>46400.5791666667</v>
      </c>
      <c r="B23" s="10" t="s">
        <v>1011</v>
      </c>
      <c r="C23" s="10" t="s">
        <v>966</v>
      </c>
      <c r="D23" s="0" t="n">
        <v>5</v>
      </c>
      <c r="E23" s="10" t="s">
        <v>924</v>
      </c>
      <c r="G23" s="10" t="s">
        <v>496</v>
      </c>
    </row>
    <row r="24" customFormat="false" ht="15" hidden="false" customHeight="false" outlineLevel="0" collapsed="false">
      <c r="A24" s="42" t="n">
        <v>46400.5909722222</v>
      </c>
      <c r="B24" s="10" t="s">
        <v>1018</v>
      </c>
      <c r="C24" s="10" t="s">
        <v>966</v>
      </c>
      <c r="D24" s="0" t="n">
        <v>5</v>
      </c>
      <c r="E24" s="10" t="s">
        <v>966</v>
      </c>
    </row>
    <row r="25" customFormat="false" ht="15" hidden="false" customHeight="false" outlineLevel="0" collapsed="false">
      <c r="A25" s="42" t="n">
        <v>46400.6270833333</v>
      </c>
      <c r="B25" s="10" t="s">
        <v>1011</v>
      </c>
      <c r="C25" s="10" t="s">
        <v>966</v>
      </c>
      <c r="D25" s="0" t="n">
        <v>4</v>
      </c>
      <c r="E25" s="10" t="s">
        <v>924</v>
      </c>
      <c r="G25" s="10" t="s">
        <v>1019</v>
      </c>
    </row>
    <row r="26" customFormat="false" ht="15" hidden="false" customHeight="false" outlineLevel="0" collapsed="false">
      <c r="A26" s="42" t="n">
        <v>46400.6458333333</v>
      </c>
      <c r="B26" s="10" t="s">
        <v>1011</v>
      </c>
      <c r="C26" s="10" t="s">
        <v>966</v>
      </c>
      <c r="D26" s="0" t="n">
        <v>4</v>
      </c>
      <c r="E26" s="10" t="s">
        <v>966</v>
      </c>
    </row>
    <row r="27" customFormat="false" ht="15" hidden="false" customHeight="false" outlineLevel="0" collapsed="false">
      <c r="A27" s="42" t="n">
        <v>46401.54375</v>
      </c>
      <c r="B27" s="10" t="s">
        <v>1024</v>
      </c>
      <c r="C27" s="10" t="s">
        <v>924</v>
      </c>
      <c r="F27" s="10" t="s">
        <v>1021</v>
      </c>
    </row>
    <row r="28" customFormat="false" ht="15" hidden="false" customHeight="false" outlineLevel="0" collapsed="false">
      <c r="A28" s="42" t="n">
        <v>46401.5444444444</v>
      </c>
      <c r="B28" s="10" t="s">
        <v>1015</v>
      </c>
      <c r="C28" s="10" t="s">
        <v>966</v>
      </c>
      <c r="D28" s="0" t="n">
        <v>4</v>
      </c>
      <c r="E28" s="10" t="s">
        <v>966</v>
      </c>
      <c r="G28" s="10" t="s">
        <v>1019</v>
      </c>
    </row>
    <row r="29" customFormat="false" ht="15" hidden="false" customHeight="false" outlineLevel="0" collapsed="false">
      <c r="A29" s="42" t="n">
        <v>46401.6076388889</v>
      </c>
      <c r="B29" s="10" t="s">
        <v>1011</v>
      </c>
      <c r="C29" s="10" t="s">
        <v>966</v>
      </c>
      <c r="D29" s="0" t="n">
        <v>4</v>
      </c>
      <c r="E29" s="10" t="s">
        <v>924</v>
      </c>
    </row>
    <row r="30" customFormat="false" ht="15" hidden="false" customHeight="false" outlineLevel="0" collapsed="false">
      <c r="A30" s="42" t="n">
        <v>46401.6965277778</v>
      </c>
      <c r="B30" s="10" t="s">
        <v>1013</v>
      </c>
      <c r="C30" s="10" t="s">
        <v>966</v>
      </c>
      <c r="D30" s="0" t="n">
        <v>4</v>
      </c>
      <c r="E30" s="10" t="s">
        <v>1016</v>
      </c>
      <c r="G30" s="10" t="s">
        <v>1019</v>
      </c>
    </row>
    <row r="31" customFormat="false" ht="15" hidden="false" customHeight="false" outlineLevel="0" collapsed="false">
      <c r="A31" s="42" t="n">
        <v>46401.70625</v>
      </c>
      <c r="B31" s="10" t="s">
        <v>1015</v>
      </c>
      <c r="C31" s="10" t="s">
        <v>966</v>
      </c>
      <c r="D31" s="0" t="n">
        <v>5</v>
      </c>
      <c r="E31" s="10" t="s">
        <v>924</v>
      </c>
    </row>
    <row r="32" customFormat="false" ht="15" hidden="false" customHeight="false" outlineLevel="0" collapsed="false">
      <c r="A32" s="42" t="n">
        <v>46402.4069444445</v>
      </c>
      <c r="B32" s="10" t="s">
        <v>1020</v>
      </c>
      <c r="C32" s="10" t="s">
        <v>966</v>
      </c>
      <c r="D32" s="0" t="n">
        <v>4</v>
      </c>
      <c r="E32" s="10" t="s">
        <v>1016</v>
      </c>
    </row>
    <row r="33" customFormat="false" ht="15" hidden="false" customHeight="false" outlineLevel="0" collapsed="false">
      <c r="A33" s="42" t="n">
        <v>46402.4097222222</v>
      </c>
      <c r="B33" s="10" t="s">
        <v>1013</v>
      </c>
      <c r="C33" s="10" t="s">
        <v>924</v>
      </c>
      <c r="F33" s="10" t="s">
        <v>1017</v>
      </c>
    </row>
    <row r="34" customFormat="false" ht="15" hidden="false" customHeight="false" outlineLevel="0" collapsed="false">
      <c r="A34" s="42" t="n">
        <v>46402.4555555556</v>
      </c>
      <c r="B34" s="10" t="s">
        <v>1015</v>
      </c>
      <c r="C34" s="10" t="s">
        <v>924</v>
      </c>
      <c r="F34" s="10" t="s">
        <v>1014</v>
      </c>
      <c r="G34" s="10" t="s">
        <v>477</v>
      </c>
    </row>
    <row r="35" customFormat="false" ht="15" hidden="false" customHeight="false" outlineLevel="0" collapsed="false">
      <c r="A35" s="42" t="n">
        <v>46402.5229166667</v>
      </c>
      <c r="B35" s="10" t="s">
        <v>1015</v>
      </c>
      <c r="C35" s="10" t="s">
        <v>924</v>
      </c>
      <c r="F35" s="10" t="s">
        <v>1017</v>
      </c>
    </row>
    <row r="36" customFormat="false" ht="15" hidden="false" customHeight="false" outlineLevel="0" collapsed="false">
      <c r="A36" s="42" t="n">
        <v>46402.6</v>
      </c>
      <c r="B36" s="10" t="s">
        <v>1011</v>
      </c>
      <c r="C36" s="10" t="s">
        <v>966</v>
      </c>
      <c r="D36" s="0" t="n">
        <v>4</v>
      </c>
      <c r="E36" s="10" t="s">
        <v>1016</v>
      </c>
      <c r="G36" s="10" t="s">
        <v>1023</v>
      </c>
    </row>
    <row r="37" customFormat="false" ht="15" hidden="false" customHeight="false" outlineLevel="0" collapsed="false">
      <c r="A37" s="42" t="n">
        <v>46402.6958333333</v>
      </c>
      <c r="B37" s="10" t="s">
        <v>1020</v>
      </c>
      <c r="C37" s="10" t="s">
        <v>966</v>
      </c>
      <c r="D37" s="0" t="n">
        <v>5</v>
      </c>
      <c r="E37" s="10" t="s">
        <v>924</v>
      </c>
    </row>
    <row r="38" customFormat="false" ht="15" hidden="false" customHeight="false" outlineLevel="0" collapsed="false">
      <c r="A38" s="42" t="n">
        <v>46407.3618055556</v>
      </c>
      <c r="B38" s="10" t="s">
        <v>1015</v>
      </c>
      <c r="C38" s="10" t="s">
        <v>966</v>
      </c>
      <c r="D38" s="0" t="n">
        <v>4</v>
      </c>
      <c r="E38" s="10" t="s">
        <v>1016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896</v>
      </c>
      <c r="B1" s="41" t="s">
        <v>1002</v>
      </c>
      <c r="C1" s="41" t="s">
        <v>1025</v>
      </c>
      <c r="D1" s="41" t="s">
        <v>1004</v>
      </c>
      <c r="E1" s="41" t="s">
        <v>1005</v>
      </c>
      <c r="F1" s="41" t="s">
        <v>1006</v>
      </c>
      <c r="G1" s="41" t="s">
        <v>1026</v>
      </c>
    </row>
    <row r="2" customFormat="false" ht="15" hidden="false" customHeight="false" outlineLevel="0" collapsed="false">
      <c r="A2" s="42" t="n">
        <v>46399.4145833333</v>
      </c>
      <c r="B2" s="10" t="s">
        <v>1027</v>
      </c>
      <c r="C2" s="10" t="s">
        <v>966</v>
      </c>
      <c r="D2" s="0" t="n">
        <v>3</v>
      </c>
      <c r="E2" s="10" t="s">
        <v>966</v>
      </c>
      <c r="G2" s="10" t="s">
        <v>496</v>
      </c>
    </row>
    <row r="3" customFormat="false" ht="15" hidden="false" customHeight="false" outlineLevel="0" collapsed="false">
      <c r="A3" s="42" t="n">
        <v>46399.4215277778</v>
      </c>
      <c r="B3" s="10" t="s">
        <v>1027</v>
      </c>
      <c r="C3" s="10" t="s">
        <v>966</v>
      </c>
      <c r="D3" s="0" t="n">
        <v>5</v>
      </c>
      <c r="E3" s="10" t="s">
        <v>1016</v>
      </c>
      <c r="G3" s="10" t="s">
        <v>497</v>
      </c>
    </row>
    <row r="4" customFormat="false" ht="15" hidden="false" customHeight="false" outlineLevel="0" collapsed="false">
      <c r="A4" s="42" t="n">
        <v>46399.4604166667</v>
      </c>
      <c r="B4" s="10" t="s">
        <v>1027</v>
      </c>
      <c r="C4" s="10" t="s">
        <v>966</v>
      </c>
      <c r="D4" s="0" t="n">
        <v>5</v>
      </c>
      <c r="E4" s="10" t="s">
        <v>924</v>
      </c>
      <c r="G4" s="10" t="s">
        <v>498</v>
      </c>
    </row>
    <row r="5" customFormat="false" ht="15" hidden="false" customHeight="false" outlineLevel="0" collapsed="false">
      <c r="A5" s="42" t="n">
        <v>46399.4881944444</v>
      </c>
      <c r="B5" s="10" t="s">
        <v>1027</v>
      </c>
      <c r="C5" s="10" t="s">
        <v>924</v>
      </c>
      <c r="F5" s="10" t="s">
        <v>1017</v>
      </c>
      <c r="G5" s="10" t="s">
        <v>1019</v>
      </c>
    </row>
    <row r="6" customFormat="false" ht="15" hidden="false" customHeight="false" outlineLevel="0" collapsed="false">
      <c r="A6" s="42" t="n">
        <v>46399.4944444444</v>
      </c>
      <c r="B6" s="10" t="s">
        <v>1028</v>
      </c>
      <c r="C6" s="10" t="s">
        <v>966</v>
      </c>
      <c r="D6" s="0" t="n">
        <v>4</v>
      </c>
      <c r="E6" s="10" t="s">
        <v>1016</v>
      </c>
    </row>
    <row r="7" customFormat="false" ht="15" hidden="false" customHeight="false" outlineLevel="0" collapsed="false">
      <c r="A7" s="42" t="n">
        <v>46399.5472222222</v>
      </c>
      <c r="B7" s="10" t="s">
        <v>1029</v>
      </c>
      <c r="C7" s="10" t="s">
        <v>966</v>
      </c>
      <c r="D7" s="0" t="n">
        <v>5</v>
      </c>
      <c r="E7" s="10" t="s">
        <v>966</v>
      </c>
    </row>
    <row r="8" customFormat="false" ht="15" hidden="false" customHeight="false" outlineLevel="0" collapsed="false">
      <c r="A8" s="42" t="n">
        <v>46399.6159722222</v>
      </c>
      <c r="B8" s="10" t="s">
        <v>1030</v>
      </c>
      <c r="C8" s="10" t="s">
        <v>924</v>
      </c>
      <c r="F8" s="10" t="s">
        <v>1017</v>
      </c>
    </row>
    <row r="9" customFormat="false" ht="15" hidden="false" customHeight="false" outlineLevel="0" collapsed="false">
      <c r="A9" s="42" t="n">
        <v>46399.6326388889</v>
      </c>
      <c r="B9" s="10" t="s">
        <v>1028</v>
      </c>
      <c r="C9" s="10" t="s">
        <v>966</v>
      </c>
      <c r="D9" s="0" t="n">
        <v>3</v>
      </c>
      <c r="E9" s="10" t="s">
        <v>966</v>
      </c>
    </row>
    <row r="10" customFormat="false" ht="15" hidden="false" customHeight="false" outlineLevel="0" collapsed="false">
      <c r="A10" s="42" t="n">
        <v>46399.6333333333</v>
      </c>
      <c r="B10" s="10" t="s">
        <v>1029</v>
      </c>
      <c r="C10" s="10" t="s">
        <v>924</v>
      </c>
      <c r="F10" s="10" t="s">
        <v>1021</v>
      </c>
    </row>
    <row r="11" customFormat="false" ht="15" hidden="false" customHeight="false" outlineLevel="0" collapsed="false">
      <c r="A11" s="42" t="n">
        <v>46399.6798611111</v>
      </c>
      <c r="B11" s="10" t="s">
        <v>1030</v>
      </c>
      <c r="C11" s="10" t="s">
        <v>966</v>
      </c>
      <c r="D11" s="0" t="n">
        <v>5</v>
      </c>
      <c r="E11" s="10" t="s">
        <v>966</v>
      </c>
      <c r="G11" s="10" t="s">
        <v>1023</v>
      </c>
    </row>
    <row r="12" customFormat="false" ht="15" hidden="false" customHeight="false" outlineLevel="0" collapsed="false">
      <c r="A12" s="42" t="n">
        <v>46400.3756944445</v>
      </c>
      <c r="B12" s="10" t="s">
        <v>1027</v>
      </c>
      <c r="C12" s="10" t="s">
        <v>924</v>
      </c>
      <c r="F12" s="10" t="s">
        <v>1014</v>
      </c>
    </row>
    <row r="13" customFormat="false" ht="15" hidden="false" customHeight="false" outlineLevel="0" collapsed="false">
      <c r="A13" s="42" t="n">
        <v>46400.3979166667</v>
      </c>
      <c r="B13" s="10" t="s">
        <v>1028</v>
      </c>
      <c r="C13" s="10" t="s">
        <v>966</v>
      </c>
      <c r="D13" s="0" t="n">
        <v>5</v>
      </c>
      <c r="E13" s="10" t="s">
        <v>1016</v>
      </c>
    </row>
    <row r="14" customFormat="false" ht="15" hidden="false" customHeight="false" outlineLevel="0" collapsed="false">
      <c r="A14" s="42" t="n">
        <v>46400.4659722222</v>
      </c>
      <c r="B14" s="10" t="s">
        <v>1031</v>
      </c>
      <c r="C14" s="10" t="s">
        <v>924</v>
      </c>
      <c r="F14" s="10" t="s">
        <v>1014</v>
      </c>
    </row>
    <row r="15" customFormat="false" ht="15" hidden="false" customHeight="false" outlineLevel="0" collapsed="false">
      <c r="A15" s="42" t="n">
        <v>46400.4944444444</v>
      </c>
      <c r="B15" s="10" t="s">
        <v>1029</v>
      </c>
      <c r="C15" s="10" t="s">
        <v>966</v>
      </c>
      <c r="D15" s="0" t="n">
        <v>3</v>
      </c>
      <c r="E15" s="10" t="s">
        <v>924</v>
      </c>
      <c r="G15" s="10" t="s">
        <v>498</v>
      </c>
    </row>
    <row r="16" customFormat="false" ht="15" hidden="false" customHeight="false" outlineLevel="0" collapsed="false">
      <c r="A16" s="42" t="n">
        <v>46400.5902777778</v>
      </c>
      <c r="B16" s="10" t="s">
        <v>1031</v>
      </c>
      <c r="C16" s="10" t="s">
        <v>966</v>
      </c>
      <c r="D16" s="0" t="n">
        <v>5</v>
      </c>
      <c r="E16" s="10" t="s">
        <v>966</v>
      </c>
    </row>
    <row r="17" customFormat="false" ht="15" hidden="false" customHeight="false" outlineLevel="0" collapsed="false">
      <c r="A17" s="42" t="n">
        <v>46400.6166666667</v>
      </c>
      <c r="B17" s="10" t="s">
        <v>1030</v>
      </c>
      <c r="C17" s="10" t="s">
        <v>924</v>
      </c>
      <c r="F17" s="10" t="s">
        <v>1017</v>
      </c>
    </row>
    <row r="18" customFormat="false" ht="15" hidden="false" customHeight="false" outlineLevel="0" collapsed="false">
      <c r="A18" s="42" t="n">
        <v>46400.6458333333</v>
      </c>
      <c r="B18" s="10" t="s">
        <v>1030</v>
      </c>
      <c r="C18" s="10" t="s">
        <v>966</v>
      </c>
      <c r="D18" s="0" t="n">
        <v>4</v>
      </c>
      <c r="E18" s="10" t="s">
        <v>924</v>
      </c>
      <c r="G18" s="10" t="s">
        <v>496</v>
      </c>
    </row>
    <row r="19" customFormat="false" ht="15" hidden="false" customHeight="false" outlineLevel="0" collapsed="false">
      <c r="A19" s="42" t="n">
        <v>46400.6694444444</v>
      </c>
      <c r="B19" s="10" t="s">
        <v>1030</v>
      </c>
      <c r="C19" s="10" t="s">
        <v>966</v>
      </c>
      <c r="D19" s="0" t="n">
        <v>5</v>
      </c>
      <c r="E19" s="10" t="s">
        <v>966</v>
      </c>
    </row>
    <row r="20" customFormat="false" ht="15" hidden="false" customHeight="false" outlineLevel="0" collapsed="false">
      <c r="A20" s="42" t="n">
        <v>46400.7020833333</v>
      </c>
      <c r="B20" s="10" t="s">
        <v>1031</v>
      </c>
      <c r="C20" s="10" t="s">
        <v>924</v>
      </c>
      <c r="F20" s="10" t="s">
        <v>1014</v>
      </c>
      <c r="G20" s="10" t="s">
        <v>496</v>
      </c>
    </row>
    <row r="21" customFormat="false" ht="15" hidden="false" customHeight="false" outlineLevel="0" collapsed="false">
      <c r="A21" s="42" t="n">
        <v>46401.3951388889</v>
      </c>
      <c r="B21" s="10" t="s">
        <v>1029</v>
      </c>
      <c r="C21" s="10" t="s">
        <v>966</v>
      </c>
      <c r="D21" s="0" t="n">
        <v>3</v>
      </c>
      <c r="E21" s="10" t="s">
        <v>1016</v>
      </c>
    </row>
    <row r="22" customFormat="false" ht="15" hidden="false" customHeight="false" outlineLevel="0" collapsed="false">
      <c r="A22" s="42" t="n">
        <v>46401.4277777778</v>
      </c>
      <c r="B22" s="10" t="s">
        <v>1027</v>
      </c>
      <c r="C22" s="10" t="s">
        <v>966</v>
      </c>
      <c r="D22" s="0" t="n">
        <v>4</v>
      </c>
      <c r="E22" s="10" t="s">
        <v>1016</v>
      </c>
    </row>
    <row r="23" customFormat="false" ht="15" hidden="false" customHeight="false" outlineLevel="0" collapsed="false">
      <c r="A23" s="42" t="n">
        <v>46401.4902777778</v>
      </c>
      <c r="B23" s="10" t="s">
        <v>1027</v>
      </c>
      <c r="C23" s="10" t="s">
        <v>924</v>
      </c>
      <c r="F23" s="10" t="s">
        <v>1014</v>
      </c>
      <c r="G23" s="10" t="s">
        <v>477</v>
      </c>
    </row>
    <row r="24" customFormat="false" ht="15" hidden="false" customHeight="false" outlineLevel="0" collapsed="false">
      <c r="A24" s="42" t="n">
        <v>46401.5020833333</v>
      </c>
      <c r="B24" s="10" t="s">
        <v>1027</v>
      </c>
      <c r="C24" s="10" t="s">
        <v>966</v>
      </c>
      <c r="D24" s="0" t="n">
        <v>5</v>
      </c>
      <c r="E24" s="10" t="s">
        <v>966</v>
      </c>
    </row>
    <row r="25" customFormat="false" ht="15" hidden="false" customHeight="false" outlineLevel="0" collapsed="false">
      <c r="A25" s="42" t="n">
        <v>46401.5034722222</v>
      </c>
      <c r="B25" s="10" t="s">
        <v>1028</v>
      </c>
      <c r="C25" s="10" t="s">
        <v>966</v>
      </c>
      <c r="D25" s="0" t="n">
        <v>3</v>
      </c>
      <c r="E25" s="10" t="s">
        <v>1016</v>
      </c>
    </row>
    <row r="26" customFormat="false" ht="15" hidden="false" customHeight="false" outlineLevel="0" collapsed="false">
      <c r="A26" s="42" t="n">
        <v>46401.6208333333</v>
      </c>
      <c r="B26" s="10" t="s">
        <v>1031</v>
      </c>
      <c r="C26" s="10" t="s">
        <v>966</v>
      </c>
      <c r="D26" s="0" t="n">
        <v>3</v>
      </c>
      <c r="E26" s="10" t="s">
        <v>924</v>
      </c>
    </row>
    <row r="27" customFormat="false" ht="15" hidden="false" customHeight="false" outlineLevel="0" collapsed="false">
      <c r="A27" s="42" t="n">
        <v>46401.6986111111</v>
      </c>
      <c r="B27" s="10" t="s">
        <v>1031</v>
      </c>
      <c r="C27" s="10" t="s">
        <v>966</v>
      </c>
      <c r="D27" s="0" t="n">
        <v>4</v>
      </c>
      <c r="E27" s="10" t="s">
        <v>966</v>
      </c>
      <c r="G27" s="10" t="s">
        <v>1022</v>
      </c>
    </row>
    <row r="28" customFormat="false" ht="15" hidden="false" customHeight="false" outlineLevel="0" collapsed="false">
      <c r="A28" s="42" t="n">
        <v>46401.7055555556</v>
      </c>
      <c r="B28" s="10" t="s">
        <v>1031</v>
      </c>
      <c r="C28" s="10" t="s">
        <v>966</v>
      </c>
      <c r="D28" s="0" t="n">
        <v>4</v>
      </c>
      <c r="E28" s="10" t="s">
        <v>924</v>
      </c>
      <c r="G28" s="10" t="s">
        <v>478</v>
      </c>
    </row>
    <row r="29" customFormat="false" ht="15" hidden="false" customHeight="false" outlineLevel="0" collapsed="false">
      <c r="A29" s="42" t="n">
        <v>46402.3875</v>
      </c>
      <c r="B29" s="10" t="s">
        <v>1030</v>
      </c>
      <c r="C29" s="10" t="s">
        <v>924</v>
      </c>
      <c r="F29" s="10" t="s">
        <v>1017</v>
      </c>
    </row>
    <row r="30" customFormat="false" ht="15" hidden="false" customHeight="false" outlineLevel="0" collapsed="false">
      <c r="A30" s="42" t="n">
        <v>46402.4173611111</v>
      </c>
      <c r="B30" s="10" t="s">
        <v>1031</v>
      </c>
      <c r="C30" s="10" t="s">
        <v>924</v>
      </c>
      <c r="F30" s="10" t="s">
        <v>1017</v>
      </c>
    </row>
    <row r="31" customFormat="false" ht="15" hidden="false" customHeight="false" outlineLevel="0" collapsed="false">
      <c r="A31" s="42" t="n">
        <v>46402.6256944445</v>
      </c>
      <c r="B31" s="10" t="s">
        <v>1027</v>
      </c>
      <c r="C31" s="10" t="s">
        <v>966</v>
      </c>
      <c r="D31" s="0" t="n">
        <v>4</v>
      </c>
      <c r="E31" s="10" t="s">
        <v>1016</v>
      </c>
      <c r="G31" s="10" t="s">
        <v>497</v>
      </c>
    </row>
    <row r="32" customFormat="false" ht="15" hidden="false" customHeight="false" outlineLevel="0" collapsed="false">
      <c r="A32" s="42" t="n">
        <v>46406.4173611111</v>
      </c>
      <c r="B32" s="10" t="s">
        <v>1028</v>
      </c>
      <c r="C32" s="10" t="s">
        <v>966</v>
      </c>
      <c r="D32" s="0" t="n">
        <v>4</v>
      </c>
      <c r="E32" s="10" t="s">
        <v>1016</v>
      </c>
    </row>
    <row r="33" customFormat="false" ht="15" hidden="false" customHeight="false" outlineLevel="0" collapsed="false">
      <c r="A33" s="42" t="n">
        <v>46406.5458333333</v>
      </c>
      <c r="B33" s="10" t="s">
        <v>1029</v>
      </c>
      <c r="C33" s="10" t="s">
        <v>924</v>
      </c>
      <c r="F33" s="10" t="s">
        <v>1014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2026-10-24T11:58:44Z</dcterms:created>
  <dc:creator>openpyxl</dc:creator>
  <dc:description/>
  <dc:language>en-US</dc:language>
  <cp:lastModifiedBy/>
  <dcterms:modified xsi:type="dcterms:W3CDTF">2026-10-24T11:58:47Z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