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11</xdr:row>
                <xdr:rowOff>14</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<sst xmlns="http://schemas.openxmlformats.org/spreadsheetml/2006/main" count="2788" uniqueCount="1128">
  <si>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</si>
  <si>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</si>
  <si>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</si>
  <si>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</si>
  <si>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</si>
  <si>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</si>
  <si>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</si>
  <si>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</si>
  <si>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</si>
  <si>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</si>
  <si>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</si>
  <si>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</si>
  <si>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</si>
  <si>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</si>
  <si>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</si>
  <si>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</si>
  <si>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</si>
  <si>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</si>
  <si>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</si>
  <si>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</si>
  <si>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</si>
  <si>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</si>
  <si>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campaign.</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</si>
  <si>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</si>
  <si>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</si>
  <si>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</si>
  <si>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</si>
  <si>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</si>
  <si>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</si>
  <si>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</si>
  <si>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</si>
  <si>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</si>
  <si>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</si>
  <si>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</si>
  <si>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</si>
  <si>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</si>
  <si>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</si>
  <si>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</si>
  <si>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</si>
  <si>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</si>
  <si>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</si>
  <si>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</si>
  <si>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</si>
  <si>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</si>
  <si>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</si>
  <si>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</si>
  <si>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</si>
  <si>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</si>
  <si>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</si>
  <si>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</si>
  <si>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</si>
  <si>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</si>
  <si>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</si>
  <si>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</si>
  <si>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</si>
  <si>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</si>
  <si>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</si>
  <si>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</si>
  <si>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</si>
  <si>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</si>
  <si>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</si>
  <si>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</si>
  <si>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</si>
  <si>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</si>
  <si>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</si>
  <si>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</si>
  <si>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</si>
  <si>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</si>
  <si>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</si>
  <si>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</si>
  <si>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</si>
  <si>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</si>
  <si>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</si>
  <si>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</si>
  <si>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</si>
  <si>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</si>
  <si>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</si>
  <si>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</si>
  <si>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</si>
  <si>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</si>
  <si>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</si>
  <si>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</si>
  <si>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</si>
  <si>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</si>
  <si>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</si>
  <si>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</si>
  <si>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</si>
  <si>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</si>
  <si>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</si>
  <si>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</si>
  <si>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</si>
  <si>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</si>
  <si>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</si>
  <si>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</si>
  <si>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</si>
  <si>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</si>
  <si>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</si>
  <si>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</si>
  <si>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</si>
  <si>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</si>
  <si>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</si>
  <si>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</si>
  <si>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</si>
  <si>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</si>
  <si>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</si>
  <si>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</si>
  <si>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</si>
  <si>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</si>
  <si>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</si>
  <si>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</si>
  <si>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</si>
  <si>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</si>
  <si>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</si>
  <si>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</si>
  <si>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</si>
  <si>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</si>
  <si>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</si>
  <si>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</si>
  <si>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</si>
  <si>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</si>
  <si>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</si>
  <si>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</si>
  <si>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</si>
  <si>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</si>
  <si>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</si>
  <si>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</si>
  <si>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</si>
  <si>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</si>
  <si>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</si>
  <si>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</si>
  <si>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</si>
  <si>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</si>
  <si>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</si>
  <si>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</si>
  <si>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</si>
  <si>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</si>
  <si>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</si>
  <si>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</si>
  <si>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</si>
  <si>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</si>
  <si>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</si>
  <si>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</si>
  <si>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</si>
  <si>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</si>
  <si>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</si>
  <si>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</si>
  <si>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</si>
  <si>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</si>
  <si>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</si>
  <si>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</si>
  <si>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</si>
  <si>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</si>
  <si>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</si>
  <si>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</si>
  <si>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</si>
  <si>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</si>
  <si>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</si>
  <si>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</si>
  <si>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</si>
  <si>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</si>
  <si>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</si>
  <si>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</si>
  <si>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</si>
  <si>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</si>
  <si>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</si>
  <si>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</si>
  <si>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</si>
  <si>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</si>
  <si>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</si>
  <si>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</si>
  <si>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</si>
  <si>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</si>
  <si>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</si>
  <si>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</si>
  <si>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</si>
  <si>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</si>
  <si>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</si>
  <si>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</si>
  <si>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</si>
  <si>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</si>
  <si>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</si>
  <si>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</si>
  <si>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</si>
  <si>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</si>
  <si>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</si>
  <si>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</si>
  <si>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</si>
  <si>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</si>
  <si>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</si>
  <si>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</si>
  <si>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</si>
  <si>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</si>
  <si>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</si>
  <si>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</si>
  <si>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</si>
  <si>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</si>
  <si>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</si>
  <si>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</si>
  <si>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</si>
  <si>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</si>
  <si>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</si>
  <si>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</si>
  <si>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</si>
  <si>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</si>
  <si>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</si>
  <si>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</si>
  <si>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</si>
  <si>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</si>
  <si>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</si>
  <si>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</si>
  <si>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</si>
  <si>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</si>
  <si>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</si>
  <si>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</si>
  <si>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</si>
  <si>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</si>
  <si>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</si>
  <si>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</si>
  <si>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</si>
  <si>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</si>
  <si>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</si>
  <si>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</si>
  <si>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</si>
  <si>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</si>
  <si>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</si>
  <si>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</si>
  <si>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</si>
  <si>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</si>
  <si>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</si>
  <si>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</si>
  <si>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</si>
  <si>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</si>
  <si>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</si>
  <si>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</si>
  <si>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</si>
  <si>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</si>
  <si>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</si>
  <si>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</si>
  <si>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</si>
  <si>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</si>
  <si>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</si>
  <si>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</si>
  <si>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</si>
  <si>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</si>
  <si>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</si>
  <si>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</si>
  <si>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</si>
  <si>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</si>
  <si>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</si>
  <si>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</si>
  <si>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</si>
  <si>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</si>
  <si>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</si>
  <si>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</si>
  <si>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</si>
  <si>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</si>
  <si>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</si>
  <si>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</si>
  <si>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</si>
  <si>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</si>
  <si>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</si>
  <si>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</si>
  <si>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</si>
  <si>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</si>
  <si>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</si>
  <si>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</si>
  <si>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</si>
  <si>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</si>
  <si>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</si>
  <si>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</si>
  <si>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</si>
  <si>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</si>
  <si>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</si>
  <si>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</si>
  <si>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</si>
  <si>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</si>
  <si>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</si>
  <si>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</si>
  <si>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</si>
  <si>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</si>
  <si>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</si>
  <si>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</si>
  <si>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</si>
  <si>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</si>
  <si>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</si>
  <si>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</si>
  <si>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</si>
  <si>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</si>
  <si>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</si>
  <si>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</si>
  <si>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</si>
  <si>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</si>
  <si>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</si>
  <si>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</si>
  <si>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</si>
  <si>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</si>
  <si>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</si>
  <si>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</si>
  <si>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</si>
  <si>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</si>
  <si>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</si>
  <si>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</si>
  <si>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</si>
  <si>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</si>
  <si>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</si>
  <si>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</si>
  <si>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</si>
  <si>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</si>
  <si>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</si>
  <si>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</si>
  <si>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</si>
  <si>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</si>
  <si>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</si>
  <si>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</si>
  <si>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</si>
  <si>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</si>
  <si>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</si>
  <si>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</si>
  <si>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</si>
  <si>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</si>
  <si>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</si>
  <si>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</si>
  <si>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</si>
  <si>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</si>
  <si>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</si>
  <si>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</si>
  <si>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</si>
  <si>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</si>
  <si>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</si>
  <si>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</si>
  <si>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</si>
  <si>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</si>
  <si>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</si>
  <si>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</si>
  <si>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</si>
  <si>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</si>
  <si>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</si>
  <si>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</si>
  <si>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</si>
  <si>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</si>
  <si>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</si>
  <si>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</si>
  <si>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</si>
  <si>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</si>
  <si>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</si>
  <si>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</si>
  <si>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</si>
  <si>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</si>
  <si>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</si>
  <si>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</si>
  <si>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</si>
  <si>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</si>
  <si>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</si>
  <si>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</si>
  <si>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</si>
  <si>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</si>
  <si>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</si>
  <si>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</si>
  <si>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</si>
  <si>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</si>
  <si>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</si>
  <si>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</si>
  <si>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</si>
  <si>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</si>
  <si>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</si>
  <si>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</si>
  <si>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</si>
  <si>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</si>
  <si>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</si>
  <si>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</si>
  <si>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</si>
  <si>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</si>
  <si>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</si>
  <si>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</si>
  <si>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</si>
  <si>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</si>
  <si>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</si>
  <si>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</si>
  <si>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</si>
  <si>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</si>
  <si>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</si>
  <si>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</si>
  <si>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</si>
  <si>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</si>
  <si>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</si>
  <si>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</si>
  <si>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</si>
  <si>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</si>
  <si>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</si>
  <si>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</si>
  <si>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</si>
  <si>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</si>
  <si>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</si>
  <si>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</si>
  <si>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</si>
  <si>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</si>
  <si>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</si>
  <si>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</si>
  <si>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</si>
  <si>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</si>
  <si>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</si>
  <si>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</si>
  <si>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</si>
  <si>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</si>
  <si>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</si>
  <si>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</si>
  <si>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</si>
  <si>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</si>
  <si>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</si>
  <si>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</si>
  <si>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</si>
  <si>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</si>
  <si>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</si>
  <si>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</si>
  <si>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</si>
  <si>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</si>
  <si>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</si>
  <si>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</si>
  <si>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</si>
  <si>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</si>
  <si>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</si>
  <si>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</si>
  <si>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</si>
  <si>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</si>
  <si>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</si>
  <si>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</si>
  <si>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</si>
  <si>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</si>
  <si>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</si>
  <si>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</si>
  <si>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</si>
  <si>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</si>
  <si>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</si>
  <si>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</si>
  <si>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</si>
  <si>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</si>
  <si>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</si>
  <si>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</si>
  <si>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</si>
  <si>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</si>
  <si>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</si>
  <si>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</si>
  <si>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</si>
  <si>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</si>
  <si>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</si>
  <si>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</si>
  <si>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</si>
  <si>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</si>
  <si>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</si>
  <si>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</si>
  <si>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</si>
  <si>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</si>
  <si>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</si>
  <si>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</si>
  <si>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</si>
  <si>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</si>
  <si>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</si>
  <si>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</si>
  <si>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</si>
  <si>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</si>
  <si>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</si>
  <si>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</si>
  <si>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</si>
  <si>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</si>
  <si>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</si>
  <si>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</si>
  <si>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</si>
  <si>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</si>
  <si>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</si>
  <si>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</si>
  <si>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</si>
  <si>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</si>
  <si>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</si>
  <si>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</si>
  <si>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</si>
  <si>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</si>
  <si>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</si>
  <si>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</si>
  <si>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</si>
  <si>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</si>
  <si>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</si>
  <si>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</si>
  <si>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</si>
  <si>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</si>
  <si>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</si>
  <si>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</si>
  <si>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</si>
  <si>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</si>
  <si>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</si>
  <si>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</si>
  <si>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</si>
  <si>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</si>
  <si>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</si>
  <si>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</si>
  <si>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</si>
  <si>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</si>
  <si>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</si>
  <si>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</si>
  <si>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</si>
  <si>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</si>
  <si>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</si>
  <si>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</si>
  <si>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</si>
  <si>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</si>
  <si>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</si>
  <si>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</si>
  <si>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https://docs.google.com/forms/d/e/SAMPLE-CMP-004-NEWS/viewform</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</si>
  <si>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</si>
  <si>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</si>
  <si>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</si>
  <si>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</si>
  <si>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</si>
  <si>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</si>
  <si>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</si>
  <si>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</si>
  <si>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</si>
  <si>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</si>
  <si>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</si>
  <si>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</si>
  <si>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</si>
  <si>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</si>
  <si>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</si>
  <si>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</si>
  <si>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</si>
  <si>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</si>
  <si>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</si>
  <si>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</si>
  <si>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</si>
  <si>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</si>
  <si>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</si>
  <si>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</si>
  <si>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</si>
  <si>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</si>
  <si>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</si>
  <si>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</si>
  <si>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</si>
  <si>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</si>
  <si>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</si>
  <si>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</si>
  <si>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</si>
  <si>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</si>
  <si>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</si>
  <si>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</si>
  <si>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</si>
  <si>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</si>
  <si>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</si>
  <si>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</si>
  <si>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</si>
  <si>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</si>
  <si>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</si>
  <si>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</si>
  <si>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</si>
  <si>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</si>
  <si>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</si>
  <si>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</si>
  <si>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</si>
  <si>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</si>
  <si>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</si>
  <si>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</si>
  <si>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</si>
  <si>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</si>
  <si>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</si>
  <si>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</si>
  <si>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</si>
  <si>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</si>
  <si>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</si>
  <si>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</si>
  <si>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</si>
  <si>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</si>
  <si>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</si>
  <si>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</si>
  <si>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</si>
  <si>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</si>
  <si>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</si>
  <si>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</si>
  <si>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</si>
  <si>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</si>
  <si>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</si>
  <si>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</si>
  <si>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</si>
  <si>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</si>
  <si>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</si>
  <si>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</si>
  <si>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</si>
  <si>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</si>
  <si>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</si>
  <si>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</si>
  <si>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</si>
  <si>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</si>
  <si>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</si>
  <si>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</si>
  <si>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</si>
  <si>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</si>
  <si>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</si>
  <si>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</si>
  <si>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</si>
  <si>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</si>
  <si>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</si>
  <si>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</si>
  <si>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</si>
  <si>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</si>
  <si>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</si>
  <si>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</si>
  <si>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</si>
  <si>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</si>
  <si>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</si>
  <si>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</si>
  <si>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</si>
  <si>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</si>
  <si>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</si>
  <si>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</si>
  <si>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</si>
  <si>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</si>
  <si>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</si>
  <si>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</si>
  <si>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</si>
  <si>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</si>
  <si>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</si>
  <si>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</si>
  <si>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</si>
  <si>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</si>
  <si>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</si>
  <si>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</si>
  <si>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</si>
  <si>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</si>
  <si>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</si>
  <si>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</si>
  <si>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</si>
  <si>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</si>
  <si>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</si>
  <si>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</si>
  <si>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</si>
  <si>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</si>
  <si>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</si>
  <si>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</si>
  <si>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</si>
  <si>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</si>
  <si>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</si>
  <si>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</si>
  <si>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</si>
  <si>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</si>
  <si>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</si>
  <si>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</si>
  <si>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</si>
  <si>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</si>
  <si>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</si>
  <si>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</si>
  <si>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</si>
  <si>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</si>
  <si>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</si>
  <si>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</si>
  <si>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</si>
  <si>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yes</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</si>
  <si>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</si>
  <si>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</si>
  <si>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</si>
  <si>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</si>
  <si>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</si>
  <si>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</si>
  <si>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</si>
  <si>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</si>
  <si>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</si>
  <si>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</si>
  <si>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</si>
  <si>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</si>
  <si>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</si>
  <si>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</si>
  <si>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</si>
  <si>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</si>
  <si>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</si>
  <si>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</si>
  <si>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</si>
  <si>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</si>
  <si>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</si>
  <si>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</si>
  <si>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</si>
  <si>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</si>
  <si>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</si>
  <si>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</si>
  <si>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</si>
  <si>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</si>
  <si>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</si>
  <si>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</si>
  <si>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</si>
  <si>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</si>
  <si>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</si>
  <si>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</si>
  <si>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</si>
  <si>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</si>
  <si>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</si>
  <si>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</si>
  <si>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</si>
  <si>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</si>
  <si>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</si>
  <si>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</si>
  <si>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</si>
  <si>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</si>
  <si>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</si>
  <si>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</si>
  <si>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</si>
  <si>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</si>
  <si>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</si>
  <si>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</si>
  <si>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</si>
  <si>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</si>
  <si>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SAMPLE-PH-0003</t>
  </si>
  <si>
    <t xml:space="preserve">SAMPLE-PH-0005</t>
  </si>
  <si>
    <t xml:space="preserve">SAMPLE-PH-0007</t>
  </si>
  <si>
    <t xml:space="preserve">SAMPLE-PH-0009</t>
  </si>
  <si>
    <t xml:space="preserve">SAMPLE-PH-0012</t>
  </si>
  <si>
    <t xml:space="preserve">SAMPLE-PH-0014</t>
  </si>
  <si>
    <t xml:space="preserve">SAMPLE-PH-0016</t>
  </si>
  <si>
    <t xml:space="preserve">SAMPLE-PH-0017</t>
  </si>
  <si>
    <t xml:space="preserve">SAMPLE-PH-0019</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</si>
  <si>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</si>
  <si>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</si>
  <si>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</si>
  <si>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</si>
  <si>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</si>
  <si>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</si>
  <si>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</si>
  <si>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</si>
  <si>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</si>
  <si>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</si>
  <si>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</si>
  <si>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</si>
  <si>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SAMPLE-CMP-001_SAMPLE-O-002_placement_2027-01-12.jpg</t>
  </si>
  <si>
    <t xml:space="preserve">SAMPLE-CMP-001_SAMPLE-O-003_placement_2027-01-12.jpg</t>
  </si>
  <si>
    <t xml:space="preserve">SAMPLE-CMP-001_SAMPLE-O-004_placement_2027-01-14.jpg</t>
  </si>
  <si>
    <t xml:space="preserve">SAMPLE-CMP-001_SAMPLE-O-005_placement_2027-01-12.jpg</t>
  </si>
  <si>
    <t xml:space="preserve">SAMPLE-CMP-002_SAMPLE-O-001_placement_2027-01-12.jpg</t>
  </si>
  <si>
    <t xml:space="preserve">SAMPLE-CMP-002_SAMPLE-O-002_placement_2027-01-12.jpg</t>
  </si>
  <si>
    <t xml:space="preserve">SAMPLE-PH-0015</t>
  </si>
  <si>
    <t xml:space="preserve">later</t>
  </si>
  <si>
    <t xml:space="preserve">SAMPLE-CMP-002_SAMPLE-O-002_later_2027-01-14.jpg</t>
  </si>
  <si>
    <t xml:space="preserve">SAMPLE-CMP-002_SAMPLE-O-003_placement_2027-01-12.jpg</t>
  </si>
  <si>
    <t xml:space="preserve">SAMPLE-CMP-002_SAMPLE-O-004_placement_2027-01-13.jpg</t>
  </si>
  <si>
    <t xml:space="preserve">SAMPLE-CMP-002_SAMPLE-O-005_placement_2027-01-12.jpg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</si>
  <si>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</si>
  <si>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</si>
  <si>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</si>
  <si>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</si>
  <si>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</si>
  <si>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</si>
  <si>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</si>
  <si>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</si>
  <si>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</si>
  <si>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</si>
  <si>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</si>
  <si>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</si>
  <si>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</si>
  <si>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</si>
  <si>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</si>
  <si>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</si>
  <si>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</si>
  <si>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</si>
  <si>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</si>
  <si>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</si>
  <si>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</si>
  <si>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</si>
  <si>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</si>
  <si>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</si>
  <si>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</si>
  <si>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</si>
  <si>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</si>
  <si>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</si>
  <si>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</si>
  <si>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</si>
  <si>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</si>
  <si>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as_of_date</t>
  </si>
  <si>
    <t xml:space="preserve">redemptions_to_date</t>
  </si>
  <si>
    <t xml:space="preserve">reported_date</t>
  </si>
  <si>
    <t xml:space="preserve">reported_by_role</t>
  </si>
  <si>
    <t xml:space="preserve">days_after_drop</t>
  </si>
  <si>
    <t xml:space="preserve">is_day30</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</si>
  <si>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</si>
  <si>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</si>
  <si>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</si>
  <si>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</si>
  <si>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</si>
  <si>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</si>
  <si>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</si>
  <si>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</si>
  <si>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</si>
  <si>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</si>
  <si>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</si>
  <si>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</si>
  <si>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</si>
  <si>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</si>
  <si>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</si>
  <si>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</si>
  <si>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</si>
  <si>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</si>
  <si>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</si>
  <si>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</si>
  <si>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</si>
  <si>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</si>
  <si>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</si>
  <si>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</si>
  <si>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</si>
  <si>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</si>
  <si>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</si>
  <si>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</si>
  <si>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</si>
  <si>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</si>
  <si>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</si>
  <si>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</si>
  <si>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invoices, certificate requests</t>
  </si>
  <si>
    <t xml:space="preserve">SAMPLE calls, proposal, agreement</t>
  </si>
  <si>
    <t xml:space="preserve">SAMPLE signing a new office</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</si>
  <si>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</si>
  <si>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</si>
  <si>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</si>
  <si>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</si>
  <si>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</si>
  <si>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</si>
  <si>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</si>
  <si>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</si>
  <si>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</si>
  <si>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</si>
  <si>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</si>
  <si>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</si>
  <si>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</si>
  <si>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</si>
  <si>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</si>
  <si>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</si>
  <si>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</si>
  <si>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</si>
  <si>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</si>
  <si>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</si>
  <si>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</si>
  <si>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</si>
  <si>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</si>
  <si>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</si>
  <si>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</si>
  <si>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</si>
  <si>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</si>
  <si>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</si>
  <si>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</si>
  <si>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</si>
  <si>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</si>
  <si>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</si>
  <si>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</si>
  <si>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</si>
  <si>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</si>
  <si>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</si>
  <si>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</si>
  <si>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</si>
  <si>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</si>
  <si>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SAMPLE-INV-006</t>
  </si>
  <si>
    <t xml:space="preserve">SAMPLE-ACH-6</t>
  </si>
  <si>
    <t xml:space="preserve">SAMPLE-INV-009</t>
  </si>
  <si>
    <t xml:space="preserve">SAMPLE-ACH-9</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</si>
  <si>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</si>
  <si>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</si>
  <si>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</si>
  <si>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</si>
  <si>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</si>
  <si>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</si>
  <si>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</si>
  <si>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</si>
  <si>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</si>
  <si>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</si>
  <si>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</si>
  <si>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</si>
  <si>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</si>
  <si>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</si>
  <si>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</si>
  <si>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</si>
  <si>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</si>
  <si>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</si>
  <si>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</si>
  <si>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</si>
  <si>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</si>
  <si>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</si>
  <si>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</si>
  <si>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</si>
  <si>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</si>
  <si>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</si>
  <si>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</si>
  <si>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</si>
  <si>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</si>
  <si>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</si>
  <si>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</si>
  <si>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</si>
  <si>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</si>
  <si>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</si>
  <si>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</si>
  <si>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</si>
  <si>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</si>
  <si>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</si>
  <si>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</si>
  <si>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</si>
  <si>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</si>
  <si>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</si>
  <si>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</si>
  <si>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</si>
  <si>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</si>
  <si>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</si>
  <si>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</si>
  <si>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</si>
  <si>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</si>
  <si>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</si>
  <si>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</si>
  <si>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</si>
  <si>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</si>
  <si>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</si>
  <si>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</si>
  <si>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</si>
  <si>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</si>
  <si>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</si>
  <si>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</si>
  <si>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</si>
  <si>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</si>
  <si>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</si>
  <si>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</si>
  <si>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</si>
  <si>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</si>
  <si>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</si>
  <si>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</si>
  <si>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</si>
  <si>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</si>
  <si>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</si>
  <si>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</si>
  <si>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</si>
  <si>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</si>
  <si>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</si>
  <si>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</si>
  <si>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</si>
  <si>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</si>
  <si>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</si>
  <si>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</si>
  <si>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</si>
  <si>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</si>
  <si>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</si>
  <si>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</si>
  <si>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</si>
  <si>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</si>
  <si>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</si>
  <si>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</si>
  <si>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</si>
  <si>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</si>
  <si>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</si>
  <si>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</si>
  <si>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</si>
  <si>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</si>
  <si>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</si>
  <si>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</si>
  <si>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</si>
  <si>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</si>
  <si>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</si>
  <si>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</si>
  <si>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</si>
  <si>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</si>
  <si>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</si>
  <si>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</si>
  <si>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</si>
  <si>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</si>
  <si>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</si>
  <si>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</si>
  <si>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</si>
  <si>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</si>
  <si>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</si>
  <si>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</si>
  <si>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</si>
  <si>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</si>
  <si>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</si>
  <si>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</si>
  <si>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</si>
  <si>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</si>
  <si>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</si>
  <si>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</si>
  <si>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</si>
  <si>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</si>
  <si>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</si>
  <si>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</si>
  <si>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</si>
  <si>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</si>
  <si>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</si>
  <si>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</si>
  <si>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</si>
  <si>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</si>
  <si>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</si>
  <si>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</si>
  <si>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</si>
  <si>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</si>
  <si>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</si>
  <si>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</si>
  <si>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</si>
  <si>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</si>
  <si>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</si>
  <si>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</si>
  <si>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</si>
  <si>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</si>
  <si>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</si>
  <si>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</si>
  <si>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</si>
  <si>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</si>
  <si>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</si>
  <si>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</si>
  <si>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</si>
  <si>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</si>
  <si>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</si>
  <si>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</si>
  <si>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</si>
  <si>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</si>
  <si>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</si>
  <si>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</si>
  <si>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</si>
  <si>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</si>
  <si>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</si>
  <si>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</si>
  <si>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</si>
  <si>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</si>
  <si>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</si>
  <si>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</si>
  <si>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</si>
  <si>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</si>
  <si>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</si>
  <si>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</si>
  <si>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</si>
  <si>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</si>
  <si>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</si>
  <si>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</si>
  <si>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</si>
  <si>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</si>
  <si>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</si>
  <si>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</si>
  <si>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</si>
  <si>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</si>
  <si>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</si>
  <si>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</si>
  <si>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</si>
  <si>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</si>
  <si>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</si>
  <si>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</si>
  <si>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</si>
  <si>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</si>
  <si>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</si>
  <si>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</si>
  <si>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</si>
  <si>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</si>
  <si>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</si>
  <si>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</si>
  <si>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</si>
  <si>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</si>
  <si>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</si>
  <si>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</si>
  <si>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</si>
  <si>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</si>
  <si>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</si>
  <si>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</si>
  <si>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</si>
  <si>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</si>
  <si>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</si>
  <si>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</si>
  <si>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</si>
  <si>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</si>
  <si>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</si>
  <si>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</si>
  <si>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</si>
  <si>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</si>
  <si>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</si>
  <si>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</si>
  <si>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</si>
  <si>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</si>
  <si>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</si>
  <si>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</si>
  <si>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</si>
  <si>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</si>
  <si>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</si>
  <si>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</si>
  <si>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</si>
  <si>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</si>
  <si>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</si>
  <si>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</si>
  <si>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</si>
  <si>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</si>
  <si>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</si>
  <si>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</si>
  <si>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</si>
  <si>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</si>
  <si>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</si>
  <si>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</si>
  <si>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</si>
  <si>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</si>
  <si>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</si>
  <si>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</si>
  <si>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</si>
  <si>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</si>
  <si>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</si>
  <si>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</si>
  <si>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</si>
  <si>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</si>
  <si>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</si>
  <si>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</si>
  <si>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</si>
  <si>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</si>
  <si>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</si>
  <si>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</si>
  <si>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</si>
  <si>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</si>
  <si>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</si>
  <si>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</si>
  <si>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</si>
  <si>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</si>
  <si>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 Saw it by the coffee machine and took two. Really good.</t>
  </si>
  <si>
    <t xml:space="preserve">SAMPLE-CMP-001.SAMPLE-O-003</t>
  </si>
  <si>
    <t xml:space="preserve">Maybe</t>
  </si>
  <si>
    <t xml:space="preserve">SAMPLE A bit too salty for me.</t>
  </si>
  <si>
    <t xml:space="preserve">Didn't see it</t>
  </si>
  <si>
    <t xml:space="preserve">SAMPLE-CMP-001.SAMPLE-O-002</t>
  </si>
  <si>
    <t xml:space="preserve">SAMPLE Asked Priya to save me a bag. Really good.</t>
  </si>
  <si>
    <t xml:space="preserve">SAMPLE-CMP-001.SAMPLE-O-005</t>
  </si>
  <si>
    <t xml:space="preserve">Not for me</t>
  </si>
  <si>
    <t xml:space="preserve">SAMPLE Gone before lunch on Wednesday.</t>
  </si>
  <si>
    <t xml:space="preserve">SAMPLE Good crunch, would pick it up at the store.</t>
  </si>
  <si>
    <t xml:space="preserve">SAMPLE Where can I buy these near the office?</t>
  </si>
  <si>
    <t xml:space="preserve">SAMPLE Not my thing but my team liked it.</t>
  </si>
  <si>
    <t xml:space="preserve">SAMPLE-CMP-001.SAMPLE-O-00</t>
  </si>
  <si>
    <t xml:space="preserve">Did you try SAMPLE Northbound?</t>
  </si>
  <si>
    <t xml:space="preserve">Anything you'd tell SAMPLE Northbound? (optional)</t>
  </si>
  <si>
    <t xml:space="preserve">SAMPLE-CMP-002.SAMPLE-O-003</t>
  </si>
  <si>
    <t xml:space="preserve">SAMPLE Nice that it lists the allergens on the card.</t>
  </si>
  <si>
    <t xml:space="preserve">SAMPLE-CMP-002.SAMPLE-O-002</t>
  </si>
  <si>
    <t xml:space="preserve">SAMPLE-CMP-002.SAMPLE-O-004</t>
  </si>
  <si>
    <t xml:space="preserve">SAMPLE-CMP-002.SAMPLE-O-005</t>
  </si>
  <si>
    <t xml:space="preserve">SAMPLE-CMP-002.SAMPLE-O-001</t>
  </si>
</sst>
</file>

<file path=xl/styles.xml><?xml version="1.0" encoding="utf-8"?>
<styleSheet xmlns="http://schemas.openxmlformats.org/spreadsheetml/2006/main">
  <numFmts count="12">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46401</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IFERROR(COUNTIF(campaigns!$DU$2:$DU$51,"?*")-COUNTIF(campaigns!$DU$2:$DU$51,"info:*"),0)</f>
        <v>3</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IFERROR(SUMPRODUCT((offices!$K$2:$K$61="left")*ISNUMBER(offices!$L$2:$L$61)*((IF(config!$B$37&lt;&gt;"",config!$B$37,TODAY())-offices!$L$2:$L$61)&gt;config!$B$42)*((LEN(offices!$R$2:$R$61)+LEN(offices!$T$2:$T$61)+LEN(offices!$U$2:$U$61)+LEN(offices!$AI$2:$AI$61))&gt;0)),0)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fals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office_form!$A:$A)-1&gt;0.9*80)+(COUNTA(brand_form!$A:$A)-1&gt;0.9*80)+(COUNTA(in_signed_offices!$A:$A)-1&gt;0.9*80)+(COUNTA(in_paid_brands!$A:$A)-1&gt;0.9*80)+(COUNTA(office_intake!$A:$A)-1&gt;0.9*400)+(COUNTA(brand_intake!$A:$A)-1&gt;0.9*400)+(COUNTA(survey_frozen!$A:$A)-1&gt;0.9*250),0)</f>
        <v>0</v>
      </c>
      <c r="C27" s="10" t="s">
        <v>72</v>
      </c>
    </row>
    <row r="29" customFormat="false" ht="15" hidden="false" customHeight="false" outlineLevel="0" collapsed="false">
      <c r="A29" s="8" t="s">
        <v>73</v>
      </c>
    </row>
    <row r="30" customFormat="false" ht="15" hidden="false" customHeight="false" outlineLevel="0" collapsed="false">
      <c r="A30" s="6" t="s">
        <v>74</v>
      </c>
      <c r="B30" s="6" t="s">
        <v>75</v>
      </c>
      <c r="C30" s="6" t="s">
        <v>76</v>
      </c>
      <c r="D30" s="6" t="s">
        <v>77</v>
      </c>
      <c r="E30" s="6" t="s">
        <v>78</v>
      </c>
      <c r="F30" s="6" t="s">
        <v>79</v>
      </c>
      <c r="G30" s="6" t="s">
        <v>80</v>
      </c>
      <c r="H30" s="6" t="s">
        <v>81</v>
      </c>
      <c r="I30" s="6" t="s">
        <v>82</v>
      </c>
      <c r="J30" s="6" t="s">
        <v>83</v>
      </c>
      <c r="K30" s="6" t="s">
        <v>84</v>
      </c>
      <c r="L30" s="6" t="s">
        <v>85</v>
      </c>
      <c r="M30" s="6" t="s">
        <v>86</v>
      </c>
      <c r="N30" s="6" t="s">
        <v>87</v>
      </c>
      <c r="O30" s="6" t="s">
        <v>88</v>
      </c>
      <c r="P30" s="6" t="s">
        <v>89</v>
      </c>
      <c r="Q30" s="6" t="s">
        <v>90</v>
      </c>
      <c r="R30" s="6" t="s">
        <v>91</v>
      </c>
      <c r="S30" s="6" t="s">
        <v>92</v>
      </c>
      <c r="T30" s="6" t="s">
        <v>93</v>
      </c>
    </row>
    <row r="31" customFormat="false" ht="15" hidden="false" customHeight="false" outlineLevel="0" collapsed="false">
      <c r="A31" s="0" t="str">
        <f aca="false">IF(INDEX(drops!$A$2:$A$21,1)="","",INDEX(drops!$A$2:$A$21,1))</f>
        <v>SAMPLE-DRP-001</v>
      </c>
      <c r="B31" s="11" t="n">
        <f aca="false">IF(INDEX(drops!$A$2:$A$21,1)="","",INDEX(drops!$B$2:$B$21,1))</f>
        <v>46399</v>
      </c>
      <c r="C31" s="0" t="str">
        <f aca="false">IF(INDEX(drops!$A$2:$A$21,1)="","",INDEX(drops!$C$2:$C$21,1))</f>
        <v>founder</v>
      </c>
      <c r="D31" s="0" t="str">
        <f aca="false">IF(INDEX(drops!$A$2:$A$21,1)="","",INDEX(drops!$D$2:$D$21,1))</f>
        <v>confirmed</v>
      </c>
      <c r="E31" s="0" t="str">
        <f aca="false">IF(INDEX(drops!$A$2:$A$21,1)="","",INDEX(drops!$I$2:$I$21,1))</f>
        <v>OK</v>
      </c>
      <c r="F31" s="0" t="str">
        <f aca="false">IF(INDEX(drops!$A$2:$A$21,1)="","",INDEX(drops!$X$2:$X$21,1))</f>
        <v>T+2 day-3 photos and top-ups</v>
      </c>
      <c r="G31" s="11" t="n">
        <f aca="false">IF(INDEX(drops!$A$2:$A$21,1)="","",INDEX(drops!$Y$2:$Y$21,1))</f>
        <v>46401</v>
      </c>
      <c r="H31" s="10" t="n">
        <f aca="false">IF(INDEX(drops!$A$2:$A$21,1)="","",INDEX(drops!$AA$2:$AA$21,1))</f>
        <v>5</v>
      </c>
      <c r="I31" s="10" t="n">
        <f aca="false">IF(INDEX(drops!$A$2:$A$21,1)="","",INDEX(drops!$Z$2:$Z$21,1))</f>
        <v>2</v>
      </c>
      <c r="J31" s="10" t="n">
        <f aca="false">IF(INDEX(drops!$A$2:$A$21,1)="","",INDEX(drops!$AB$2:$AB$21,1))</f>
        <v>500</v>
      </c>
      <c r="K31" s="12" t="n">
        <f aca="false">IF(INDEX(drops!$A$2:$A$21,1)="","",INDEX(drops!$AC$2:$AC$21,1))</f>
        <v>1080</v>
      </c>
      <c r="L31" s="12" t="n">
        <f aca="false">IF(INDEX(drops!$A$2:$A$21,1)="","",INDEX(drops!$AG$2:$AG$21,1))</f>
        <v>152</v>
      </c>
      <c r="M31" s="12" t="n">
        <f aca="false">IF(INDEX(drops!$A$2:$A$21,1)="","",INDEX(drops!$AH$2:$AH$21,1))</f>
        <v>30.4</v>
      </c>
      <c r="N31" s="13" t="n">
        <f aca="false">IF(INDEX(drops!$A$2:$A$21,1)="","",INDEX(drops!$AI$2:$AI$21,1))</f>
        <v>50.5</v>
      </c>
      <c r="O31" s="12" t="n">
        <f aca="false">IF(INDEX(drops!$A$2:$A$21,1)="","",INDEX(drops!$AJ$2:$AJ$21,1))</f>
        <v>928</v>
      </c>
      <c r="P31" s="12" t="n">
        <f aca="false">IF(INDEX(drops!$A$2:$A$21,1)="","",INDEX(drops!$AK$2:$AK$21,1))</f>
        <v>18.38</v>
      </c>
      <c r="Q31" s="14" t="n">
        <f aca="false">IF(INDEX(drops!$A$2:$A$21,1)="","",INDEX(drops!$AL$2:$AL$21,1))</f>
        <v>0.896</v>
      </c>
      <c r="R31" s="10" t="n">
        <f aca="false">IF(INDEX(drops!$A$2:$A$21,1)="","",INDEX(drops!$AM$2:$AM$21,1))</f>
        <v>3</v>
      </c>
      <c r="S31" s="10" t="n">
        <f aca="false">IF(INDEX(drops!$A$2:$A$21,1)="","",INDEX(drops!$AN$2:$AN$21,1))</f>
        <v>0</v>
      </c>
      <c r="T31" s="10" t="n">
        <f aca="false">IF(INDEX(drops!$A$2:$A$21,1)="","",INDEX(drops!$AO$2:$AO$21,1))</f>
        <v>0</v>
      </c>
    </row>
    <row r="32" customFormat="false" ht="15" hidden="false" customHeight="false" outlineLevel="0" collapsed="false">
      <c r="A32" s="0" t="str">
        <f aca="false">IF(INDEX(drops!$A$2:$A$21,2)="","",INDEX(drops!$A$2:$A$21,2))</f>
        <v>SAMPLE-DRP-002</v>
      </c>
      <c r="B32" s="11" t="n">
        <f aca="false">IF(INDEX(drops!$A$2:$A$21,2)="","",INDEX(drops!$B$2:$B$21,2))</f>
        <v>46427</v>
      </c>
      <c r="C32" s="0" t="str">
        <f aca="false">IF(INDEX(drops!$A$2:$A$21,2)="","",INDEX(drops!$C$2:$C$21,2))</f>
        <v>courier</v>
      </c>
      <c r="D32" s="0" t="str">
        <f aca="false">IF(INDEX(drops!$A$2:$A$21,2)="","",INDEX(drops!$D$2:$D$21,2))</f>
        <v>confirmed</v>
      </c>
      <c r="E32" s="0" t="str">
        <f aca="false">IF(INDEX(drops!$A$2:$A$21,2)="","",INDEX(drops!$I$2:$I$21,2))</f>
        <v>OK</v>
      </c>
      <c r="F32" s="0" t="str">
        <f aca="false">IF(INDEX(drops!$A$2:$A$21,2)="","",INDEX(drops!$X$2:$X$21,2))</f>
        <v>T-10 brand ships; approvals in</v>
      </c>
      <c r="G32" s="11" t="n">
        <f aca="false">IF(INDEX(drops!$A$2:$A$21,2)="","",INDEX(drops!$Y$2:$Y$21,2))</f>
        <v>46413</v>
      </c>
      <c r="H32" s="10" t="n">
        <f aca="false">IF(INDEX(drops!$A$2:$A$21,2)="","",INDEX(drops!$AA$2:$AA$21,2))</f>
        <v>0</v>
      </c>
      <c r="I32" s="10" t="n">
        <f aca="false">IF(INDEX(drops!$A$2:$A$21,2)="","",INDEX(drops!$Z$2:$Z$21,2))</f>
        <v>3</v>
      </c>
      <c r="J32" s="10" t="n">
        <f aca="false">IF(INDEX(drops!$A$2:$A$21,2)="","",INDEX(drops!$AB$2:$AB$21,2))</f>
        <v>1485</v>
      </c>
      <c r="K32" s="12" t="n">
        <f aca="false">IF(INDEX(drops!$A$2:$A$21,2)="","",INDEX(drops!$AC$2:$AC$21,2))</f>
        <v>2250</v>
      </c>
      <c r="L32" s="12" t="n">
        <f aca="false">IF(INDEX(drops!$A$2:$A$21,2)="","",INDEX(drops!$AG$2:$AG$21,2))</f>
        <v>0</v>
      </c>
      <c r="M32" s="12" t="str">
        <f aca="false">IF(INDEX(drops!$A$2:$A$21,2)="","",INDEX(drops!$AH$2:$AH$21,2))</f>
        <v/>
      </c>
      <c r="N32" s="13" t="n">
        <f aca="false">IF(INDEX(drops!$A$2:$A$21,2)="","",INDEX(drops!$AI$2:$AI$21,2))</f>
        <v>26.5</v>
      </c>
      <c r="O32" s="12" t="n">
        <f aca="false">IF(INDEX(drops!$A$2:$A$21,2)="","",INDEX(drops!$AJ$2:$AJ$21,2))</f>
        <v>2250</v>
      </c>
      <c r="P32" s="12" t="n">
        <f aca="false">IF(INDEX(drops!$A$2:$A$21,2)="","",INDEX(drops!$AK$2:$AK$21,2))</f>
        <v>84.91</v>
      </c>
      <c r="Q32" s="14" t="str">
        <f aca="false">IF(INDEX(drops!$A$2:$A$21,2)="","",INDEX(drops!$AL$2:$AL$21,2))</f>
        <v/>
      </c>
      <c r="R32" s="10" t="n">
        <f aca="false">IF(INDEX(drops!$A$2:$A$21,2)="","",INDEX(drops!$AM$2:$AM$21,2))</f>
        <v>0</v>
      </c>
      <c r="S32" s="10" t="n">
        <f aca="false">IF(INDEX(drops!$A$2:$A$21,2)="","",INDEX(drops!$AN$2:$AN$21,2))</f>
        <v>0</v>
      </c>
      <c r="T32" s="10" t="n">
        <f aca="false">IF(INDEX(drops!$A$2:$A$21,2)="","",INDEX(drops!$AO$2:$AO$21,2))</f>
        <v>0</v>
      </c>
    </row>
    <row r="33" customFormat="false" ht="15" hidden="false" customHeight="false" outlineLevel="0" collapsed="false">
      <c r="A33" s="0" t="str">
        <f aca="false">IF(INDEX(drops!$A$2:$A$21,3)="","",INDEX(drops!$A$2:$A$21,3))</f>
        <v/>
      </c>
      <c r="B33" s="11" t="str">
        <f aca="false">IF(INDEX(drops!$A$2:$A$21,3)="","",INDEX(drops!$B$2:$B$21,3))</f>
        <v/>
      </c>
      <c r="C33" s="0" t="str">
        <f aca="false">IF(INDEX(drops!$A$2:$A$21,3)="","",INDEX(drops!$C$2:$C$21,3))</f>
        <v/>
      </c>
      <c r="D33" s="0" t="str">
        <f aca="false">IF(INDEX(drops!$A$2:$A$21,3)="","",INDEX(drops!$D$2:$D$21,3))</f>
        <v/>
      </c>
      <c r="E33" s="0" t="str">
        <f aca="false">IF(INDEX(drops!$A$2:$A$21,3)="","",INDEX(drops!$I$2:$I$21,3))</f>
        <v/>
      </c>
      <c r="F33" s="0" t="str">
        <f aca="false">IF(INDEX(drops!$A$2:$A$21,3)="","",INDEX(drops!$X$2:$X$21,3))</f>
        <v/>
      </c>
      <c r="G33" s="11" t="str">
        <f aca="false">IF(INDEX(drops!$A$2:$A$21,3)="","",INDEX(drops!$Y$2:$Y$21,3))</f>
        <v/>
      </c>
      <c r="H33" s="0" t="str">
        <f aca="false">IF(INDEX(drops!$A$2:$A$21,3)="","",INDEX(drops!$AA$2:$AA$21,3))</f>
        <v/>
      </c>
      <c r="I33" s="0" t="str">
        <f aca="false">IF(INDEX(drops!$A$2:$A$21,3)="","",INDEX(drops!$Z$2:$Z$21,3))</f>
        <v/>
      </c>
      <c r="J33" s="0" t="str">
        <f aca="false">IF(INDEX(drops!$A$2:$A$21,3)="","",INDEX(drops!$AB$2:$AB$21,3))</f>
        <v/>
      </c>
      <c r="K33" s="12" t="str">
        <f aca="false">IF(INDEX(drops!$A$2:$A$21,3)="","",INDEX(drops!$AC$2:$AC$21,3))</f>
        <v/>
      </c>
      <c r="L33" s="12" t="str">
        <f aca="false">IF(INDEX(drops!$A$2:$A$21,3)="","",INDEX(drops!$AG$2:$AG$21,3))</f>
        <v/>
      </c>
      <c r="M33" s="12" t="str">
        <f aca="false">IF(INDEX(drops!$A$2:$A$21,3)="","",INDEX(drops!$AH$2:$AH$21,3))</f>
        <v/>
      </c>
      <c r="N33" s="13" t="str">
        <f aca="false">IF(INDEX(drops!$A$2:$A$21,3)="","",INDEX(drops!$AI$2:$AI$21,3))</f>
        <v/>
      </c>
      <c r="O33" s="12" t="str">
        <f aca="false">IF(INDEX(drops!$A$2:$A$21,3)="","",INDEX(drops!$AJ$2:$AJ$21,3))</f>
        <v/>
      </c>
      <c r="P33" s="12" t="str">
        <f aca="false">IF(INDEX(drops!$A$2:$A$21,3)="","",INDEX(drops!$AK$2:$AK$21,3))</f>
        <v/>
      </c>
      <c r="Q33" s="14" t="str">
        <f aca="false">IF(INDEX(drops!$A$2:$A$21,3)="","",INDEX(drops!$AL$2:$AL$21,3))</f>
        <v/>
      </c>
      <c r="R33" s="0" t="str">
        <f aca="false">IF(INDEX(drops!$A$2:$A$21,3)="","",INDEX(drops!$AM$2:$AM$21,3))</f>
        <v/>
      </c>
      <c r="S33" s="0" t="str">
        <f aca="false">IF(INDEX(drops!$A$2:$A$21,3)="","",INDEX(drops!$AN$2:$AN$21,3))</f>
        <v/>
      </c>
      <c r="T33" s="0" t="str">
        <f aca="false">IF(INDEX(drops!$A$2:$A$21,3)="","",INDEX(drops!$AO$2:$AO$21,3))</f>
        <v/>
      </c>
    </row>
    <row r="34" customFormat="false" ht="15" hidden="false" customHeight="false" outlineLevel="0" collapsed="false">
      <c r="A34" s="0" t="str">
        <f aca="false">IF(INDEX(drops!$A$2:$A$21,4)="","",INDEX(drops!$A$2:$A$21,4))</f>
        <v/>
      </c>
      <c r="B34" s="11" t="str">
        <f aca="false">IF(INDEX(drops!$A$2:$A$21,4)="","",INDEX(drops!$B$2:$B$21,4))</f>
        <v/>
      </c>
      <c r="C34" s="0" t="str">
        <f aca="false">IF(INDEX(drops!$A$2:$A$21,4)="","",INDEX(drops!$C$2:$C$21,4))</f>
        <v/>
      </c>
      <c r="D34" s="0" t="str">
        <f aca="false">IF(INDEX(drops!$A$2:$A$21,4)="","",INDEX(drops!$D$2:$D$21,4))</f>
        <v/>
      </c>
      <c r="E34" s="0" t="str">
        <f aca="false">IF(INDEX(drops!$A$2:$A$21,4)="","",INDEX(drops!$I$2:$I$21,4))</f>
        <v/>
      </c>
      <c r="F34" s="0" t="str">
        <f aca="false">IF(INDEX(drops!$A$2:$A$21,4)="","",INDEX(drops!$X$2:$X$21,4))</f>
        <v/>
      </c>
      <c r="G34" s="11" t="str">
        <f aca="false">IF(INDEX(drops!$A$2:$A$21,4)="","",INDEX(drops!$Y$2:$Y$21,4))</f>
        <v/>
      </c>
      <c r="H34" s="0" t="str">
        <f aca="false">IF(INDEX(drops!$A$2:$A$21,4)="","",INDEX(drops!$AA$2:$AA$21,4))</f>
        <v/>
      </c>
      <c r="I34" s="0" t="str">
        <f aca="false">IF(INDEX(drops!$A$2:$A$21,4)="","",INDEX(drops!$Z$2:$Z$21,4))</f>
        <v/>
      </c>
      <c r="J34" s="0" t="str">
        <f aca="false">IF(INDEX(drops!$A$2:$A$21,4)="","",INDEX(drops!$AB$2:$AB$21,4))</f>
        <v/>
      </c>
      <c r="K34" s="12" t="str">
        <f aca="false">IF(INDEX(drops!$A$2:$A$21,4)="","",INDEX(drops!$AC$2:$AC$21,4))</f>
        <v/>
      </c>
      <c r="L34" s="12" t="str">
        <f aca="false">IF(INDEX(drops!$A$2:$A$21,4)="","",INDEX(drops!$AG$2:$AG$21,4))</f>
        <v/>
      </c>
      <c r="M34" s="12" t="str">
        <f aca="false">IF(INDEX(drops!$A$2:$A$21,4)="","",INDEX(drops!$AH$2:$AH$21,4))</f>
        <v/>
      </c>
      <c r="N34" s="13" t="str">
        <f aca="false">IF(INDEX(drops!$A$2:$A$21,4)="","",INDEX(drops!$AI$2:$AI$21,4))</f>
        <v/>
      </c>
      <c r="O34" s="12" t="str">
        <f aca="false">IF(INDEX(drops!$A$2:$A$21,4)="","",INDEX(drops!$AJ$2:$AJ$21,4))</f>
        <v/>
      </c>
      <c r="P34" s="12" t="str">
        <f aca="false">IF(INDEX(drops!$A$2:$A$21,4)="","",INDEX(drops!$AK$2:$AK$21,4))</f>
        <v/>
      </c>
      <c r="Q34" s="14" t="str">
        <f aca="false">IF(INDEX(drops!$A$2:$A$21,4)="","",INDEX(drops!$AL$2:$AL$21,4))</f>
        <v/>
      </c>
      <c r="R34" s="0" t="str">
        <f aca="false">IF(INDEX(drops!$A$2:$A$21,4)="","",INDEX(drops!$AM$2:$AM$21,4))</f>
        <v/>
      </c>
      <c r="S34" s="0" t="str">
        <f aca="false">IF(INDEX(drops!$A$2:$A$21,4)="","",INDEX(drops!$AN$2:$AN$21,4))</f>
        <v/>
      </c>
      <c r="T34" s="0" t="str">
        <f aca="false">IF(INDEX(drops!$A$2:$A$21,4)="","",INDEX(drops!$AO$2:$AO$21,4))</f>
        <v/>
      </c>
    </row>
    <row r="35" customFormat="false" ht="15" hidden="false" customHeight="false" outlineLevel="0" collapsed="false">
      <c r="A35" s="0" t="str">
        <f aca="false">IF(INDEX(drops!$A$2:$A$21,5)="","",INDEX(drops!$A$2:$A$21,5))</f>
        <v/>
      </c>
      <c r="B35" s="11" t="str">
        <f aca="false">IF(INDEX(drops!$A$2:$A$21,5)="","",INDEX(drops!$B$2:$B$21,5))</f>
        <v/>
      </c>
      <c r="C35" s="0" t="str">
        <f aca="false">IF(INDEX(drops!$A$2:$A$21,5)="","",INDEX(drops!$C$2:$C$21,5))</f>
        <v/>
      </c>
      <c r="D35" s="0" t="str">
        <f aca="false">IF(INDEX(drops!$A$2:$A$21,5)="","",INDEX(drops!$D$2:$D$21,5))</f>
        <v/>
      </c>
      <c r="E35" s="0" t="str">
        <f aca="false">IF(INDEX(drops!$A$2:$A$21,5)="","",INDEX(drops!$I$2:$I$21,5))</f>
        <v/>
      </c>
      <c r="F35" s="0" t="str">
        <f aca="false">IF(INDEX(drops!$A$2:$A$21,5)="","",INDEX(drops!$X$2:$X$21,5))</f>
        <v/>
      </c>
      <c r="G35" s="11" t="str">
        <f aca="false">IF(INDEX(drops!$A$2:$A$21,5)="","",INDEX(drops!$Y$2:$Y$21,5))</f>
        <v/>
      </c>
      <c r="H35" s="0" t="str">
        <f aca="false">IF(INDEX(drops!$A$2:$A$21,5)="","",INDEX(drops!$AA$2:$AA$21,5))</f>
        <v/>
      </c>
      <c r="I35" s="0" t="str">
        <f aca="false">IF(INDEX(drops!$A$2:$A$21,5)="","",INDEX(drops!$Z$2:$Z$21,5))</f>
        <v/>
      </c>
      <c r="J35" s="0" t="str">
        <f aca="false">IF(INDEX(drops!$A$2:$A$21,5)="","",INDEX(drops!$AB$2:$AB$21,5))</f>
        <v/>
      </c>
      <c r="K35" s="12" t="str">
        <f aca="false">IF(INDEX(drops!$A$2:$A$21,5)="","",INDEX(drops!$AC$2:$AC$21,5))</f>
        <v/>
      </c>
      <c r="L35" s="12" t="str">
        <f aca="false">IF(INDEX(drops!$A$2:$A$21,5)="","",INDEX(drops!$AG$2:$AG$21,5))</f>
        <v/>
      </c>
      <c r="M35" s="12" t="str">
        <f aca="false">IF(INDEX(drops!$A$2:$A$21,5)="","",INDEX(drops!$AH$2:$AH$21,5))</f>
        <v/>
      </c>
      <c r="N35" s="13" t="str">
        <f aca="false">IF(INDEX(drops!$A$2:$A$21,5)="","",INDEX(drops!$AI$2:$AI$21,5))</f>
        <v/>
      </c>
      <c r="O35" s="12" t="str">
        <f aca="false">IF(INDEX(drops!$A$2:$A$21,5)="","",INDEX(drops!$AJ$2:$AJ$21,5))</f>
        <v/>
      </c>
      <c r="P35" s="12" t="str">
        <f aca="false">IF(INDEX(drops!$A$2:$A$21,5)="","",INDEX(drops!$AK$2:$AK$21,5))</f>
        <v/>
      </c>
      <c r="Q35" s="14" t="str">
        <f aca="false">IF(INDEX(drops!$A$2:$A$21,5)="","",INDEX(drops!$AL$2:$AL$21,5))</f>
        <v/>
      </c>
      <c r="R35" s="0" t="str">
        <f aca="false">IF(INDEX(drops!$A$2:$A$21,5)="","",INDEX(drops!$AM$2:$AM$21,5))</f>
        <v/>
      </c>
      <c r="S35" s="0" t="str">
        <f aca="false">IF(INDEX(drops!$A$2:$A$21,5)="","",INDEX(drops!$AN$2:$AN$21,5))</f>
        <v/>
      </c>
      <c r="T35" s="0" t="str">
        <f aca="false">IF(INDEX(drops!$A$2:$A$21,5)="","",INDEX(drops!$AO$2:$AO$21,5))</f>
        <v/>
      </c>
    </row>
    <row r="36" customFormat="false" ht="15" hidden="false" customHeight="false" outlineLevel="0" collapsed="false">
      <c r="A36" s="0" t="str">
        <f aca="false">IF(INDEX(drops!$A$2:$A$21,6)="","",INDEX(drops!$A$2:$A$21,6))</f>
        <v/>
      </c>
      <c r="B36" s="11" t="str">
        <f aca="false">IF(INDEX(drops!$A$2:$A$21,6)="","",INDEX(drops!$B$2:$B$21,6))</f>
        <v/>
      </c>
      <c r="C36" s="0" t="str">
        <f aca="false">IF(INDEX(drops!$A$2:$A$21,6)="","",INDEX(drops!$C$2:$C$21,6))</f>
        <v/>
      </c>
      <c r="D36" s="0" t="str">
        <f aca="false">IF(INDEX(drops!$A$2:$A$21,6)="","",INDEX(drops!$D$2:$D$21,6))</f>
        <v/>
      </c>
      <c r="E36" s="0" t="str">
        <f aca="false">IF(INDEX(drops!$A$2:$A$21,6)="","",INDEX(drops!$I$2:$I$21,6))</f>
        <v/>
      </c>
      <c r="F36" s="0" t="str">
        <f aca="false">IF(INDEX(drops!$A$2:$A$21,6)="","",INDEX(drops!$X$2:$X$21,6))</f>
        <v/>
      </c>
      <c r="G36" s="11" t="str">
        <f aca="false">IF(INDEX(drops!$A$2:$A$21,6)="","",INDEX(drops!$Y$2:$Y$21,6))</f>
        <v/>
      </c>
      <c r="H36" s="0" t="str">
        <f aca="false">IF(INDEX(drops!$A$2:$A$21,6)="","",INDEX(drops!$AA$2:$AA$21,6))</f>
        <v/>
      </c>
      <c r="I36" s="0" t="str">
        <f aca="false">IF(INDEX(drops!$A$2:$A$21,6)="","",INDEX(drops!$Z$2:$Z$21,6))</f>
        <v/>
      </c>
      <c r="J36" s="0" t="str">
        <f aca="false">IF(INDEX(drops!$A$2:$A$21,6)="","",INDEX(drops!$AB$2:$AB$21,6))</f>
        <v/>
      </c>
      <c r="K36" s="12" t="str">
        <f aca="false">IF(INDEX(drops!$A$2:$A$21,6)="","",INDEX(drops!$AC$2:$AC$21,6))</f>
        <v/>
      </c>
      <c r="L36" s="12" t="str">
        <f aca="false">IF(INDEX(drops!$A$2:$A$21,6)="","",INDEX(drops!$AG$2:$AG$21,6))</f>
        <v/>
      </c>
      <c r="M36" s="12" t="str">
        <f aca="false">IF(INDEX(drops!$A$2:$A$21,6)="","",INDEX(drops!$AH$2:$AH$21,6))</f>
        <v/>
      </c>
      <c r="N36" s="13" t="str">
        <f aca="false">IF(INDEX(drops!$A$2:$A$21,6)="","",INDEX(drops!$AI$2:$AI$21,6))</f>
        <v/>
      </c>
      <c r="O36" s="12" t="str">
        <f aca="false">IF(INDEX(drops!$A$2:$A$21,6)="","",INDEX(drops!$AJ$2:$AJ$21,6))</f>
        <v/>
      </c>
      <c r="P36" s="12" t="str">
        <f aca="false">IF(INDEX(drops!$A$2:$A$21,6)="","",INDEX(drops!$AK$2:$AK$21,6))</f>
        <v/>
      </c>
      <c r="Q36" s="14" t="str">
        <f aca="false">IF(INDEX(drops!$A$2:$A$21,6)="","",INDEX(drops!$AL$2:$AL$21,6))</f>
        <v/>
      </c>
      <c r="R36" s="0" t="str">
        <f aca="false">IF(INDEX(drops!$A$2:$A$21,6)="","",INDEX(drops!$AM$2:$AM$21,6))</f>
        <v/>
      </c>
      <c r="S36" s="0" t="str">
        <f aca="false">IF(INDEX(drops!$A$2:$A$21,6)="","",INDEX(drops!$AN$2:$AN$21,6))</f>
        <v/>
      </c>
      <c r="T36" s="0" t="str">
        <f aca="false">IF(INDEX(drops!$A$2:$A$21,6)="","",INDEX(drops!$AO$2:$AO$21,6))</f>
        <v/>
      </c>
    </row>
    <row r="37" customFormat="false" ht="15" hidden="false" customHeight="false" outlineLevel="0" collapsed="false">
      <c r="A37" s="0" t="str">
        <f aca="false">IF(INDEX(drops!$A$2:$A$21,7)="","",INDEX(drops!$A$2:$A$21,7))</f>
        <v/>
      </c>
      <c r="B37" s="11" t="str">
        <f aca="false">IF(INDEX(drops!$A$2:$A$21,7)="","",INDEX(drops!$B$2:$B$21,7))</f>
        <v/>
      </c>
      <c r="C37" s="0" t="str">
        <f aca="false">IF(INDEX(drops!$A$2:$A$21,7)="","",INDEX(drops!$C$2:$C$21,7))</f>
        <v/>
      </c>
      <c r="D37" s="0" t="str">
        <f aca="false">IF(INDEX(drops!$A$2:$A$21,7)="","",INDEX(drops!$D$2:$D$21,7))</f>
        <v/>
      </c>
      <c r="E37" s="0" t="str">
        <f aca="false">IF(INDEX(drops!$A$2:$A$21,7)="","",INDEX(drops!$I$2:$I$21,7))</f>
        <v/>
      </c>
      <c r="F37" s="0" t="str">
        <f aca="false">IF(INDEX(drops!$A$2:$A$21,7)="","",INDEX(drops!$X$2:$X$21,7))</f>
        <v/>
      </c>
      <c r="G37" s="11" t="str">
        <f aca="false">IF(INDEX(drops!$A$2:$A$21,7)="","",INDEX(drops!$Y$2:$Y$21,7))</f>
        <v/>
      </c>
      <c r="H37" s="0" t="str">
        <f aca="false">IF(INDEX(drops!$A$2:$A$21,7)="","",INDEX(drops!$AA$2:$AA$21,7))</f>
        <v/>
      </c>
      <c r="I37" s="0" t="str">
        <f aca="false">IF(INDEX(drops!$A$2:$A$21,7)="","",INDEX(drops!$Z$2:$Z$21,7))</f>
        <v/>
      </c>
      <c r="J37" s="0" t="str">
        <f aca="false">IF(INDEX(drops!$A$2:$A$21,7)="","",INDEX(drops!$AB$2:$AB$21,7))</f>
        <v/>
      </c>
      <c r="K37" s="12" t="str">
        <f aca="false">IF(INDEX(drops!$A$2:$A$21,7)="","",INDEX(drops!$AC$2:$AC$21,7))</f>
        <v/>
      </c>
      <c r="L37" s="12" t="str">
        <f aca="false">IF(INDEX(drops!$A$2:$A$21,7)="","",INDEX(drops!$AG$2:$AG$21,7))</f>
        <v/>
      </c>
      <c r="M37" s="12" t="str">
        <f aca="false">IF(INDEX(drops!$A$2:$A$21,7)="","",INDEX(drops!$AH$2:$AH$21,7))</f>
        <v/>
      </c>
      <c r="N37" s="13" t="str">
        <f aca="false">IF(INDEX(drops!$A$2:$A$21,7)="","",INDEX(drops!$AI$2:$AI$21,7))</f>
        <v/>
      </c>
      <c r="O37" s="12" t="str">
        <f aca="false">IF(INDEX(drops!$A$2:$A$21,7)="","",INDEX(drops!$AJ$2:$AJ$21,7))</f>
        <v/>
      </c>
      <c r="P37" s="12" t="str">
        <f aca="false">IF(INDEX(drops!$A$2:$A$21,7)="","",INDEX(drops!$AK$2:$AK$21,7))</f>
        <v/>
      </c>
      <c r="Q37" s="14" t="str">
        <f aca="false">IF(INDEX(drops!$A$2:$A$21,7)="","",INDEX(drops!$AL$2:$AL$21,7))</f>
        <v/>
      </c>
      <c r="R37" s="0" t="str">
        <f aca="false">IF(INDEX(drops!$A$2:$A$21,7)="","",INDEX(drops!$AM$2:$AM$21,7))</f>
        <v/>
      </c>
      <c r="S37" s="0" t="str">
        <f aca="false">IF(INDEX(drops!$A$2:$A$21,7)="","",INDEX(drops!$AN$2:$AN$21,7))</f>
        <v/>
      </c>
      <c r="T37" s="0" t="str">
        <f aca="false">IF(INDEX(drops!$A$2:$A$21,7)="","",INDEX(drops!$AO$2:$AO$21,7))</f>
        <v/>
      </c>
    </row>
    <row r="38" customFormat="false" ht="15" hidden="false" customHeight="false" outlineLevel="0" collapsed="false">
      <c r="A38" s="0" t="str">
        <f aca="false">IF(INDEX(drops!$A$2:$A$21,8)="","",INDEX(drops!$A$2:$A$21,8))</f>
        <v/>
      </c>
      <c r="B38" s="11" t="str">
        <f aca="false">IF(INDEX(drops!$A$2:$A$21,8)="","",INDEX(drops!$B$2:$B$21,8))</f>
        <v/>
      </c>
      <c r="C38" s="0" t="str">
        <f aca="false">IF(INDEX(drops!$A$2:$A$21,8)="","",INDEX(drops!$C$2:$C$21,8))</f>
        <v/>
      </c>
      <c r="D38" s="0" t="str">
        <f aca="false">IF(INDEX(drops!$A$2:$A$21,8)="","",INDEX(drops!$D$2:$D$21,8))</f>
        <v/>
      </c>
      <c r="E38" s="0" t="str">
        <f aca="false">IF(INDEX(drops!$A$2:$A$21,8)="","",INDEX(drops!$I$2:$I$21,8))</f>
        <v/>
      </c>
      <c r="F38" s="0" t="str">
        <f aca="false">IF(INDEX(drops!$A$2:$A$21,8)="","",INDEX(drops!$X$2:$X$21,8))</f>
        <v/>
      </c>
      <c r="G38" s="11" t="str">
        <f aca="false">IF(INDEX(drops!$A$2:$A$21,8)="","",INDEX(drops!$Y$2:$Y$21,8))</f>
        <v/>
      </c>
      <c r="H38" s="0" t="str">
        <f aca="false">IF(INDEX(drops!$A$2:$A$21,8)="","",INDEX(drops!$AA$2:$AA$21,8))</f>
        <v/>
      </c>
      <c r="I38" s="0" t="str">
        <f aca="false">IF(INDEX(drops!$A$2:$A$21,8)="","",INDEX(drops!$Z$2:$Z$21,8))</f>
        <v/>
      </c>
      <c r="J38" s="0" t="str">
        <f aca="false">IF(INDEX(drops!$A$2:$A$21,8)="","",INDEX(drops!$AB$2:$AB$21,8))</f>
        <v/>
      </c>
      <c r="K38" s="12" t="str">
        <f aca="false">IF(INDEX(drops!$A$2:$A$21,8)="","",INDEX(drops!$AC$2:$AC$21,8))</f>
        <v/>
      </c>
      <c r="L38" s="12" t="str">
        <f aca="false">IF(INDEX(drops!$A$2:$A$21,8)="","",INDEX(drops!$AG$2:$AG$21,8))</f>
        <v/>
      </c>
      <c r="M38" s="12" t="str">
        <f aca="false">IF(INDEX(drops!$A$2:$A$21,8)="","",INDEX(drops!$AH$2:$AH$21,8))</f>
        <v/>
      </c>
      <c r="N38" s="13" t="str">
        <f aca="false">IF(INDEX(drops!$A$2:$A$21,8)="","",INDEX(drops!$AI$2:$AI$21,8))</f>
        <v/>
      </c>
      <c r="O38" s="12" t="str">
        <f aca="false">IF(INDEX(drops!$A$2:$A$21,8)="","",INDEX(drops!$AJ$2:$AJ$21,8))</f>
        <v/>
      </c>
      <c r="P38" s="12" t="str">
        <f aca="false">IF(INDEX(drops!$A$2:$A$21,8)="","",INDEX(drops!$AK$2:$AK$21,8))</f>
        <v/>
      </c>
      <c r="Q38" s="14" t="str">
        <f aca="false">IF(INDEX(drops!$A$2:$A$21,8)="","",INDEX(drops!$AL$2:$AL$21,8))</f>
        <v/>
      </c>
      <c r="R38" s="0" t="str">
        <f aca="false">IF(INDEX(drops!$A$2:$A$21,8)="","",INDEX(drops!$AM$2:$AM$21,8))</f>
        <v/>
      </c>
      <c r="S38" s="0" t="str">
        <f aca="false">IF(INDEX(drops!$A$2:$A$21,8)="","",INDEX(drops!$AN$2:$AN$21,8))</f>
        <v/>
      </c>
      <c r="T38" s="0" t="str">
        <f aca="false">IF(INDEX(drops!$A$2:$A$21,8)="","",INDEX(drops!$AO$2:$AO$21,8))</f>
        <v/>
      </c>
    </row>
    <row r="39" customFormat="false" ht="15" hidden="false" customHeight="false" outlineLevel="0" collapsed="false">
      <c r="A39" s="0" t="str">
        <f aca="false">IF(INDEX(drops!$A$2:$A$21,9)="","",INDEX(drops!$A$2:$A$21,9))</f>
        <v/>
      </c>
      <c r="B39" s="11" t="str">
        <f aca="false">IF(INDEX(drops!$A$2:$A$21,9)="","",INDEX(drops!$B$2:$B$21,9))</f>
        <v/>
      </c>
      <c r="C39" s="0" t="str">
        <f aca="false">IF(INDEX(drops!$A$2:$A$21,9)="","",INDEX(drops!$C$2:$C$21,9))</f>
        <v/>
      </c>
      <c r="D39" s="0" t="str">
        <f aca="false">IF(INDEX(drops!$A$2:$A$21,9)="","",INDEX(drops!$D$2:$D$21,9))</f>
        <v/>
      </c>
      <c r="E39" s="0" t="str">
        <f aca="false">IF(INDEX(drops!$A$2:$A$21,9)="","",INDEX(drops!$I$2:$I$21,9))</f>
        <v/>
      </c>
      <c r="F39" s="0" t="str">
        <f aca="false">IF(INDEX(drops!$A$2:$A$21,9)="","",INDEX(drops!$X$2:$X$21,9))</f>
        <v/>
      </c>
      <c r="G39" s="11" t="str">
        <f aca="false">IF(INDEX(drops!$A$2:$A$21,9)="","",INDEX(drops!$Y$2:$Y$21,9))</f>
        <v/>
      </c>
      <c r="H39" s="0" t="str">
        <f aca="false">IF(INDEX(drops!$A$2:$A$21,9)="","",INDEX(drops!$AA$2:$AA$21,9))</f>
        <v/>
      </c>
      <c r="I39" s="0" t="str">
        <f aca="false">IF(INDEX(drops!$A$2:$A$21,9)="","",INDEX(drops!$Z$2:$Z$21,9))</f>
        <v/>
      </c>
      <c r="J39" s="0" t="str">
        <f aca="false">IF(INDEX(drops!$A$2:$A$21,9)="","",INDEX(drops!$AB$2:$AB$21,9))</f>
        <v/>
      </c>
      <c r="K39" s="12" t="str">
        <f aca="false">IF(INDEX(drops!$A$2:$A$21,9)="","",INDEX(drops!$AC$2:$AC$21,9))</f>
        <v/>
      </c>
      <c r="L39" s="12" t="str">
        <f aca="false">IF(INDEX(drops!$A$2:$A$21,9)="","",INDEX(drops!$AG$2:$AG$21,9))</f>
        <v/>
      </c>
      <c r="M39" s="12" t="str">
        <f aca="false">IF(INDEX(drops!$A$2:$A$21,9)="","",INDEX(drops!$AH$2:$AH$21,9))</f>
        <v/>
      </c>
      <c r="N39" s="13" t="str">
        <f aca="false">IF(INDEX(drops!$A$2:$A$21,9)="","",INDEX(drops!$AI$2:$AI$21,9))</f>
        <v/>
      </c>
      <c r="O39" s="12" t="str">
        <f aca="false">IF(INDEX(drops!$A$2:$A$21,9)="","",INDEX(drops!$AJ$2:$AJ$21,9))</f>
        <v/>
      </c>
      <c r="P39" s="12" t="str">
        <f aca="false">IF(INDEX(drops!$A$2:$A$21,9)="","",INDEX(drops!$AK$2:$AK$21,9))</f>
        <v/>
      </c>
      <c r="Q39" s="14" t="str">
        <f aca="false">IF(INDEX(drops!$A$2:$A$21,9)="","",INDEX(drops!$AL$2:$AL$21,9))</f>
        <v/>
      </c>
      <c r="R39" s="0" t="str">
        <f aca="false">IF(INDEX(drops!$A$2:$A$21,9)="","",INDEX(drops!$AM$2:$AM$21,9))</f>
        <v/>
      </c>
      <c r="S39" s="0" t="str">
        <f aca="false">IF(INDEX(drops!$A$2:$A$21,9)="","",INDEX(drops!$AN$2:$AN$21,9))</f>
        <v/>
      </c>
      <c r="T39" s="0" t="str">
        <f aca="false">IF(INDEX(drops!$A$2:$A$21,9)="","",INDEX(drops!$AO$2:$AO$21,9))</f>
        <v/>
      </c>
    </row>
    <row r="40" customFormat="false" ht="15" hidden="false" customHeight="false" outlineLevel="0" collapsed="false">
      <c r="A40" s="0" t="str">
        <f aca="false">IF(INDEX(drops!$A$2:$A$21,10)="","",INDEX(drops!$A$2:$A$21,10))</f>
        <v/>
      </c>
      <c r="B40" s="11" t="str">
        <f aca="false">IF(INDEX(drops!$A$2:$A$21,10)="","",INDEX(drops!$B$2:$B$21,10))</f>
        <v/>
      </c>
      <c r="C40" s="0" t="str">
        <f aca="false">IF(INDEX(drops!$A$2:$A$21,10)="","",INDEX(drops!$C$2:$C$21,10))</f>
        <v/>
      </c>
      <c r="D40" s="0" t="str">
        <f aca="false">IF(INDEX(drops!$A$2:$A$21,10)="","",INDEX(drops!$D$2:$D$21,10))</f>
        <v/>
      </c>
      <c r="E40" s="0" t="str">
        <f aca="false">IF(INDEX(drops!$A$2:$A$21,10)="","",INDEX(drops!$I$2:$I$21,10))</f>
        <v/>
      </c>
      <c r="F40" s="0" t="str">
        <f aca="false">IF(INDEX(drops!$A$2:$A$21,10)="","",INDEX(drops!$X$2:$X$21,10))</f>
        <v/>
      </c>
      <c r="G40" s="11" t="str">
        <f aca="false">IF(INDEX(drops!$A$2:$A$21,10)="","",INDEX(drops!$Y$2:$Y$21,10))</f>
        <v/>
      </c>
      <c r="H40" s="0" t="str">
        <f aca="false">IF(INDEX(drops!$A$2:$A$21,10)="","",INDEX(drops!$AA$2:$AA$21,10))</f>
        <v/>
      </c>
      <c r="I40" s="0" t="str">
        <f aca="false">IF(INDEX(drops!$A$2:$A$21,10)="","",INDEX(drops!$Z$2:$Z$21,10))</f>
        <v/>
      </c>
      <c r="J40" s="0" t="str">
        <f aca="false">IF(INDEX(drops!$A$2:$A$21,10)="","",INDEX(drops!$AB$2:$AB$21,10))</f>
        <v/>
      </c>
      <c r="K40" s="12" t="str">
        <f aca="false">IF(INDEX(drops!$A$2:$A$21,10)="","",INDEX(drops!$AC$2:$AC$21,10))</f>
        <v/>
      </c>
      <c r="L40" s="12" t="str">
        <f aca="false">IF(INDEX(drops!$A$2:$A$21,10)="","",INDEX(drops!$AG$2:$AG$21,10))</f>
        <v/>
      </c>
      <c r="M40" s="12" t="str">
        <f aca="false">IF(INDEX(drops!$A$2:$A$21,10)="","",INDEX(drops!$AH$2:$AH$21,10))</f>
        <v/>
      </c>
      <c r="N40" s="13" t="str">
        <f aca="false">IF(INDEX(drops!$A$2:$A$21,10)="","",INDEX(drops!$AI$2:$AI$21,10))</f>
        <v/>
      </c>
      <c r="O40" s="12" t="str">
        <f aca="false">IF(INDEX(drops!$A$2:$A$21,10)="","",INDEX(drops!$AJ$2:$AJ$21,10))</f>
        <v/>
      </c>
      <c r="P40" s="12" t="str">
        <f aca="false">IF(INDEX(drops!$A$2:$A$21,10)="","",INDEX(drops!$AK$2:$AK$21,10))</f>
        <v/>
      </c>
      <c r="Q40" s="14" t="str">
        <f aca="false">IF(INDEX(drops!$A$2:$A$21,10)="","",INDEX(drops!$AL$2:$AL$21,10))</f>
        <v/>
      </c>
      <c r="R40" s="0" t="str">
        <f aca="false">IF(INDEX(drops!$A$2:$A$21,10)="","",INDEX(drops!$AM$2:$AM$21,10))</f>
        <v/>
      </c>
      <c r="S40" s="0" t="str">
        <f aca="false">IF(INDEX(drops!$A$2:$A$21,10)="","",INDEX(drops!$AN$2:$AN$21,10))</f>
        <v/>
      </c>
      <c r="T40" s="0" t="str">
        <f aca="false">IF(INDEX(drops!$A$2:$A$21,10)="","",INDEX(drops!$AO$2:$AO$21,10))</f>
        <v/>
      </c>
    </row>
    <row r="41" customFormat="false" ht="15" hidden="false" customHeight="false" outlineLevel="0" collapsed="false">
      <c r="A41" s="0" t="str">
        <f aca="false">IF(INDEX(drops!$A$2:$A$21,11)="","",INDEX(drops!$A$2:$A$21,11))</f>
        <v/>
      </c>
      <c r="B41" s="11" t="str">
        <f aca="false">IF(INDEX(drops!$A$2:$A$21,11)="","",INDEX(drops!$B$2:$B$21,11))</f>
        <v/>
      </c>
      <c r="C41" s="0" t="str">
        <f aca="false">IF(INDEX(drops!$A$2:$A$21,11)="","",INDEX(drops!$C$2:$C$21,11))</f>
        <v/>
      </c>
      <c r="D41" s="0" t="str">
        <f aca="false">IF(INDEX(drops!$A$2:$A$21,11)="","",INDEX(drops!$D$2:$D$21,11))</f>
        <v/>
      </c>
      <c r="E41" s="0" t="str">
        <f aca="false">IF(INDEX(drops!$A$2:$A$21,11)="","",INDEX(drops!$I$2:$I$21,11))</f>
        <v/>
      </c>
      <c r="F41" s="0" t="str">
        <f aca="false">IF(INDEX(drops!$A$2:$A$21,11)="","",INDEX(drops!$X$2:$X$21,11))</f>
        <v/>
      </c>
      <c r="G41" s="11" t="str">
        <f aca="false">IF(INDEX(drops!$A$2:$A$21,11)="","",INDEX(drops!$Y$2:$Y$21,11))</f>
        <v/>
      </c>
      <c r="H41" s="0" t="str">
        <f aca="false">IF(INDEX(drops!$A$2:$A$21,11)="","",INDEX(drops!$AA$2:$AA$21,11))</f>
        <v/>
      </c>
      <c r="I41" s="0" t="str">
        <f aca="false">IF(INDEX(drops!$A$2:$A$21,11)="","",INDEX(drops!$Z$2:$Z$21,11))</f>
        <v/>
      </c>
      <c r="J41" s="0" t="str">
        <f aca="false">IF(INDEX(drops!$A$2:$A$21,11)="","",INDEX(drops!$AB$2:$AB$21,11))</f>
        <v/>
      </c>
      <c r="K41" s="12" t="str">
        <f aca="false">IF(INDEX(drops!$A$2:$A$21,11)="","",INDEX(drops!$AC$2:$AC$21,11))</f>
        <v/>
      </c>
      <c r="L41" s="12" t="str">
        <f aca="false">IF(INDEX(drops!$A$2:$A$21,11)="","",INDEX(drops!$AG$2:$AG$21,11))</f>
        <v/>
      </c>
      <c r="M41" s="12" t="str">
        <f aca="false">IF(INDEX(drops!$A$2:$A$21,11)="","",INDEX(drops!$AH$2:$AH$21,11))</f>
        <v/>
      </c>
      <c r="N41" s="13" t="str">
        <f aca="false">IF(INDEX(drops!$A$2:$A$21,11)="","",INDEX(drops!$AI$2:$AI$21,11))</f>
        <v/>
      </c>
      <c r="O41" s="12" t="str">
        <f aca="false">IF(INDEX(drops!$A$2:$A$21,11)="","",INDEX(drops!$AJ$2:$AJ$21,11))</f>
        <v/>
      </c>
      <c r="P41" s="12" t="str">
        <f aca="false">IF(INDEX(drops!$A$2:$A$21,11)="","",INDEX(drops!$AK$2:$AK$21,11))</f>
        <v/>
      </c>
      <c r="Q41" s="14" t="str">
        <f aca="false">IF(INDEX(drops!$A$2:$A$21,11)="","",INDEX(drops!$AL$2:$AL$21,11))</f>
        <v/>
      </c>
      <c r="R41" s="0" t="str">
        <f aca="false">IF(INDEX(drops!$A$2:$A$21,11)="","",INDEX(drops!$AM$2:$AM$21,11))</f>
        <v/>
      </c>
      <c r="S41" s="0" t="str">
        <f aca="false">IF(INDEX(drops!$A$2:$A$21,11)="","",INDEX(drops!$AN$2:$AN$21,11))</f>
        <v/>
      </c>
      <c r="T41" s="0" t="str">
        <f aca="false">IF(INDEX(drops!$A$2:$A$21,11)="","",INDEX(drops!$AO$2:$AO$21,11))</f>
        <v/>
      </c>
    </row>
    <row r="42" customFormat="false" ht="15" hidden="false" customHeight="false" outlineLevel="0" collapsed="false">
      <c r="A42" s="0" t="str">
        <f aca="false">IF(INDEX(drops!$A$2:$A$21,12)="","",INDEX(drops!$A$2:$A$21,12))</f>
        <v/>
      </c>
      <c r="B42" s="11" t="str">
        <f aca="false">IF(INDEX(drops!$A$2:$A$21,12)="","",INDEX(drops!$B$2:$B$21,12))</f>
        <v/>
      </c>
      <c r="C42" s="0" t="str">
        <f aca="false">IF(INDEX(drops!$A$2:$A$21,12)="","",INDEX(drops!$C$2:$C$21,12))</f>
        <v/>
      </c>
      <c r="D42" s="0" t="str">
        <f aca="false">IF(INDEX(drops!$A$2:$A$21,12)="","",INDEX(drops!$D$2:$D$21,12))</f>
        <v/>
      </c>
      <c r="E42" s="0" t="str">
        <f aca="false">IF(INDEX(drops!$A$2:$A$21,12)="","",INDEX(drops!$I$2:$I$21,12))</f>
        <v/>
      </c>
      <c r="F42" s="0" t="str">
        <f aca="false">IF(INDEX(drops!$A$2:$A$21,12)="","",INDEX(drops!$X$2:$X$21,12))</f>
        <v/>
      </c>
      <c r="G42" s="11" t="str">
        <f aca="false">IF(INDEX(drops!$A$2:$A$21,12)="","",INDEX(drops!$Y$2:$Y$21,12))</f>
        <v/>
      </c>
      <c r="H42" s="0" t="str">
        <f aca="false">IF(INDEX(drops!$A$2:$A$21,12)="","",INDEX(drops!$AA$2:$AA$21,12))</f>
        <v/>
      </c>
      <c r="I42" s="0" t="str">
        <f aca="false">IF(INDEX(drops!$A$2:$A$21,12)="","",INDEX(drops!$Z$2:$Z$21,12))</f>
        <v/>
      </c>
      <c r="J42" s="0" t="str">
        <f aca="false">IF(INDEX(drops!$A$2:$A$21,12)="","",INDEX(drops!$AB$2:$AB$21,12))</f>
        <v/>
      </c>
      <c r="K42" s="12" t="str">
        <f aca="false">IF(INDEX(drops!$A$2:$A$21,12)="","",INDEX(drops!$AC$2:$AC$21,12))</f>
        <v/>
      </c>
      <c r="L42" s="12" t="str">
        <f aca="false">IF(INDEX(drops!$A$2:$A$21,12)="","",INDEX(drops!$AG$2:$AG$21,12))</f>
        <v/>
      </c>
      <c r="M42" s="12" t="str">
        <f aca="false">IF(INDEX(drops!$A$2:$A$21,12)="","",INDEX(drops!$AH$2:$AH$21,12))</f>
        <v/>
      </c>
      <c r="N42" s="13" t="str">
        <f aca="false">IF(INDEX(drops!$A$2:$A$21,12)="","",INDEX(drops!$AI$2:$AI$21,12))</f>
        <v/>
      </c>
      <c r="O42" s="12" t="str">
        <f aca="false">IF(INDEX(drops!$A$2:$A$21,12)="","",INDEX(drops!$AJ$2:$AJ$21,12))</f>
        <v/>
      </c>
      <c r="P42" s="12" t="str">
        <f aca="false">IF(INDEX(drops!$A$2:$A$21,12)="","",INDEX(drops!$AK$2:$AK$21,12))</f>
        <v/>
      </c>
      <c r="Q42" s="14" t="str">
        <f aca="false">IF(INDEX(drops!$A$2:$A$21,12)="","",INDEX(drops!$AL$2:$AL$21,12))</f>
        <v/>
      </c>
      <c r="R42" s="0" t="str">
        <f aca="false">IF(INDEX(drops!$A$2:$A$21,12)="","",INDEX(drops!$AM$2:$AM$21,12))</f>
        <v/>
      </c>
      <c r="S42" s="0" t="str">
        <f aca="false">IF(INDEX(drops!$A$2:$A$21,12)="","",INDEX(drops!$AN$2:$AN$21,12))</f>
        <v/>
      </c>
      <c r="T42" s="0" t="str">
        <f aca="false">IF(INDEX(drops!$A$2:$A$21,12)="","",INDEX(drops!$AO$2:$AO$21,12))</f>
        <v/>
      </c>
    </row>
    <row r="43" customFormat="false" ht="15" hidden="false" customHeight="false" outlineLevel="0" collapsed="false">
      <c r="A43" s="0" t="str">
        <f aca="false">IF(INDEX(drops!$A$2:$A$21,13)="","",INDEX(drops!$A$2:$A$21,13))</f>
        <v/>
      </c>
      <c r="B43" s="11" t="str">
        <f aca="false">IF(INDEX(drops!$A$2:$A$21,13)="","",INDEX(drops!$B$2:$B$21,13))</f>
        <v/>
      </c>
      <c r="C43" s="0" t="str">
        <f aca="false">IF(INDEX(drops!$A$2:$A$21,13)="","",INDEX(drops!$C$2:$C$21,13))</f>
        <v/>
      </c>
      <c r="D43" s="0" t="str">
        <f aca="false">IF(INDEX(drops!$A$2:$A$21,13)="","",INDEX(drops!$D$2:$D$21,13))</f>
        <v/>
      </c>
      <c r="E43" s="0" t="str">
        <f aca="false">IF(INDEX(drops!$A$2:$A$21,13)="","",INDEX(drops!$I$2:$I$21,13))</f>
        <v/>
      </c>
      <c r="F43" s="0" t="str">
        <f aca="false">IF(INDEX(drops!$A$2:$A$21,13)="","",INDEX(drops!$X$2:$X$21,13))</f>
        <v/>
      </c>
      <c r="G43" s="11" t="str">
        <f aca="false">IF(INDEX(drops!$A$2:$A$21,13)="","",INDEX(drops!$Y$2:$Y$21,13))</f>
        <v/>
      </c>
      <c r="H43" s="0" t="str">
        <f aca="false">IF(INDEX(drops!$A$2:$A$21,13)="","",INDEX(drops!$AA$2:$AA$21,13))</f>
        <v/>
      </c>
      <c r="I43" s="0" t="str">
        <f aca="false">IF(INDEX(drops!$A$2:$A$21,13)="","",INDEX(drops!$Z$2:$Z$21,13))</f>
        <v/>
      </c>
      <c r="J43" s="0" t="str">
        <f aca="false">IF(INDEX(drops!$A$2:$A$21,13)="","",INDEX(drops!$AB$2:$AB$21,13))</f>
        <v/>
      </c>
      <c r="K43" s="12" t="str">
        <f aca="false">IF(INDEX(drops!$A$2:$A$21,13)="","",INDEX(drops!$AC$2:$AC$21,13))</f>
        <v/>
      </c>
      <c r="L43" s="12" t="str">
        <f aca="false">IF(INDEX(drops!$A$2:$A$21,13)="","",INDEX(drops!$AG$2:$AG$21,13))</f>
        <v/>
      </c>
      <c r="M43" s="12" t="str">
        <f aca="false">IF(INDEX(drops!$A$2:$A$21,13)="","",INDEX(drops!$AH$2:$AH$21,13))</f>
        <v/>
      </c>
      <c r="N43" s="13" t="str">
        <f aca="false">IF(INDEX(drops!$A$2:$A$21,13)="","",INDEX(drops!$AI$2:$AI$21,13))</f>
        <v/>
      </c>
      <c r="O43" s="12" t="str">
        <f aca="false">IF(INDEX(drops!$A$2:$A$21,13)="","",INDEX(drops!$AJ$2:$AJ$21,13))</f>
        <v/>
      </c>
      <c r="P43" s="12" t="str">
        <f aca="false">IF(INDEX(drops!$A$2:$A$21,13)="","",INDEX(drops!$AK$2:$AK$21,13))</f>
        <v/>
      </c>
      <c r="Q43" s="14" t="str">
        <f aca="false">IF(INDEX(drops!$A$2:$A$21,13)="","",INDEX(drops!$AL$2:$AL$21,13))</f>
        <v/>
      </c>
      <c r="R43" s="0" t="str">
        <f aca="false">IF(INDEX(drops!$A$2:$A$21,13)="","",INDEX(drops!$AM$2:$AM$21,13))</f>
        <v/>
      </c>
      <c r="S43" s="0" t="str">
        <f aca="false">IF(INDEX(drops!$A$2:$A$21,13)="","",INDEX(drops!$AN$2:$AN$21,13))</f>
        <v/>
      </c>
      <c r="T43" s="0" t="str">
        <f aca="false">IF(INDEX(drops!$A$2:$A$21,13)="","",INDEX(drops!$AO$2:$AO$21,13))</f>
        <v/>
      </c>
    </row>
    <row r="44" customFormat="false" ht="15" hidden="false" customHeight="false" outlineLevel="0" collapsed="false">
      <c r="A44" s="0" t="str">
        <f aca="false">IF(INDEX(drops!$A$2:$A$21,14)="","",INDEX(drops!$A$2:$A$21,14))</f>
        <v/>
      </c>
      <c r="B44" s="11" t="str">
        <f aca="false">IF(INDEX(drops!$A$2:$A$21,14)="","",INDEX(drops!$B$2:$B$21,14))</f>
        <v/>
      </c>
      <c r="C44" s="0" t="str">
        <f aca="false">IF(INDEX(drops!$A$2:$A$21,14)="","",INDEX(drops!$C$2:$C$21,14))</f>
        <v/>
      </c>
      <c r="D44" s="0" t="str">
        <f aca="false">IF(INDEX(drops!$A$2:$A$21,14)="","",INDEX(drops!$D$2:$D$21,14))</f>
        <v/>
      </c>
      <c r="E44" s="0" t="str">
        <f aca="false">IF(INDEX(drops!$A$2:$A$21,14)="","",INDEX(drops!$I$2:$I$21,14))</f>
        <v/>
      </c>
      <c r="F44" s="0" t="str">
        <f aca="false">IF(INDEX(drops!$A$2:$A$21,14)="","",INDEX(drops!$X$2:$X$21,14))</f>
        <v/>
      </c>
      <c r="G44" s="11" t="str">
        <f aca="false">IF(INDEX(drops!$A$2:$A$21,14)="","",INDEX(drops!$Y$2:$Y$21,14))</f>
        <v/>
      </c>
      <c r="H44" s="0" t="str">
        <f aca="false">IF(INDEX(drops!$A$2:$A$21,14)="","",INDEX(drops!$AA$2:$AA$21,14))</f>
        <v/>
      </c>
      <c r="I44" s="0" t="str">
        <f aca="false">IF(INDEX(drops!$A$2:$A$21,14)="","",INDEX(drops!$Z$2:$Z$21,14))</f>
        <v/>
      </c>
      <c r="J44" s="0" t="str">
        <f aca="false">IF(INDEX(drops!$A$2:$A$21,14)="","",INDEX(drops!$AB$2:$AB$21,14))</f>
        <v/>
      </c>
      <c r="K44" s="12" t="str">
        <f aca="false">IF(INDEX(drops!$A$2:$A$21,14)="","",INDEX(drops!$AC$2:$AC$21,14))</f>
        <v/>
      </c>
      <c r="L44" s="12" t="str">
        <f aca="false">IF(INDEX(drops!$A$2:$A$21,14)="","",INDEX(drops!$AG$2:$AG$21,14))</f>
        <v/>
      </c>
      <c r="M44" s="12" t="str">
        <f aca="false">IF(INDEX(drops!$A$2:$A$21,14)="","",INDEX(drops!$AH$2:$AH$21,14))</f>
        <v/>
      </c>
      <c r="N44" s="13" t="str">
        <f aca="false">IF(INDEX(drops!$A$2:$A$21,14)="","",INDEX(drops!$AI$2:$AI$21,14))</f>
        <v/>
      </c>
      <c r="O44" s="12" t="str">
        <f aca="false">IF(INDEX(drops!$A$2:$A$21,14)="","",INDEX(drops!$AJ$2:$AJ$21,14))</f>
        <v/>
      </c>
      <c r="P44" s="12" t="str">
        <f aca="false">IF(INDEX(drops!$A$2:$A$21,14)="","",INDEX(drops!$AK$2:$AK$21,14))</f>
        <v/>
      </c>
      <c r="Q44" s="14" t="str">
        <f aca="false">IF(INDEX(drops!$A$2:$A$21,14)="","",INDEX(drops!$AL$2:$AL$21,14))</f>
        <v/>
      </c>
      <c r="R44" s="0" t="str">
        <f aca="false">IF(INDEX(drops!$A$2:$A$21,14)="","",INDEX(drops!$AM$2:$AM$21,14))</f>
        <v/>
      </c>
      <c r="S44" s="0" t="str">
        <f aca="false">IF(INDEX(drops!$A$2:$A$21,14)="","",INDEX(drops!$AN$2:$AN$21,14))</f>
        <v/>
      </c>
      <c r="T44" s="0" t="str">
        <f aca="false">IF(INDEX(drops!$A$2:$A$21,14)="","",INDEX(drops!$AO$2:$AO$21,14))</f>
        <v/>
      </c>
    </row>
    <row r="45" customFormat="false" ht="15" hidden="false" customHeight="false" outlineLevel="0" collapsed="false">
      <c r="A45" s="0" t="str">
        <f aca="false">IF(INDEX(drops!$A$2:$A$21,15)="","",INDEX(drops!$A$2:$A$21,15))</f>
        <v/>
      </c>
      <c r="B45" s="11" t="str">
        <f aca="false">IF(INDEX(drops!$A$2:$A$21,15)="","",INDEX(drops!$B$2:$B$21,15))</f>
        <v/>
      </c>
      <c r="C45" s="0" t="str">
        <f aca="false">IF(INDEX(drops!$A$2:$A$21,15)="","",INDEX(drops!$C$2:$C$21,15))</f>
        <v/>
      </c>
      <c r="D45" s="0" t="str">
        <f aca="false">IF(INDEX(drops!$A$2:$A$21,15)="","",INDEX(drops!$D$2:$D$21,15))</f>
        <v/>
      </c>
      <c r="E45" s="0" t="str">
        <f aca="false">IF(INDEX(drops!$A$2:$A$21,15)="","",INDEX(drops!$I$2:$I$21,15))</f>
        <v/>
      </c>
      <c r="F45" s="0" t="str">
        <f aca="false">IF(INDEX(drops!$A$2:$A$21,15)="","",INDEX(drops!$X$2:$X$21,15))</f>
        <v/>
      </c>
      <c r="G45" s="11" t="str">
        <f aca="false">IF(INDEX(drops!$A$2:$A$21,15)="","",INDEX(drops!$Y$2:$Y$21,15))</f>
        <v/>
      </c>
      <c r="H45" s="0" t="str">
        <f aca="false">IF(INDEX(drops!$A$2:$A$21,15)="","",INDEX(drops!$AA$2:$AA$21,15))</f>
        <v/>
      </c>
      <c r="I45" s="0" t="str">
        <f aca="false">IF(INDEX(drops!$A$2:$A$21,15)="","",INDEX(drops!$Z$2:$Z$21,15))</f>
        <v/>
      </c>
      <c r="J45" s="0" t="str">
        <f aca="false">IF(INDEX(drops!$A$2:$A$21,15)="","",INDEX(drops!$AB$2:$AB$21,15))</f>
        <v/>
      </c>
      <c r="K45" s="12" t="str">
        <f aca="false">IF(INDEX(drops!$A$2:$A$21,15)="","",INDEX(drops!$AC$2:$AC$21,15))</f>
        <v/>
      </c>
      <c r="L45" s="12" t="str">
        <f aca="false">IF(INDEX(drops!$A$2:$A$21,15)="","",INDEX(drops!$AG$2:$AG$21,15))</f>
        <v/>
      </c>
      <c r="M45" s="12" t="str">
        <f aca="false">IF(INDEX(drops!$A$2:$A$21,15)="","",INDEX(drops!$AH$2:$AH$21,15))</f>
        <v/>
      </c>
      <c r="N45" s="13" t="str">
        <f aca="false">IF(INDEX(drops!$A$2:$A$21,15)="","",INDEX(drops!$AI$2:$AI$21,15))</f>
        <v/>
      </c>
      <c r="O45" s="12" t="str">
        <f aca="false">IF(INDEX(drops!$A$2:$A$21,15)="","",INDEX(drops!$AJ$2:$AJ$21,15))</f>
        <v/>
      </c>
      <c r="P45" s="12" t="str">
        <f aca="false">IF(INDEX(drops!$A$2:$A$21,15)="","",INDEX(drops!$AK$2:$AK$21,15))</f>
        <v/>
      </c>
      <c r="Q45" s="14" t="str">
        <f aca="false">IF(INDEX(drops!$A$2:$A$21,15)="","",INDEX(drops!$AL$2:$AL$21,15))</f>
        <v/>
      </c>
      <c r="R45" s="0" t="str">
        <f aca="false">IF(INDEX(drops!$A$2:$A$21,15)="","",INDEX(drops!$AM$2:$AM$21,15))</f>
        <v/>
      </c>
      <c r="S45" s="0" t="str">
        <f aca="false">IF(INDEX(drops!$A$2:$A$21,15)="","",INDEX(drops!$AN$2:$AN$21,15))</f>
        <v/>
      </c>
      <c r="T45" s="0" t="str">
        <f aca="false">IF(INDEX(drops!$A$2:$A$21,15)="","",INDEX(drops!$AO$2:$AO$21,15))</f>
        <v/>
      </c>
    </row>
    <row r="46" customFormat="false" ht="15" hidden="false" customHeight="false" outlineLevel="0" collapsed="false">
      <c r="A46" s="15" t="s">
        <v>94</v>
      </c>
    </row>
    <row r="47" customFormat="false" ht="15" hidden="false" customHeight="false" outlineLevel="0" collapsed="false">
      <c r="A47" s="8" t="s">
        <v>95</v>
      </c>
    </row>
    <row r="48" customFormat="false" ht="15" hidden="false" customHeight="false" outlineLevel="0" collapsed="false">
      <c r="A48" s="6" t="s">
        <v>96</v>
      </c>
      <c r="B48" s="6" t="s">
        <v>97</v>
      </c>
      <c r="C48" s="6" t="s">
        <v>74</v>
      </c>
      <c r="D48" s="6" t="s">
        <v>98</v>
      </c>
      <c r="E48" s="6" t="s">
        <v>99</v>
      </c>
      <c r="F48" s="6" t="s">
        <v>100</v>
      </c>
      <c r="G48" s="6" t="s">
        <v>101</v>
      </c>
      <c r="H48" s="6" t="s">
        <v>102</v>
      </c>
      <c r="I48" s="6" t="s">
        <v>103</v>
      </c>
      <c r="J48" s="6" t="s">
        <v>104</v>
      </c>
      <c r="K48" s="6" t="s">
        <v>105</v>
      </c>
      <c r="L48" s="6" t="s">
        <v>106</v>
      </c>
      <c r="M48" s="6" t="s">
        <v>107</v>
      </c>
      <c r="N48" s="6" t="s">
        <v>108</v>
      </c>
      <c r="O48" s="6" t="s">
        <v>109</v>
      </c>
      <c r="P48" s="6" t="s">
        <v>110</v>
      </c>
      <c r="Q48" s="6" t="s">
        <v>111</v>
      </c>
      <c r="R48" s="6" t="s">
        <v>112</v>
      </c>
      <c r="S48" s="6" t="s">
        <v>113</v>
      </c>
      <c r="T48" s="6" t="s">
        <v>84</v>
      </c>
      <c r="U48" s="6" t="s">
        <v>89</v>
      </c>
      <c r="V48" s="6" t="s">
        <v>114</v>
      </c>
      <c r="W48" s="6" t="s">
        <v>115</v>
      </c>
      <c r="X48" s="6" t="s">
        <v>116</v>
      </c>
      <c r="Y48" s="6" t="s">
        <v>117</v>
      </c>
      <c r="Z48" s="6" t="s">
        <v>118</v>
      </c>
    </row>
    <row r="49" customFormat="false" ht="15" hidden="false" customHeight="false" outlineLevel="0" collapsed="false">
      <c r="A49" s="0" t="str">
        <f aca="false">IF(INDEX(campaigns!$A$2:$A$51,1)="","",INDEX(campaigns!$A$2:$A$51,1))</f>
        <v>SAMPLE-CMP-001</v>
      </c>
      <c r="B49" s="0" t="str">
        <f aca="false">IF(INDEX(campaigns!$A$2:$A$51,1)="","",INDEX(campaigns!$BE$2:$BE$51,1))</f>
        <v>SAMPLE Brightside</v>
      </c>
      <c r="C49" s="11" t="n">
        <f aca="false">IF(INDEX(campaigns!$A$2:$A$51,1)="","",INDEX(campaigns!$BG$2:$BG$51,1))</f>
        <v>46399</v>
      </c>
      <c r="D49" s="0" t="str">
        <f aca="false">IF(INDEX(campaigns!$A$2:$A$51,1)="","",INDEX(campaigns!$D$2:$D$51,1))</f>
        <v>founding</v>
      </c>
      <c r="E49" s="0" t="str">
        <f aca="false">IF(INDEX(campaigns!$A$2:$A$51,1)="","",INDEX(campaigns!$BW$2:$BW$51,1))</f>
        <v>RELEASED 2026-12-18: ship by Tue 2026-12-22 (latest Mon 2026-12-28)</v>
      </c>
      <c r="F49" s="10" t="n">
        <f aca="false">IF(INDEX(campaigns!$A$2:$A$51,1)="","",INDEX(campaigns!$BO$2:$BO$51,1))</f>
        <v>5</v>
      </c>
      <c r="G49" s="10" t="n">
        <f aca="false">IF(INDEX(campaigns!$A$2:$A$51,1)="","",INDEX(campaigns!$BP$2:$BP$51,1))</f>
        <v>5</v>
      </c>
      <c r="H49" s="10" t="n">
        <f aca="false">IF(INDEX(campaigns!$A$2:$A$51,1)="","",INDEX(campaigns!$F$2:$F$51,1))</f>
        <v>5</v>
      </c>
      <c r="I49" s="10" t="n">
        <f aca="false">IF(INDEX(campaigns!$A$2:$A$51,1)="","",INDEX(campaigns!$CB$2:$CB$51,1))</f>
        <v>250</v>
      </c>
      <c r="J49" s="10" t="n">
        <f aca="false">IF(INDEX(campaigns!$A$2:$A$51,1)="","",INDEX(campaigns!$CD$2:$CD$51,1))</f>
        <v>198</v>
      </c>
      <c r="K49" s="14" t="n">
        <f aca="false">IF(INDEX(campaigns!$A$2:$A$51,1)="","",INDEX(campaigns!$CE$2:$CE$51,1))</f>
        <v>0.792</v>
      </c>
      <c r="L49" s="10" t="n">
        <f aca="false">IF(INDEX(campaigns!$A$2:$A$51,1)="","",INDEX(campaigns!$CF$2:$CF$51,1))</f>
        <v>5</v>
      </c>
      <c r="M49" s="0" t="str">
        <f aca="false">IF(INDEX(campaigns!$A$2:$A$51,1)="","",INDEX(campaigns!$CG$2:$CG$51,1))</f>
        <v/>
      </c>
      <c r="N49" s="10" t="n">
        <f aca="false">IF(INDEX(campaigns!$A$2:$A$51,1)="","",INDEX(campaigns!$CH$2:$CH$51,1))</f>
        <v>28</v>
      </c>
      <c r="O49" s="10" t="n">
        <f aca="false">IF(INDEX(campaigns!$A$2:$A$51,1)="","",INDEX(campaigns!$CI$2:$CI$51,1))</f>
        <v>3</v>
      </c>
      <c r="P49" s="10" t="n">
        <f aca="false">IF(INDEX(campaigns!$A$2:$A$51,1)="","",INDEX(campaigns!$CK$2:$CK$51,1))</f>
        <v>22</v>
      </c>
      <c r="Q49" s="13" t="n">
        <f aca="false">IF(INDEX(campaigns!$A$2:$A$51,1)="","",INDEX(campaigns!$CP$2:$CP$51,1))</f>
        <v>4.2</v>
      </c>
      <c r="R49" s="10" t="n">
        <f aca="false">IF(INDEX(campaigns!$A$2:$A$51,1)="","",INDEX(campaigns!$CW$2:$CW$51,1))</f>
        <v>0</v>
      </c>
      <c r="S49" s="0" t="str">
        <f aca="false">IF(INDEX(campaigns!$A$2:$A$51,1)="","",INDEX(campaigns!$CY$2:$CY$51,1))</f>
        <v/>
      </c>
      <c r="T49" s="12" t="n">
        <f aca="false">IF(INDEX(campaigns!$A$2:$A$51,1)="","",INDEX(campaigns!$DB$2:$DB$51,1))</f>
        <v>480</v>
      </c>
      <c r="U49" s="12" t="n">
        <f aca="false">IF(INDEX(campaigns!$A$2:$A$51,1)="","",INDEX(campaigns!$DL$2:$DL$51,1))</f>
        <v>16</v>
      </c>
      <c r="V49" s="0" t="str">
        <f aca="false">IF(INDEX(campaigns!$A$2:$A$51,1)="","",INDEX(campaigns!$DR$2:$DR$51,1))</f>
        <v>miss</v>
      </c>
      <c r="W49" s="0" t="str">
        <f aca="false">IF(INDEX(campaigns!$A$2:$A$51,1)="","",INDEX(campaigns!$DS$2:$DS$51,1))</f>
        <v>miss</v>
      </c>
      <c r="X49" s="0" t="str">
        <f aca="false">IF(INDEX(campaigns!$A$2:$A$51,1)="","",INDEX(campaigns!$DT$2:$DT$51,1))</f>
        <v>due</v>
      </c>
      <c r="Y49" s="10" t="n">
        <f aca="false">IF(INDEX(campaigns!$A$2:$A$51,1)="","",INDEX(campaigns!$AV$2:$AV$51,1))</f>
        <v>0</v>
      </c>
      <c r="Z49" s="0" t="str">
        <f aca="false">IF(INDEX(campaigns!$A$2:$A$51,1)="","",INDEX(campaigns!$DU$2:$DU$51,1))</f>
        <v>info: 1 in-window responses with a card code that matches no office (not counted); info: brand insurance ends 2027-06-30: diary the renewal certificate; </v>
      </c>
    </row>
    <row r="50" customFormat="false" ht="15" hidden="false" customHeight="false" outlineLevel="0" collapsed="false">
      <c r="A50" s="0" t="str">
        <f aca="false">IF(INDEX(campaigns!$A$2:$A$51,2)="","",INDEX(campaigns!$A$2:$A$51,2))</f>
        <v>SAMPLE-CMP-002</v>
      </c>
      <c r="B50" s="0" t="str">
        <f aca="false">IF(INDEX(campaigns!$A$2:$A$51,2)="","",INDEX(campaigns!$BE$2:$BE$51,2))</f>
        <v>SAMPLE Northbound</v>
      </c>
      <c r="C50" s="11" t="n">
        <f aca="false">IF(INDEX(campaigns!$A$2:$A$51,2)="","",INDEX(campaigns!$BG$2:$BG$51,2))</f>
        <v>46399</v>
      </c>
      <c r="D50" s="0" t="str">
        <f aca="false">IF(INDEX(campaigns!$A$2:$A$51,2)="","",INDEX(campaigns!$D$2:$D$51,2))</f>
        <v>founding</v>
      </c>
      <c r="E50" s="0" t="str">
        <f aca="false">IF(INDEX(campaigns!$A$2:$A$51,2)="","",INDEX(campaigns!$BW$2:$BW$51,2))</f>
        <v>RELEASED 2026-12-18: ship by Tue 2026-12-22 (latest Mon 2026-12-28)</v>
      </c>
      <c r="F50" s="10" t="n">
        <f aca="false">IF(INDEX(campaigns!$A$2:$A$51,2)="","",INDEX(campaigns!$BO$2:$BO$51,2))</f>
        <v>5</v>
      </c>
      <c r="G50" s="10" t="n">
        <f aca="false">IF(INDEX(campaigns!$A$2:$A$51,2)="","",INDEX(campaigns!$BP$2:$BP$51,2))</f>
        <v>5</v>
      </c>
      <c r="H50" s="10" t="n">
        <f aca="false">IF(INDEX(campaigns!$A$2:$A$51,2)="","",INDEX(campaigns!$F$2:$F$51,2))</f>
        <v>5</v>
      </c>
      <c r="I50" s="10" t="n">
        <f aca="false">IF(INDEX(campaigns!$A$2:$A$51,2)="","",INDEX(campaigns!$CB$2:$CB$51,2))</f>
        <v>250</v>
      </c>
      <c r="J50" s="10" t="n">
        <f aca="false">IF(INDEX(campaigns!$A$2:$A$51,2)="","",INDEX(campaigns!$CD$2:$CD$51,2))</f>
        <v>250</v>
      </c>
      <c r="K50" s="14" t="n">
        <f aca="false">IF(INDEX(campaigns!$A$2:$A$51,2)="","",INDEX(campaigns!$CE$2:$CE$51,2))</f>
        <v>1</v>
      </c>
      <c r="L50" s="10" t="n">
        <f aca="false">IF(INDEX(campaigns!$A$2:$A$51,2)="","",INDEX(campaigns!$CF$2:$CF$51,2))</f>
        <v>6</v>
      </c>
      <c r="M50" s="0" t="str">
        <f aca="false">IF(INDEX(campaigns!$A$2:$A$51,2)="","",INDEX(campaigns!$CG$2:$CG$51,2))</f>
        <v/>
      </c>
      <c r="N50" s="10" t="n">
        <f aca="false">IF(INDEX(campaigns!$A$2:$A$51,2)="","",INDEX(campaigns!$CH$2:$CH$51,2))</f>
        <v>27</v>
      </c>
      <c r="O50" s="10" t="n">
        <f aca="false">IF(INDEX(campaigns!$A$2:$A$51,2)="","",INDEX(campaigns!$CI$2:$CI$51,2))</f>
        <v>4</v>
      </c>
      <c r="P50" s="10" t="n">
        <f aca="false">IF(INDEX(campaigns!$A$2:$A$51,2)="","",INDEX(campaigns!$CK$2:$CK$51,2))</f>
        <v>19</v>
      </c>
      <c r="Q50" s="13" t="n">
        <f aca="false">IF(INDEX(campaigns!$A$2:$A$51,2)="","",INDEX(campaigns!$CP$2:$CP$51,2))</f>
        <v>4.1</v>
      </c>
      <c r="R50" s="10" t="n">
        <f aca="false">IF(INDEX(campaigns!$A$2:$A$51,2)="","",INDEX(campaigns!$CW$2:$CW$51,2))</f>
        <v>0</v>
      </c>
      <c r="S50" s="0" t="str">
        <f aca="false">IF(INDEX(campaigns!$A$2:$A$51,2)="","",INDEX(campaigns!$CY$2:$CY$51,2))</f>
        <v/>
      </c>
      <c r="T50" s="12" t="n">
        <f aca="false">IF(INDEX(campaigns!$A$2:$A$51,2)="","",INDEX(campaigns!$DB$2:$DB$51,2))</f>
        <v>600</v>
      </c>
      <c r="U50" s="12" t="n">
        <f aca="false">IF(INDEX(campaigns!$A$2:$A$51,2)="","",INDEX(campaigns!$DL$2:$DL$51,2))</f>
        <v>20.75</v>
      </c>
      <c r="V50" s="0" t="str">
        <f aca="false">IF(INDEX(campaigns!$A$2:$A$51,2)="","",INDEX(campaigns!$DR$2:$DR$51,2))</f>
        <v>pass</v>
      </c>
      <c r="W50" s="0" t="str">
        <f aca="false">IF(INDEX(campaigns!$A$2:$A$51,2)="","",INDEX(campaigns!$DS$2:$DS$51,2))</f>
        <v>miss</v>
      </c>
      <c r="X50" s="0" t="str">
        <f aca="false">IF(INDEX(campaigns!$A$2:$A$51,2)="","",INDEX(campaigns!$DT$2:$DT$51,2))</f>
        <v>due</v>
      </c>
      <c r="Y50" s="10" t="n">
        <f aca="false">IF(INDEX(campaigns!$A$2:$A$51,2)="","",INDEX(campaigns!$AV$2:$AV$51,2))</f>
        <v>0</v>
      </c>
      <c r="Z50" s="0" t="str">
        <f aca="false">IF(INDEX(campaigns!$A$2:$A$51,2)="","",INDEX(campaigns!$DU$2:$DU$51,2))</f>
        <v/>
      </c>
    </row>
    <row r="51" customFormat="false" ht="15" hidden="false" customHeight="false" outlineLevel="0" collapsed="false">
      <c r="A51" s="0" t="str">
        <f aca="false">IF(INDEX(campaigns!$A$2:$A$51,3)="","",INDEX(campaigns!$A$2:$A$51,3))</f>
        <v>SAMPLE-CMP-003</v>
      </c>
      <c r="B51" s="0" t="str">
        <f aca="false">IF(INDEX(campaigns!$A$2:$A$51,3)="","",INDEX(campaigns!$BE$2:$BE$51,3))</f>
        <v>SAMPLE Tallgrass</v>
      </c>
      <c r="C51" s="11" t="n">
        <f aca="false">IF(INDEX(campaigns!$A$2:$A$51,3)="","",INDEX(campaigns!$BG$2:$BG$51,3))</f>
        <v>46427</v>
      </c>
      <c r="D51" s="0" t="str">
        <f aca="false">IF(INDEX(campaigns!$A$2:$A$51,3)="","",INDEX(campaigns!$D$2:$D$51,3))</f>
        <v>standard</v>
      </c>
      <c r="E51" s="0" t="str">
        <f aca="false">IF(INDEX(campaigns!$A$2:$A$51,3)="","",INDEX(campaigns!$BW$2:$BW$51,3))</f>
        <v>RELEASED 2027-01-14: ship by Tue 2027-01-26 (latest Tue 2027-01-26)</v>
      </c>
      <c r="F51" s="10" t="n">
        <f aca="false">IF(INDEX(campaigns!$A$2:$A$51,3)="","",INDEX(campaigns!$BO$2:$BO$51,3))</f>
        <v>10</v>
      </c>
      <c r="G51" s="10" t="n">
        <f aca="false">IF(INDEX(campaigns!$A$2:$A$51,3)="","",INDEX(campaigns!$BP$2:$BP$51,3))</f>
        <v>10</v>
      </c>
      <c r="H51" s="10" t="n">
        <f aca="false">IF(INDEX(campaigns!$A$2:$A$51,3)="","",INDEX(campaigns!$F$2:$F$51,3))</f>
        <v>10</v>
      </c>
      <c r="I51" s="10" t="n">
        <f aca="false">IF(INDEX(campaigns!$A$2:$A$51,3)="","",INDEX(campaigns!$CB$2:$CB$51,3))</f>
        <v>0</v>
      </c>
      <c r="J51" s="10" t="n">
        <f aca="false">IF(INDEX(campaigns!$A$2:$A$51,3)="","",INDEX(campaigns!$CD$2:$CD$51,3))</f>
        <v>0</v>
      </c>
      <c r="K51" s="14" t="str">
        <f aca="false">IF(INDEX(campaigns!$A$2:$A$51,3)="","",INDEX(campaigns!$CE$2:$CE$51,3))</f>
        <v/>
      </c>
      <c r="L51" s="10" t="n">
        <f aca="false">IF(INDEX(campaigns!$A$2:$A$51,3)="","",INDEX(campaigns!$CF$2:$CF$51,3))</f>
        <v>0</v>
      </c>
      <c r="M51" s="0" t="str">
        <f aca="false">IF(INDEX(campaigns!$A$2:$A$51,3)="","",INDEX(campaigns!$CG$2:$CG$51,3))</f>
        <v/>
      </c>
      <c r="N51" s="10" t="n">
        <f aca="false">IF(INDEX(campaigns!$A$2:$A$51,3)="","",INDEX(campaigns!$CH$2:$CH$51,3))</f>
        <v>0</v>
      </c>
      <c r="O51" s="10" t="n">
        <f aca="false">IF(INDEX(campaigns!$A$2:$A$51,3)="","",INDEX(campaigns!$CI$2:$CI$51,3))</f>
        <v>0</v>
      </c>
      <c r="P51" s="10" t="n">
        <f aca="false">IF(INDEX(campaigns!$A$2:$A$51,3)="","",INDEX(campaigns!$CK$2:$CK$51,3))</f>
        <v>0</v>
      </c>
      <c r="Q51" s="13" t="str">
        <f aca="false">IF(INDEX(campaigns!$A$2:$A$51,3)="","",INDEX(campaigns!$CP$2:$CP$51,3))</f>
        <v/>
      </c>
      <c r="R51" s="10" t="n">
        <f aca="false">IF(INDEX(campaigns!$A$2:$A$51,3)="","",INDEX(campaigns!$CW$2:$CW$51,3))</f>
        <v>0</v>
      </c>
      <c r="S51" s="0" t="str">
        <f aca="false">IF(INDEX(campaigns!$A$2:$A$51,3)="","",INDEX(campaigns!$CY$2:$CY$51,3))</f>
        <v/>
      </c>
      <c r="T51" s="12" t="n">
        <f aca="false">IF(INDEX(campaigns!$A$2:$A$51,3)="","",INDEX(campaigns!$DB$2:$DB$51,3))</f>
        <v>750</v>
      </c>
      <c r="U51" s="12" t="n">
        <f aca="false">IF(INDEX(campaigns!$A$2:$A$51,3)="","",INDEX(campaigns!$DL$2:$DL$51,3))</f>
        <v>83.99</v>
      </c>
      <c r="V51" s="0" t="str">
        <f aca="false">IF(INDEX(campaigns!$A$2:$A$51,3)="","",INDEX(campaigns!$DR$2:$DR$51,3))</f>
        <v/>
      </c>
      <c r="W51" s="0" t="str">
        <f aca="false">IF(INDEX(campaigns!$A$2:$A$51,3)="","",INDEX(campaigns!$DS$2:$DS$51,3))</f>
        <v>miss</v>
      </c>
      <c r="X51" s="0" t="str">
        <f aca="false">IF(INDEX(campaigns!$A$2:$A$51,3)="","",INDEX(campaigns!$DT$2:$DT$51,3))</f>
        <v>due</v>
      </c>
      <c r="Y51" s="10" t="n">
        <f aca="false">IF(INDEX(campaigns!$A$2:$A$51,3)="","",INDEX(campaigns!$AV$2:$AV$51,3))</f>
        <v>0</v>
      </c>
      <c r="Z51" s="0" t="str">
        <f aca="false">IF(INDEX(campaigns!$A$2:$A$51,3)="","",INDEX(campaigns!$DU$2:$DU$51,3))</f>
        <v>units changed since the ship-date email of 2027-01-11 (523, now 567): send the brand the revised numbers (template 02) and log them; </v>
      </c>
    </row>
    <row r="52" customFormat="false" ht="15" hidden="false" customHeight="false" outlineLevel="0" collapsed="false">
      <c r="A52" s="0" t="str">
        <f aca="false">IF(INDEX(campaigns!$A$2:$A$51,4)="","",INDEX(campaigns!$A$2:$A$51,4))</f>
        <v>SAMPLE-CMP-004</v>
      </c>
      <c r="B52" s="0" t="str">
        <f aca="false">IF(INDEX(campaigns!$A$2:$A$51,4)="","",INDEX(campaigns!$BE$2:$BE$51,4))</f>
        <v>SAMPLE Orchard Row</v>
      </c>
      <c r="C52" s="11" t="n">
        <f aca="false">IF(INDEX(campaigns!$A$2:$A$51,4)="","",INDEX(campaigns!$BG$2:$BG$51,4))</f>
        <v>46427</v>
      </c>
      <c r="D52" s="0" t="str">
        <f aca="false">IF(INDEX(campaigns!$A$2:$A$51,4)="","",INDEX(campaigns!$D$2:$D$51,4))</f>
        <v>standard</v>
      </c>
      <c r="E52" s="0" t="str">
        <f aca="false">IF(INDEX(campaigns!$A$2:$A$51,4)="","",INDEX(campaigns!$BW$2:$BW$51,4))</f>
        <v>RELEASED 2027-01-14: ship by Tue 2027-01-26 (latest Tue 2027-01-26)</v>
      </c>
      <c r="F52" s="10" t="n">
        <f aca="false">IF(INDEX(campaigns!$A$2:$A$51,4)="","",INDEX(campaigns!$BO$2:$BO$51,4))</f>
        <v>9</v>
      </c>
      <c r="G52" s="10" t="n">
        <f aca="false">IF(INDEX(campaigns!$A$2:$A$51,4)="","",INDEX(campaigns!$BP$2:$BP$51,4))</f>
        <v>9</v>
      </c>
      <c r="H52" s="10" t="n">
        <f aca="false">IF(INDEX(campaigns!$A$2:$A$51,4)="","",INDEX(campaigns!$F$2:$F$51,4))</f>
        <v>10</v>
      </c>
      <c r="I52" s="10" t="n">
        <f aca="false">IF(INDEX(campaigns!$A$2:$A$51,4)="","",INDEX(campaigns!$CB$2:$CB$51,4))</f>
        <v>0</v>
      </c>
      <c r="J52" s="10" t="n">
        <f aca="false">IF(INDEX(campaigns!$A$2:$A$51,4)="","",INDEX(campaigns!$CD$2:$CD$51,4))</f>
        <v>0</v>
      </c>
      <c r="K52" s="14" t="str">
        <f aca="false">IF(INDEX(campaigns!$A$2:$A$51,4)="","",INDEX(campaigns!$CE$2:$CE$51,4))</f>
        <v/>
      </c>
      <c r="L52" s="10" t="n">
        <f aca="false">IF(INDEX(campaigns!$A$2:$A$51,4)="","",INDEX(campaigns!$CF$2:$CF$51,4))</f>
        <v>0</v>
      </c>
      <c r="M52" s="0" t="str">
        <f aca="false">IF(INDEX(campaigns!$A$2:$A$51,4)="","",INDEX(campaigns!$CG$2:$CG$51,4))</f>
        <v/>
      </c>
      <c r="N52" s="10" t="n">
        <f aca="false">IF(INDEX(campaigns!$A$2:$A$51,4)="","",INDEX(campaigns!$CH$2:$CH$51,4))</f>
        <v>0</v>
      </c>
      <c r="O52" s="10" t="n">
        <f aca="false">IF(INDEX(campaigns!$A$2:$A$51,4)="","",INDEX(campaigns!$CI$2:$CI$51,4))</f>
        <v>0</v>
      </c>
      <c r="P52" s="10" t="n">
        <f aca="false">IF(INDEX(campaigns!$A$2:$A$51,4)="","",INDEX(campaigns!$CK$2:$CK$51,4))</f>
        <v>0</v>
      </c>
      <c r="Q52" s="13" t="str">
        <f aca="false">IF(INDEX(campaigns!$A$2:$A$51,4)="","",INDEX(campaigns!$CP$2:$CP$51,4))</f>
        <v/>
      </c>
      <c r="R52" s="10" t="n">
        <f aca="false">IF(INDEX(campaigns!$A$2:$A$51,4)="","",INDEX(campaigns!$CW$2:$CW$51,4))</f>
        <v>0</v>
      </c>
      <c r="S52" s="0" t="str">
        <f aca="false">IF(INDEX(campaigns!$A$2:$A$51,4)="","",INDEX(campaigns!$CY$2:$CY$51,4))</f>
        <v/>
      </c>
      <c r="T52" s="12" t="n">
        <f aca="false">IF(INDEX(campaigns!$A$2:$A$51,4)="","",INDEX(campaigns!$DB$2:$DB$51,4))</f>
        <v>750</v>
      </c>
      <c r="U52" s="12" t="n">
        <f aca="false">IF(INDEX(campaigns!$A$2:$A$51,4)="","",INDEX(campaigns!$DL$2:$DL$51,4))</f>
        <v>86.81</v>
      </c>
      <c r="V52" s="0" t="str">
        <f aca="false">IF(INDEX(campaigns!$A$2:$A$51,4)="","",INDEX(campaigns!$DR$2:$DR$51,4))</f>
        <v/>
      </c>
      <c r="W52" s="0" t="str">
        <f aca="false">IF(INDEX(campaigns!$A$2:$A$51,4)="","",INDEX(campaigns!$DS$2:$DS$51,4))</f>
        <v>miss</v>
      </c>
      <c r="X52" s="0" t="str">
        <f aca="false">IF(INDEX(campaigns!$A$2:$A$51,4)="","",INDEX(campaigns!$DT$2:$DT$51,4))</f>
        <v>due</v>
      </c>
      <c r="Y52" s="10" t="n">
        <f aca="false">IF(INDEX(campaigns!$A$2:$A$51,4)="","",INDEX(campaigns!$AV$2:$AV$51,4))</f>
        <v>0</v>
      </c>
      <c r="Z52" s="0" t="str">
        <f aca="false">IF(INDEX(campaigns!$A$2:$A$51,4)="","",INDEX(campaigns!$DU$2:$DU$51,4))</f>
        <v>units changed since the ship-date email of 2027-01-11 (457, now 501): send the brand the revised numbers (template 02) and log them; info: 1 office(s) short of the contract: add a roster office or credit $150 each; </v>
      </c>
    </row>
    <row r="53" customFormat="false" ht="15" hidden="false" customHeight="false" outlineLevel="0" collapsed="false">
      <c r="A53" s="0" t="str">
        <f aca="false">IF(INDEX(campaigns!$A$2:$A$51,5)="","",INDEX(campaigns!$A$2:$A$51,5))</f>
        <v>SAMPLE-CMP-005</v>
      </c>
      <c r="B53" s="0" t="str">
        <f aca="false">IF(INDEX(campaigns!$A$2:$A$51,5)="","",INDEX(campaigns!$BE$2:$BE$51,5))</f>
        <v>SAMPLE Kettle Ridge</v>
      </c>
      <c r="C53" s="11" t="n">
        <f aca="false">IF(INDEX(campaigns!$A$2:$A$51,5)="","",INDEX(campaigns!$BG$2:$BG$51,5))</f>
        <v>46427</v>
      </c>
      <c r="D53" s="0" t="str">
        <f aca="false">IF(INDEX(campaigns!$A$2:$A$51,5)="","",INDEX(campaigns!$D$2:$D$51,5))</f>
        <v>standard</v>
      </c>
      <c r="E53" s="0" t="str">
        <f aca="false">IF(INDEX(campaigns!$A$2:$A$51,5)="","",INDEX(campaigns!$BW$2:$BW$51,5))</f>
        <v>RELEASED 2027-01-14: ship by Tue 2027-01-26 (latest Tue 2027-01-26)</v>
      </c>
      <c r="F53" s="10" t="n">
        <f aca="false">IF(INDEX(campaigns!$A$2:$A$51,5)="","",INDEX(campaigns!$BO$2:$BO$51,5))</f>
        <v>10</v>
      </c>
      <c r="G53" s="10" t="n">
        <f aca="false">IF(INDEX(campaigns!$A$2:$A$51,5)="","",INDEX(campaigns!$BP$2:$BP$51,5))</f>
        <v>10</v>
      </c>
      <c r="H53" s="10" t="n">
        <f aca="false">IF(INDEX(campaigns!$A$2:$A$51,5)="","",INDEX(campaigns!$F$2:$F$51,5))</f>
        <v>10</v>
      </c>
      <c r="I53" s="10" t="n">
        <f aca="false">IF(INDEX(campaigns!$A$2:$A$51,5)="","",INDEX(campaigns!$CB$2:$CB$51,5))</f>
        <v>0</v>
      </c>
      <c r="J53" s="10" t="n">
        <f aca="false">IF(INDEX(campaigns!$A$2:$A$51,5)="","",INDEX(campaigns!$CD$2:$CD$51,5))</f>
        <v>0</v>
      </c>
      <c r="K53" s="14" t="str">
        <f aca="false">IF(INDEX(campaigns!$A$2:$A$51,5)="","",INDEX(campaigns!$CE$2:$CE$51,5))</f>
        <v/>
      </c>
      <c r="L53" s="10" t="n">
        <f aca="false">IF(INDEX(campaigns!$A$2:$A$51,5)="","",INDEX(campaigns!$CF$2:$CF$51,5))</f>
        <v>0</v>
      </c>
      <c r="M53" s="0" t="str">
        <f aca="false">IF(INDEX(campaigns!$A$2:$A$51,5)="","",INDEX(campaigns!$CG$2:$CG$51,5))</f>
        <v/>
      </c>
      <c r="N53" s="10" t="n">
        <f aca="false">IF(INDEX(campaigns!$A$2:$A$51,5)="","",INDEX(campaigns!$CH$2:$CH$51,5))</f>
        <v>0</v>
      </c>
      <c r="O53" s="10" t="n">
        <f aca="false">IF(INDEX(campaigns!$A$2:$A$51,5)="","",INDEX(campaigns!$CI$2:$CI$51,5))</f>
        <v>0</v>
      </c>
      <c r="P53" s="10" t="n">
        <f aca="false">IF(INDEX(campaigns!$A$2:$A$51,5)="","",INDEX(campaigns!$CK$2:$CK$51,5))</f>
        <v>0</v>
      </c>
      <c r="Q53" s="13" t="str">
        <f aca="false">IF(INDEX(campaigns!$A$2:$A$51,5)="","",INDEX(campaigns!$CP$2:$CP$51,5))</f>
        <v/>
      </c>
      <c r="R53" s="10" t="n">
        <f aca="false">IF(INDEX(campaigns!$A$2:$A$51,5)="","",INDEX(campaigns!$CW$2:$CW$51,5))</f>
        <v>0</v>
      </c>
      <c r="S53" s="0" t="str">
        <f aca="false">IF(INDEX(campaigns!$A$2:$A$51,5)="","",INDEX(campaigns!$CY$2:$CY$51,5))</f>
        <v/>
      </c>
      <c r="T53" s="12" t="n">
        <f aca="false">IF(INDEX(campaigns!$A$2:$A$51,5)="","",INDEX(campaigns!$DB$2:$DB$51,5))</f>
        <v>750</v>
      </c>
      <c r="U53" s="12" t="n">
        <f aca="false">IF(INDEX(campaigns!$A$2:$A$51,5)="","",INDEX(campaigns!$DL$2:$DL$51,5))</f>
        <v>83.99</v>
      </c>
      <c r="V53" s="0" t="str">
        <f aca="false">IF(INDEX(campaigns!$A$2:$A$51,5)="","",INDEX(campaigns!$DR$2:$DR$51,5))</f>
        <v/>
      </c>
      <c r="W53" s="0" t="str">
        <f aca="false">IF(INDEX(campaigns!$A$2:$A$51,5)="","",INDEX(campaigns!$DS$2:$DS$51,5))</f>
        <v>miss</v>
      </c>
      <c r="X53" s="0" t="str">
        <f aca="false">IF(INDEX(campaigns!$A$2:$A$51,5)="","",INDEX(campaigns!$DT$2:$DT$51,5))</f>
        <v>due</v>
      </c>
      <c r="Y53" s="10" t="n">
        <f aca="false">IF(INDEX(campaigns!$A$2:$A$51,5)="","",INDEX(campaigns!$AV$2:$AV$51,5))</f>
        <v>0</v>
      </c>
      <c r="Z53" s="0" t="str">
        <f aca="false">IF(INDEX(campaigns!$A$2:$A$51,5)="","",INDEX(campaigns!$DU$2:$DU$51,5))</f>
        <v>units changed since the ship-date email of 2027-01-12 (523, now 567): send the brand the revised numbers (template 02) and log them; </v>
      </c>
    </row>
    <row r="54" customFormat="false" ht="15" hidden="false" customHeight="false" outlineLevel="0" collapsed="false">
      <c r="A54" s="0" t="str">
        <f aca="false">IF(INDEX(campaigns!$A$2:$A$51,6)="","",INDEX(campaigns!$A$2:$A$51,6))</f>
        <v/>
      </c>
      <c r="B54" s="0" t="str">
        <f aca="false">IF(INDEX(campaigns!$A$2:$A$51,6)="","",INDEX(campaigns!$BE$2:$BE$51,6))</f>
        <v/>
      </c>
      <c r="C54" s="11" t="str">
        <f aca="false">IF(INDEX(campaigns!$A$2:$A$51,6)="","",INDEX(campaigns!$BG$2:$BG$51,6))</f>
        <v/>
      </c>
      <c r="D54" s="0" t="str">
        <f aca="false">IF(INDEX(campaigns!$A$2:$A$51,6)="","",INDEX(campaigns!$D$2:$D$51,6))</f>
        <v/>
      </c>
      <c r="E54" s="0" t="str">
        <f aca="false">IF(INDEX(campaigns!$A$2:$A$51,6)="","",INDEX(campaigns!$BW$2:$BW$51,6))</f>
        <v/>
      </c>
      <c r="F54" s="0" t="str">
        <f aca="false">IF(INDEX(campaigns!$A$2:$A$51,6)="","",INDEX(campaigns!$BO$2:$BO$51,6))</f>
        <v/>
      </c>
      <c r="G54" s="0" t="str">
        <f aca="false">IF(INDEX(campaigns!$A$2:$A$51,6)="","",INDEX(campaigns!$BP$2:$BP$51,6))</f>
        <v/>
      </c>
      <c r="H54" s="0" t="str">
        <f aca="false">IF(INDEX(campaigns!$A$2:$A$51,6)="","",INDEX(campaigns!$F$2:$F$51,6))</f>
        <v/>
      </c>
      <c r="I54" s="0" t="str">
        <f aca="false">IF(INDEX(campaigns!$A$2:$A$51,6)="","",INDEX(campaigns!$CB$2:$CB$51,6))</f>
        <v/>
      </c>
      <c r="J54" s="0" t="str">
        <f aca="false">IF(INDEX(campaigns!$A$2:$A$51,6)="","",INDEX(campaigns!$CD$2:$CD$51,6))</f>
        <v/>
      </c>
      <c r="K54" s="14" t="str">
        <f aca="false">IF(INDEX(campaigns!$A$2:$A$51,6)="","",INDEX(campaigns!$CE$2:$CE$51,6))</f>
        <v/>
      </c>
      <c r="L54" s="0" t="str">
        <f aca="false">IF(INDEX(campaigns!$A$2:$A$51,6)="","",INDEX(campaigns!$CF$2:$CF$51,6))</f>
        <v/>
      </c>
      <c r="M54" s="0" t="str">
        <f aca="false">IF(INDEX(campaigns!$A$2:$A$51,6)="","",INDEX(campaigns!$CG$2:$CG$51,6))</f>
        <v/>
      </c>
      <c r="N54" s="0" t="str">
        <f aca="false">IF(INDEX(campaigns!$A$2:$A$51,6)="","",INDEX(campaigns!$CH$2:$CH$51,6))</f>
        <v/>
      </c>
      <c r="O54" s="0" t="str">
        <f aca="false">IF(INDEX(campaigns!$A$2:$A$51,6)="","",INDEX(campaigns!$CI$2:$CI$51,6))</f>
        <v/>
      </c>
      <c r="P54" s="0" t="str">
        <f aca="false">IF(INDEX(campaigns!$A$2:$A$51,6)="","",INDEX(campaigns!$CK$2:$CK$51,6))</f>
        <v/>
      </c>
      <c r="Q54" s="13" t="str">
        <f aca="false">IF(INDEX(campaigns!$A$2:$A$51,6)="","",INDEX(campaigns!$CP$2:$CP$51,6))</f>
        <v/>
      </c>
      <c r="R54" s="0" t="str">
        <f aca="false">IF(INDEX(campaigns!$A$2:$A$51,6)="","",INDEX(campaigns!$CW$2:$CW$51,6))</f>
        <v/>
      </c>
      <c r="S54" s="0" t="str">
        <f aca="false">IF(INDEX(campaigns!$A$2:$A$51,6)="","",INDEX(campaigns!$CY$2:$CY$51,6))</f>
        <v/>
      </c>
      <c r="T54" s="12" t="str">
        <f aca="false">IF(INDEX(campaigns!$A$2:$A$51,6)="","",INDEX(campaigns!$DB$2:$DB$51,6))</f>
        <v/>
      </c>
      <c r="U54" s="12" t="str">
        <f aca="false">IF(INDEX(campaigns!$A$2:$A$51,6)="","",INDEX(campaigns!$DL$2:$DL$51,6))</f>
        <v/>
      </c>
      <c r="V54" s="0" t="str">
        <f aca="false">IF(INDEX(campaigns!$A$2:$A$51,6)="","",INDEX(campaigns!$DR$2:$DR$51,6))</f>
        <v/>
      </c>
      <c r="W54" s="0" t="str">
        <f aca="false">IF(INDEX(campaigns!$A$2:$A$51,6)="","",INDEX(campaigns!$DS$2:$DS$51,6))</f>
        <v/>
      </c>
      <c r="X54" s="0" t="str">
        <f aca="false">IF(INDEX(campaigns!$A$2:$A$51,6)="","",INDEX(campaigns!$DT$2:$DT$51,6))</f>
        <v/>
      </c>
      <c r="Y54" s="0" t="str">
        <f aca="false">IF(INDEX(campaigns!$A$2:$A$51,6)="","",INDEX(campaigns!$AV$2:$AV$51,6))</f>
        <v/>
      </c>
      <c r="Z54" s="0" t="str">
        <f aca="false">IF(INDEX(campaigns!$A$2:$A$51,6)="","",INDEX(campaigns!$DU$2:$DU$51,6))</f>
        <v/>
      </c>
    </row>
    <row r="55" customFormat="false" ht="15" hidden="false" customHeight="false" outlineLevel="0" collapsed="false">
      <c r="A55" s="0" t="str">
        <f aca="false">IF(INDEX(campaigns!$A$2:$A$51,7)="","",INDEX(campaigns!$A$2:$A$51,7))</f>
        <v/>
      </c>
      <c r="B55" s="0" t="str">
        <f aca="false">IF(INDEX(campaigns!$A$2:$A$51,7)="","",INDEX(campaigns!$BE$2:$BE$51,7))</f>
        <v/>
      </c>
      <c r="C55" s="11" t="str">
        <f aca="false">IF(INDEX(campaigns!$A$2:$A$51,7)="","",INDEX(campaigns!$BG$2:$BG$51,7))</f>
        <v/>
      </c>
      <c r="D55" s="0" t="str">
        <f aca="false">IF(INDEX(campaigns!$A$2:$A$51,7)="","",INDEX(campaigns!$D$2:$D$51,7))</f>
        <v/>
      </c>
      <c r="E55" s="0" t="str">
        <f aca="false">IF(INDEX(campaigns!$A$2:$A$51,7)="","",INDEX(campaigns!$BW$2:$BW$51,7))</f>
        <v/>
      </c>
      <c r="F55" s="0" t="str">
        <f aca="false">IF(INDEX(campaigns!$A$2:$A$51,7)="","",INDEX(campaigns!$BO$2:$BO$51,7))</f>
        <v/>
      </c>
      <c r="G55" s="0" t="str">
        <f aca="false">IF(INDEX(campaigns!$A$2:$A$51,7)="","",INDEX(campaigns!$BP$2:$BP$51,7))</f>
        <v/>
      </c>
      <c r="H55" s="0" t="str">
        <f aca="false">IF(INDEX(campaigns!$A$2:$A$51,7)="","",INDEX(campaigns!$F$2:$F$51,7))</f>
        <v/>
      </c>
      <c r="I55" s="0" t="str">
        <f aca="false">IF(INDEX(campaigns!$A$2:$A$51,7)="","",INDEX(campaigns!$CB$2:$CB$51,7))</f>
        <v/>
      </c>
      <c r="J55" s="0" t="str">
        <f aca="false">IF(INDEX(campaigns!$A$2:$A$51,7)="","",INDEX(campaigns!$CD$2:$CD$51,7))</f>
        <v/>
      </c>
      <c r="K55" s="14" t="str">
        <f aca="false">IF(INDEX(campaigns!$A$2:$A$51,7)="","",INDEX(campaigns!$CE$2:$CE$51,7))</f>
        <v/>
      </c>
      <c r="L55" s="0" t="str">
        <f aca="false">IF(INDEX(campaigns!$A$2:$A$51,7)="","",INDEX(campaigns!$CF$2:$CF$51,7))</f>
        <v/>
      </c>
      <c r="M55" s="0" t="str">
        <f aca="false">IF(INDEX(campaigns!$A$2:$A$51,7)="","",INDEX(campaigns!$CG$2:$CG$51,7))</f>
        <v/>
      </c>
      <c r="N55" s="0" t="str">
        <f aca="false">IF(INDEX(campaigns!$A$2:$A$51,7)="","",INDEX(campaigns!$CH$2:$CH$51,7))</f>
        <v/>
      </c>
      <c r="O55" s="0" t="str">
        <f aca="false">IF(INDEX(campaigns!$A$2:$A$51,7)="","",INDEX(campaigns!$CI$2:$CI$51,7))</f>
        <v/>
      </c>
      <c r="P55" s="0" t="str">
        <f aca="false">IF(INDEX(campaigns!$A$2:$A$51,7)="","",INDEX(campaigns!$CK$2:$CK$51,7))</f>
        <v/>
      </c>
      <c r="Q55" s="13" t="str">
        <f aca="false">IF(INDEX(campaigns!$A$2:$A$51,7)="","",INDEX(campaigns!$CP$2:$CP$51,7))</f>
        <v/>
      </c>
      <c r="R55" s="0" t="str">
        <f aca="false">IF(INDEX(campaigns!$A$2:$A$51,7)="","",INDEX(campaigns!$CW$2:$CW$51,7))</f>
        <v/>
      </c>
      <c r="S55" s="0" t="str">
        <f aca="false">IF(INDEX(campaigns!$A$2:$A$51,7)="","",INDEX(campaigns!$CY$2:$CY$51,7))</f>
        <v/>
      </c>
      <c r="T55" s="12" t="str">
        <f aca="false">IF(INDEX(campaigns!$A$2:$A$51,7)="","",INDEX(campaigns!$DB$2:$DB$51,7))</f>
        <v/>
      </c>
      <c r="U55" s="12" t="str">
        <f aca="false">IF(INDEX(campaigns!$A$2:$A$51,7)="","",INDEX(campaigns!$DL$2:$DL$51,7))</f>
        <v/>
      </c>
      <c r="V55" s="0" t="str">
        <f aca="false">IF(INDEX(campaigns!$A$2:$A$51,7)="","",INDEX(campaigns!$DR$2:$DR$51,7))</f>
        <v/>
      </c>
      <c r="W55" s="0" t="str">
        <f aca="false">IF(INDEX(campaigns!$A$2:$A$51,7)="","",INDEX(campaigns!$DS$2:$DS$51,7))</f>
        <v/>
      </c>
      <c r="X55" s="0" t="str">
        <f aca="false">IF(INDEX(campaigns!$A$2:$A$51,7)="","",INDEX(campaigns!$DT$2:$DT$51,7))</f>
        <v/>
      </c>
      <c r="Y55" s="0" t="str">
        <f aca="false">IF(INDEX(campaigns!$A$2:$A$51,7)="","",INDEX(campaigns!$AV$2:$AV$51,7))</f>
        <v/>
      </c>
      <c r="Z55" s="0" t="str">
        <f aca="false">IF(INDEX(campaigns!$A$2:$A$51,7)="","",INDEX(campaigns!$DU$2:$DU$51,7))</f>
        <v/>
      </c>
    </row>
    <row r="56" customFormat="false" ht="15" hidden="false" customHeight="false" outlineLevel="0" collapsed="false">
      <c r="A56" s="0" t="str">
        <f aca="false">IF(INDEX(campaigns!$A$2:$A$51,8)="","",INDEX(campaigns!$A$2:$A$51,8))</f>
        <v/>
      </c>
      <c r="B56" s="0" t="str">
        <f aca="false">IF(INDEX(campaigns!$A$2:$A$51,8)="","",INDEX(campaigns!$BE$2:$BE$51,8))</f>
        <v/>
      </c>
      <c r="C56" s="11" t="str">
        <f aca="false">IF(INDEX(campaigns!$A$2:$A$51,8)="","",INDEX(campaigns!$BG$2:$BG$51,8))</f>
        <v/>
      </c>
      <c r="D56" s="0" t="str">
        <f aca="false">IF(INDEX(campaigns!$A$2:$A$51,8)="","",INDEX(campaigns!$D$2:$D$51,8))</f>
        <v/>
      </c>
      <c r="E56" s="0" t="str">
        <f aca="false">IF(INDEX(campaigns!$A$2:$A$51,8)="","",INDEX(campaigns!$BW$2:$BW$51,8))</f>
        <v/>
      </c>
      <c r="F56" s="0" t="str">
        <f aca="false">IF(INDEX(campaigns!$A$2:$A$51,8)="","",INDEX(campaigns!$BO$2:$BO$51,8))</f>
        <v/>
      </c>
      <c r="G56" s="0" t="str">
        <f aca="false">IF(INDEX(campaigns!$A$2:$A$51,8)="","",INDEX(campaigns!$BP$2:$BP$51,8))</f>
        <v/>
      </c>
      <c r="H56" s="0" t="str">
        <f aca="false">IF(INDEX(campaigns!$A$2:$A$51,8)="","",INDEX(campaigns!$F$2:$F$51,8))</f>
        <v/>
      </c>
      <c r="I56" s="0" t="str">
        <f aca="false">IF(INDEX(campaigns!$A$2:$A$51,8)="","",INDEX(campaigns!$CB$2:$CB$51,8))</f>
        <v/>
      </c>
      <c r="J56" s="0" t="str">
        <f aca="false">IF(INDEX(campaigns!$A$2:$A$51,8)="","",INDEX(campaigns!$CD$2:$CD$51,8))</f>
        <v/>
      </c>
      <c r="K56" s="14" t="str">
        <f aca="false">IF(INDEX(campaigns!$A$2:$A$51,8)="","",INDEX(campaigns!$CE$2:$CE$51,8))</f>
        <v/>
      </c>
      <c r="L56" s="0" t="str">
        <f aca="false">IF(INDEX(campaigns!$A$2:$A$51,8)="","",INDEX(campaigns!$CF$2:$CF$51,8))</f>
        <v/>
      </c>
      <c r="M56" s="0" t="str">
        <f aca="false">IF(INDEX(campaigns!$A$2:$A$51,8)="","",INDEX(campaigns!$CG$2:$CG$51,8))</f>
        <v/>
      </c>
      <c r="N56" s="0" t="str">
        <f aca="false">IF(INDEX(campaigns!$A$2:$A$51,8)="","",INDEX(campaigns!$CH$2:$CH$51,8))</f>
        <v/>
      </c>
      <c r="O56" s="0" t="str">
        <f aca="false">IF(INDEX(campaigns!$A$2:$A$51,8)="","",INDEX(campaigns!$CI$2:$CI$51,8))</f>
        <v/>
      </c>
      <c r="P56" s="0" t="str">
        <f aca="false">IF(INDEX(campaigns!$A$2:$A$51,8)="","",INDEX(campaigns!$CK$2:$CK$51,8))</f>
        <v/>
      </c>
      <c r="Q56" s="13" t="str">
        <f aca="false">IF(INDEX(campaigns!$A$2:$A$51,8)="","",INDEX(campaigns!$CP$2:$CP$51,8))</f>
        <v/>
      </c>
      <c r="R56" s="0" t="str">
        <f aca="false">IF(INDEX(campaigns!$A$2:$A$51,8)="","",INDEX(campaigns!$CW$2:$CW$51,8))</f>
        <v/>
      </c>
      <c r="S56" s="0" t="str">
        <f aca="false">IF(INDEX(campaigns!$A$2:$A$51,8)="","",INDEX(campaigns!$CY$2:$CY$51,8))</f>
        <v/>
      </c>
      <c r="T56" s="12" t="str">
        <f aca="false">IF(INDEX(campaigns!$A$2:$A$51,8)="","",INDEX(campaigns!$DB$2:$DB$51,8))</f>
        <v/>
      </c>
      <c r="U56" s="12" t="str">
        <f aca="false">IF(INDEX(campaigns!$A$2:$A$51,8)="","",INDEX(campaigns!$DL$2:$DL$51,8))</f>
        <v/>
      </c>
      <c r="V56" s="0" t="str">
        <f aca="false">IF(INDEX(campaigns!$A$2:$A$51,8)="","",INDEX(campaigns!$DR$2:$DR$51,8))</f>
        <v/>
      </c>
      <c r="W56" s="0" t="str">
        <f aca="false">IF(INDEX(campaigns!$A$2:$A$51,8)="","",INDEX(campaigns!$DS$2:$DS$51,8))</f>
        <v/>
      </c>
      <c r="X56" s="0" t="str">
        <f aca="false">IF(INDEX(campaigns!$A$2:$A$51,8)="","",INDEX(campaigns!$DT$2:$DT$51,8))</f>
        <v/>
      </c>
      <c r="Y56" s="0" t="str">
        <f aca="false">IF(INDEX(campaigns!$A$2:$A$51,8)="","",INDEX(campaigns!$AV$2:$AV$51,8))</f>
        <v/>
      </c>
      <c r="Z56" s="0" t="str">
        <f aca="false">IF(INDEX(campaigns!$A$2:$A$51,8)="","",INDEX(campaigns!$DU$2:$DU$51,8))</f>
        <v/>
      </c>
    </row>
    <row r="57" customFormat="false" ht="15" hidden="false" customHeight="false" outlineLevel="0" collapsed="false">
      <c r="A57" s="0" t="str">
        <f aca="false">IF(INDEX(campaigns!$A$2:$A$51,9)="","",INDEX(campaigns!$A$2:$A$51,9))</f>
        <v/>
      </c>
      <c r="B57" s="0" t="str">
        <f aca="false">IF(INDEX(campaigns!$A$2:$A$51,9)="","",INDEX(campaigns!$BE$2:$BE$51,9))</f>
        <v/>
      </c>
      <c r="C57" s="11" t="str">
        <f aca="false">IF(INDEX(campaigns!$A$2:$A$51,9)="","",INDEX(campaigns!$BG$2:$BG$51,9))</f>
        <v/>
      </c>
      <c r="D57" s="0" t="str">
        <f aca="false">IF(INDEX(campaigns!$A$2:$A$51,9)="","",INDEX(campaigns!$D$2:$D$51,9))</f>
        <v/>
      </c>
      <c r="E57" s="0" t="str">
        <f aca="false">IF(INDEX(campaigns!$A$2:$A$51,9)="","",INDEX(campaigns!$BW$2:$BW$51,9))</f>
        <v/>
      </c>
      <c r="F57" s="0" t="str">
        <f aca="false">IF(INDEX(campaigns!$A$2:$A$51,9)="","",INDEX(campaigns!$BO$2:$BO$51,9))</f>
        <v/>
      </c>
      <c r="G57" s="0" t="str">
        <f aca="false">IF(INDEX(campaigns!$A$2:$A$51,9)="","",INDEX(campaigns!$BP$2:$BP$51,9))</f>
        <v/>
      </c>
      <c r="H57" s="0" t="str">
        <f aca="false">IF(INDEX(campaigns!$A$2:$A$51,9)="","",INDEX(campaigns!$F$2:$F$51,9))</f>
        <v/>
      </c>
      <c r="I57" s="0" t="str">
        <f aca="false">IF(INDEX(campaigns!$A$2:$A$51,9)="","",INDEX(campaigns!$CB$2:$CB$51,9))</f>
        <v/>
      </c>
      <c r="J57" s="0" t="str">
        <f aca="false">IF(INDEX(campaigns!$A$2:$A$51,9)="","",INDEX(campaigns!$CD$2:$CD$51,9))</f>
        <v/>
      </c>
      <c r="K57" s="14" t="str">
        <f aca="false">IF(INDEX(campaigns!$A$2:$A$51,9)="","",INDEX(campaigns!$CE$2:$CE$51,9))</f>
        <v/>
      </c>
      <c r="L57" s="0" t="str">
        <f aca="false">IF(INDEX(campaigns!$A$2:$A$51,9)="","",INDEX(campaigns!$CF$2:$CF$51,9))</f>
        <v/>
      </c>
      <c r="M57" s="0" t="str">
        <f aca="false">IF(INDEX(campaigns!$A$2:$A$51,9)="","",INDEX(campaigns!$CG$2:$CG$51,9))</f>
        <v/>
      </c>
      <c r="N57" s="0" t="str">
        <f aca="false">IF(INDEX(campaigns!$A$2:$A$51,9)="","",INDEX(campaigns!$CH$2:$CH$51,9))</f>
        <v/>
      </c>
      <c r="O57" s="0" t="str">
        <f aca="false">IF(INDEX(campaigns!$A$2:$A$51,9)="","",INDEX(campaigns!$CI$2:$CI$51,9))</f>
        <v/>
      </c>
      <c r="P57" s="0" t="str">
        <f aca="false">IF(INDEX(campaigns!$A$2:$A$51,9)="","",INDEX(campaigns!$CK$2:$CK$51,9))</f>
        <v/>
      </c>
      <c r="Q57" s="13" t="str">
        <f aca="false">IF(INDEX(campaigns!$A$2:$A$51,9)="","",INDEX(campaigns!$CP$2:$CP$51,9))</f>
        <v/>
      </c>
      <c r="R57" s="0" t="str">
        <f aca="false">IF(INDEX(campaigns!$A$2:$A$51,9)="","",INDEX(campaigns!$CW$2:$CW$51,9))</f>
        <v/>
      </c>
      <c r="S57" s="0" t="str">
        <f aca="false">IF(INDEX(campaigns!$A$2:$A$51,9)="","",INDEX(campaigns!$CY$2:$CY$51,9))</f>
        <v/>
      </c>
      <c r="T57" s="12" t="str">
        <f aca="false">IF(INDEX(campaigns!$A$2:$A$51,9)="","",INDEX(campaigns!$DB$2:$DB$51,9))</f>
        <v/>
      </c>
      <c r="U57" s="12" t="str">
        <f aca="false">IF(INDEX(campaigns!$A$2:$A$51,9)="","",INDEX(campaigns!$DL$2:$DL$51,9))</f>
        <v/>
      </c>
      <c r="V57" s="0" t="str">
        <f aca="false">IF(INDEX(campaigns!$A$2:$A$51,9)="","",INDEX(campaigns!$DR$2:$DR$51,9))</f>
        <v/>
      </c>
      <c r="W57" s="0" t="str">
        <f aca="false">IF(INDEX(campaigns!$A$2:$A$51,9)="","",INDEX(campaigns!$DS$2:$DS$51,9))</f>
        <v/>
      </c>
      <c r="X57" s="0" t="str">
        <f aca="false">IF(INDEX(campaigns!$A$2:$A$51,9)="","",INDEX(campaigns!$DT$2:$DT$51,9))</f>
        <v/>
      </c>
      <c r="Y57" s="0" t="str">
        <f aca="false">IF(INDEX(campaigns!$A$2:$A$51,9)="","",INDEX(campaigns!$AV$2:$AV$51,9))</f>
        <v/>
      </c>
      <c r="Z57" s="0" t="str">
        <f aca="false">IF(INDEX(campaigns!$A$2:$A$51,9)="","",INDEX(campaigns!$DU$2:$DU$51,9))</f>
        <v/>
      </c>
    </row>
    <row r="58" customFormat="false" ht="15" hidden="false" customHeight="false" outlineLevel="0" collapsed="false">
      <c r="A58" s="0" t="str">
        <f aca="false">IF(INDEX(campaigns!$A$2:$A$51,10)="","",INDEX(campaigns!$A$2:$A$51,10))</f>
        <v/>
      </c>
      <c r="B58" s="0" t="str">
        <f aca="false">IF(INDEX(campaigns!$A$2:$A$51,10)="","",INDEX(campaigns!$BE$2:$BE$51,10))</f>
        <v/>
      </c>
      <c r="C58" s="11" t="str">
        <f aca="false">IF(INDEX(campaigns!$A$2:$A$51,10)="","",INDEX(campaigns!$BG$2:$BG$51,10))</f>
        <v/>
      </c>
      <c r="D58" s="0" t="str">
        <f aca="false">IF(INDEX(campaigns!$A$2:$A$51,10)="","",INDEX(campaigns!$D$2:$D$51,10))</f>
        <v/>
      </c>
      <c r="E58" s="0" t="str">
        <f aca="false">IF(INDEX(campaigns!$A$2:$A$51,10)="","",INDEX(campaigns!$BW$2:$BW$51,10))</f>
        <v/>
      </c>
      <c r="F58" s="0" t="str">
        <f aca="false">IF(INDEX(campaigns!$A$2:$A$51,10)="","",INDEX(campaigns!$BO$2:$BO$51,10))</f>
        <v/>
      </c>
      <c r="G58" s="0" t="str">
        <f aca="false">IF(INDEX(campaigns!$A$2:$A$51,10)="","",INDEX(campaigns!$BP$2:$BP$51,10))</f>
        <v/>
      </c>
      <c r="H58" s="0" t="str">
        <f aca="false">IF(INDEX(campaigns!$A$2:$A$51,10)="","",INDEX(campaigns!$F$2:$F$51,10))</f>
        <v/>
      </c>
      <c r="I58" s="0" t="str">
        <f aca="false">IF(INDEX(campaigns!$A$2:$A$51,10)="","",INDEX(campaigns!$CB$2:$CB$51,10))</f>
        <v/>
      </c>
      <c r="J58" s="0" t="str">
        <f aca="false">IF(INDEX(campaigns!$A$2:$A$51,10)="","",INDEX(campaigns!$CD$2:$CD$51,10))</f>
        <v/>
      </c>
      <c r="K58" s="14" t="str">
        <f aca="false">IF(INDEX(campaigns!$A$2:$A$51,10)="","",INDEX(campaigns!$CE$2:$CE$51,10))</f>
        <v/>
      </c>
      <c r="L58" s="0" t="str">
        <f aca="false">IF(INDEX(campaigns!$A$2:$A$51,10)="","",INDEX(campaigns!$CF$2:$CF$51,10))</f>
        <v/>
      </c>
      <c r="M58" s="0" t="str">
        <f aca="false">IF(INDEX(campaigns!$A$2:$A$51,10)="","",INDEX(campaigns!$CG$2:$CG$51,10))</f>
        <v/>
      </c>
      <c r="N58" s="0" t="str">
        <f aca="false">IF(INDEX(campaigns!$A$2:$A$51,10)="","",INDEX(campaigns!$CH$2:$CH$51,10))</f>
        <v/>
      </c>
      <c r="O58" s="0" t="str">
        <f aca="false">IF(INDEX(campaigns!$A$2:$A$51,10)="","",INDEX(campaigns!$CI$2:$CI$51,10))</f>
        <v/>
      </c>
      <c r="P58" s="0" t="str">
        <f aca="false">IF(INDEX(campaigns!$A$2:$A$51,10)="","",INDEX(campaigns!$CK$2:$CK$51,10))</f>
        <v/>
      </c>
      <c r="Q58" s="13" t="str">
        <f aca="false">IF(INDEX(campaigns!$A$2:$A$51,10)="","",INDEX(campaigns!$CP$2:$CP$51,10))</f>
        <v/>
      </c>
      <c r="R58" s="0" t="str">
        <f aca="false">IF(INDEX(campaigns!$A$2:$A$51,10)="","",INDEX(campaigns!$CW$2:$CW$51,10))</f>
        <v/>
      </c>
      <c r="S58" s="0" t="str">
        <f aca="false">IF(INDEX(campaigns!$A$2:$A$51,10)="","",INDEX(campaigns!$CY$2:$CY$51,10))</f>
        <v/>
      </c>
      <c r="T58" s="12" t="str">
        <f aca="false">IF(INDEX(campaigns!$A$2:$A$51,10)="","",INDEX(campaigns!$DB$2:$DB$51,10))</f>
        <v/>
      </c>
      <c r="U58" s="12" t="str">
        <f aca="false">IF(INDEX(campaigns!$A$2:$A$51,10)="","",INDEX(campaigns!$DL$2:$DL$51,10))</f>
        <v/>
      </c>
      <c r="V58" s="0" t="str">
        <f aca="false">IF(INDEX(campaigns!$A$2:$A$51,10)="","",INDEX(campaigns!$DR$2:$DR$51,10))</f>
        <v/>
      </c>
      <c r="W58" s="0" t="str">
        <f aca="false">IF(INDEX(campaigns!$A$2:$A$51,10)="","",INDEX(campaigns!$DS$2:$DS$51,10))</f>
        <v/>
      </c>
      <c r="X58" s="0" t="str">
        <f aca="false">IF(INDEX(campaigns!$A$2:$A$51,10)="","",INDEX(campaigns!$DT$2:$DT$51,10))</f>
        <v/>
      </c>
      <c r="Y58" s="0" t="str">
        <f aca="false">IF(INDEX(campaigns!$A$2:$A$51,10)="","",INDEX(campaigns!$AV$2:$AV$51,10))</f>
        <v/>
      </c>
      <c r="Z58" s="0" t="str">
        <f aca="false">IF(INDEX(campaigns!$A$2:$A$51,10)="","",INDEX(campaigns!$DU$2:$DU$51,10))</f>
        <v/>
      </c>
    </row>
    <row r="59" customFormat="false" ht="15" hidden="false" customHeight="false" outlineLevel="0" collapsed="false">
      <c r="A59" s="0" t="str">
        <f aca="false">IF(INDEX(campaigns!$A$2:$A$51,11)="","",INDEX(campaigns!$A$2:$A$51,11))</f>
        <v/>
      </c>
      <c r="B59" s="0" t="str">
        <f aca="false">IF(INDEX(campaigns!$A$2:$A$51,11)="","",INDEX(campaigns!$BE$2:$BE$51,11))</f>
        <v/>
      </c>
      <c r="C59" s="11" t="str">
        <f aca="false">IF(INDEX(campaigns!$A$2:$A$51,11)="","",INDEX(campaigns!$BG$2:$BG$51,11))</f>
        <v/>
      </c>
      <c r="D59" s="0" t="str">
        <f aca="false">IF(INDEX(campaigns!$A$2:$A$51,11)="","",INDEX(campaigns!$D$2:$D$51,11))</f>
        <v/>
      </c>
      <c r="E59" s="0" t="str">
        <f aca="false">IF(INDEX(campaigns!$A$2:$A$51,11)="","",INDEX(campaigns!$BW$2:$BW$51,11))</f>
        <v/>
      </c>
      <c r="F59" s="0" t="str">
        <f aca="false">IF(INDEX(campaigns!$A$2:$A$51,11)="","",INDEX(campaigns!$BO$2:$BO$51,11))</f>
        <v/>
      </c>
      <c r="G59" s="0" t="str">
        <f aca="false">IF(INDEX(campaigns!$A$2:$A$51,11)="","",INDEX(campaigns!$BP$2:$BP$51,11))</f>
        <v/>
      </c>
      <c r="H59" s="0" t="str">
        <f aca="false">IF(INDEX(campaigns!$A$2:$A$51,11)="","",INDEX(campaigns!$F$2:$F$51,11))</f>
        <v/>
      </c>
      <c r="I59" s="0" t="str">
        <f aca="false">IF(INDEX(campaigns!$A$2:$A$51,11)="","",INDEX(campaigns!$CB$2:$CB$51,11))</f>
        <v/>
      </c>
      <c r="J59" s="0" t="str">
        <f aca="false">IF(INDEX(campaigns!$A$2:$A$51,11)="","",INDEX(campaigns!$CD$2:$CD$51,11))</f>
        <v/>
      </c>
      <c r="K59" s="14" t="str">
        <f aca="false">IF(INDEX(campaigns!$A$2:$A$51,11)="","",INDEX(campaigns!$CE$2:$CE$51,11))</f>
        <v/>
      </c>
      <c r="L59" s="0" t="str">
        <f aca="false">IF(INDEX(campaigns!$A$2:$A$51,11)="","",INDEX(campaigns!$CF$2:$CF$51,11))</f>
        <v/>
      </c>
      <c r="M59" s="0" t="str">
        <f aca="false">IF(INDEX(campaigns!$A$2:$A$51,11)="","",INDEX(campaigns!$CG$2:$CG$51,11))</f>
        <v/>
      </c>
      <c r="N59" s="0" t="str">
        <f aca="false">IF(INDEX(campaigns!$A$2:$A$51,11)="","",INDEX(campaigns!$CH$2:$CH$51,11))</f>
        <v/>
      </c>
      <c r="O59" s="0" t="str">
        <f aca="false">IF(INDEX(campaigns!$A$2:$A$51,11)="","",INDEX(campaigns!$CI$2:$CI$51,11))</f>
        <v/>
      </c>
      <c r="P59" s="0" t="str">
        <f aca="false">IF(INDEX(campaigns!$A$2:$A$51,11)="","",INDEX(campaigns!$CK$2:$CK$51,11))</f>
        <v/>
      </c>
      <c r="Q59" s="13" t="str">
        <f aca="false">IF(INDEX(campaigns!$A$2:$A$51,11)="","",INDEX(campaigns!$CP$2:$CP$51,11))</f>
        <v/>
      </c>
      <c r="R59" s="0" t="str">
        <f aca="false">IF(INDEX(campaigns!$A$2:$A$51,11)="","",INDEX(campaigns!$CW$2:$CW$51,11))</f>
        <v/>
      </c>
      <c r="S59" s="0" t="str">
        <f aca="false">IF(INDEX(campaigns!$A$2:$A$51,11)="","",INDEX(campaigns!$CY$2:$CY$51,11))</f>
        <v/>
      </c>
      <c r="T59" s="12" t="str">
        <f aca="false">IF(INDEX(campaigns!$A$2:$A$51,11)="","",INDEX(campaigns!$DB$2:$DB$51,11))</f>
        <v/>
      </c>
      <c r="U59" s="12" t="str">
        <f aca="false">IF(INDEX(campaigns!$A$2:$A$51,11)="","",INDEX(campaigns!$DL$2:$DL$51,11))</f>
        <v/>
      </c>
      <c r="V59" s="0" t="str">
        <f aca="false">IF(INDEX(campaigns!$A$2:$A$51,11)="","",INDEX(campaigns!$DR$2:$DR$51,11))</f>
        <v/>
      </c>
      <c r="W59" s="0" t="str">
        <f aca="false">IF(INDEX(campaigns!$A$2:$A$51,11)="","",INDEX(campaigns!$DS$2:$DS$51,11))</f>
        <v/>
      </c>
      <c r="X59" s="0" t="str">
        <f aca="false">IF(INDEX(campaigns!$A$2:$A$51,11)="","",INDEX(campaigns!$DT$2:$DT$51,11))</f>
        <v/>
      </c>
      <c r="Y59" s="0" t="str">
        <f aca="false">IF(INDEX(campaigns!$A$2:$A$51,11)="","",INDEX(campaigns!$AV$2:$AV$51,11))</f>
        <v/>
      </c>
      <c r="Z59" s="0" t="str">
        <f aca="false">IF(INDEX(campaigns!$A$2:$A$51,11)="","",INDEX(campaigns!$DU$2:$DU$51,11))</f>
        <v/>
      </c>
    </row>
    <row r="60" customFormat="false" ht="15" hidden="false" customHeight="false" outlineLevel="0" collapsed="false">
      <c r="A60" s="0" t="str">
        <f aca="false">IF(INDEX(campaigns!$A$2:$A$51,12)="","",INDEX(campaigns!$A$2:$A$51,12))</f>
        <v/>
      </c>
      <c r="B60" s="0" t="str">
        <f aca="false">IF(INDEX(campaigns!$A$2:$A$51,12)="","",INDEX(campaigns!$BE$2:$BE$51,12))</f>
        <v/>
      </c>
      <c r="C60" s="11" t="str">
        <f aca="false">IF(INDEX(campaigns!$A$2:$A$51,12)="","",INDEX(campaigns!$BG$2:$BG$51,12))</f>
        <v/>
      </c>
      <c r="D60" s="0" t="str">
        <f aca="false">IF(INDEX(campaigns!$A$2:$A$51,12)="","",INDEX(campaigns!$D$2:$D$51,12))</f>
        <v/>
      </c>
      <c r="E60" s="0" t="str">
        <f aca="false">IF(INDEX(campaigns!$A$2:$A$51,12)="","",INDEX(campaigns!$BW$2:$BW$51,12))</f>
        <v/>
      </c>
      <c r="F60" s="0" t="str">
        <f aca="false">IF(INDEX(campaigns!$A$2:$A$51,12)="","",INDEX(campaigns!$BO$2:$BO$51,12))</f>
        <v/>
      </c>
      <c r="G60" s="0" t="str">
        <f aca="false">IF(INDEX(campaigns!$A$2:$A$51,12)="","",INDEX(campaigns!$BP$2:$BP$51,12))</f>
        <v/>
      </c>
      <c r="H60" s="0" t="str">
        <f aca="false">IF(INDEX(campaigns!$A$2:$A$51,12)="","",INDEX(campaigns!$F$2:$F$51,12))</f>
        <v/>
      </c>
      <c r="I60" s="0" t="str">
        <f aca="false">IF(INDEX(campaigns!$A$2:$A$51,12)="","",INDEX(campaigns!$CB$2:$CB$51,12))</f>
        <v/>
      </c>
      <c r="J60" s="0" t="str">
        <f aca="false">IF(INDEX(campaigns!$A$2:$A$51,12)="","",INDEX(campaigns!$CD$2:$CD$51,12))</f>
        <v/>
      </c>
      <c r="K60" s="14" t="str">
        <f aca="false">IF(INDEX(campaigns!$A$2:$A$51,12)="","",INDEX(campaigns!$CE$2:$CE$51,12))</f>
        <v/>
      </c>
      <c r="L60" s="0" t="str">
        <f aca="false">IF(INDEX(campaigns!$A$2:$A$51,12)="","",INDEX(campaigns!$CF$2:$CF$51,12))</f>
        <v/>
      </c>
      <c r="M60" s="0" t="str">
        <f aca="false">IF(INDEX(campaigns!$A$2:$A$51,12)="","",INDEX(campaigns!$CG$2:$CG$51,12))</f>
        <v/>
      </c>
      <c r="N60" s="0" t="str">
        <f aca="false">IF(INDEX(campaigns!$A$2:$A$51,12)="","",INDEX(campaigns!$CH$2:$CH$51,12))</f>
        <v/>
      </c>
      <c r="O60" s="0" t="str">
        <f aca="false">IF(INDEX(campaigns!$A$2:$A$51,12)="","",INDEX(campaigns!$CI$2:$CI$51,12))</f>
        <v/>
      </c>
      <c r="P60" s="0" t="str">
        <f aca="false">IF(INDEX(campaigns!$A$2:$A$51,12)="","",INDEX(campaigns!$CK$2:$CK$51,12))</f>
        <v/>
      </c>
      <c r="Q60" s="13" t="str">
        <f aca="false">IF(INDEX(campaigns!$A$2:$A$51,12)="","",INDEX(campaigns!$CP$2:$CP$51,12))</f>
        <v/>
      </c>
      <c r="R60" s="0" t="str">
        <f aca="false">IF(INDEX(campaigns!$A$2:$A$51,12)="","",INDEX(campaigns!$CW$2:$CW$51,12))</f>
        <v/>
      </c>
      <c r="S60" s="0" t="str">
        <f aca="false">IF(INDEX(campaigns!$A$2:$A$51,12)="","",INDEX(campaigns!$CY$2:$CY$51,12))</f>
        <v/>
      </c>
      <c r="T60" s="12" t="str">
        <f aca="false">IF(INDEX(campaigns!$A$2:$A$51,12)="","",INDEX(campaigns!$DB$2:$DB$51,12))</f>
        <v/>
      </c>
      <c r="U60" s="12" t="str">
        <f aca="false">IF(INDEX(campaigns!$A$2:$A$51,12)="","",INDEX(campaigns!$DL$2:$DL$51,12))</f>
        <v/>
      </c>
      <c r="V60" s="0" t="str">
        <f aca="false">IF(INDEX(campaigns!$A$2:$A$51,12)="","",INDEX(campaigns!$DR$2:$DR$51,12))</f>
        <v/>
      </c>
      <c r="W60" s="0" t="str">
        <f aca="false">IF(INDEX(campaigns!$A$2:$A$51,12)="","",INDEX(campaigns!$DS$2:$DS$51,12))</f>
        <v/>
      </c>
      <c r="X60" s="0" t="str">
        <f aca="false">IF(INDEX(campaigns!$A$2:$A$51,12)="","",INDEX(campaigns!$DT$2:$DT$51,12))</f>
        <v/>
      </c>
      <c r="Y60" s="0" t="str">
        <f aca="false">IF(INDEX(campaigns!$A$2:$A$51,12)="","",INDEX(campaigns!$AV$2:$AV$51,12))</f>
        <v/>
      </c>
      <c r="Z60" s="0" t="str">
        <f aca="false">IF(INDEX(campaigns!$A$2:$A$51,12)="","",INDEX(campaigns!$DU$2:$DU$51,12))</f>
        <v/>
      </c>
    </row>
    <row r="61" customFormat="false" ht="15" hidden="false" customHeight="false" outlineLevel="0" collapsed="false">
      <c r="A61" s="0" t="str">
        <f aca="false">IF(INDEX(campaigns!$A$2:$A$51,13)="","",INDEX(campaigns!$A$2:$A$51,13))</f>
        <v/>
      </c>
      <c r="B61" s="0" t="str">
        <f aca="false">IF(INDEX(campaigns!$A$2:$A$51,13)="","",INDEX(campaigns!$BE$2:$BE$51,13))</f>
        <v/>
      </c>
      <c r="C61" s="11" t="str">
        <f aca="false">IF(INDEX(campaigns!$A$2:$A$51,13)="","",INDEX(campaigns!$BG$2:$BG$51,13))</f>
        <v/>
      </c>
      <c r="D61" s="0" t="str">
        <f aca="false">IF(INDEX(campaigns!$A$2:$A$51,13)="","",INDEX(campaigns!$D$2:$D$51,13))</f>
        <v/>
      </c>
      <c r="E61" s="0" t="str">
        <f aca="false">IF(INDEX(campaigns!$A$2:$A$51,13)="","",INDEX(campaigns!$BW$2:$BW$51,13))</f>
        <v/>
      </c>
      <c r="F61" s="0" t="str">
        <f aca="false">IF(INDEX(campaigns!$A$2:$A$51,13)="","",INDEX(campaigns!$BO$2:$BO$51,13))</f>
        <v/>
      </c>
      <c r="G61" s="0" t="str">
        <f aca="false">IF(INDEX(campaigns!$A$2:$A$51,13)="","",INDEX(campaigns!$BP$2:$BP$51,13))</f>
        <v/>
      </c>
      <c r="H61" s="0" t="str">
        <f aca="false">IF(INDEX(campaigns!$A$2:$A$51,13)="","",INDEX(campaigns!$F$2:$F$51,13))</f>
        <v/>
      </c>
      <c r="I61" s="0" t="str">
        <f aca="false">IF(INDEX(campaigns!$A$2:$A$51,13)="","",INDEX(campaigns!$CB$2:$CB$51,13))</f>
        <v/>
      </c>
      <c r="J61" s="0" t="str">
        <f aca="false">IF(INDEX(campaigns!$A$2:$A$51,13)="","",INDEX(campaigns!$CD$2:$CD$51,13))</f>
        <v/>
      </c>
      <c r="K61" s="14" t="str">
        <f aca="false">IF(INDEX(campaigns!$A$2:$A$51,13)="","",INDEX(campaigns!$CE$2:$CE$51,13))</f>
        <v/>
      </c>
      <c r="L61" s="0" t="str">
        <f aca="false">IF(INDEX(campaigns!$A$2:$A$51,13)="","",INDEX(campaigns!$CF$2:$CF$51,13))</f>
        <v/>
      </c>
      <c r="M61" s="0" t="str">
        <f aca="false">IF(INDEX(campaigns!$A$2:$A$51,13)="","",INDEX(campaigns!$CG$2:$CG$51,13))</f>
        <v/>
      </c>
      <c r="N61" s="0" t="str">
        <f aca="false">IF(INDEX(campaigns!$A$2:$A$51,13)="","",INDEX(campaigns!$CH$2:$CH$51,13))</f>
        <v/>
      </c>
      <c r="O61" s="0" t="str">
        <f aca="false">IF(INDEX(campaigns!$A$2:$A$51,13)="","",INDEX(campaigns!$CI$2:$CI$51,13))</f>
        <v/>
      </c>
      <c r="P61" s="0" t="str">
        <f aca="false">IF(INDEX(campaigns!$A$2:$A$51,13)="","",INDEX(campaigns!$CK$2:$CK$51,13))</f>
        <v/>
      </c>
      <c r="Q61" s="13" t="str">
        <f aca="false">IF(INDEX(campaigns!$A$2:$A$51,13)="","",INDEX(campaigns!$CP$2:$CP$51,13))</f>
        <v/>
      </c>
      <c r="R61" s="0" t="str">
        <f aca="false">IF(INDEX(campaigns!$A$2:$A$51,13)="","",INDEX(campaigns!$CW$2:$CW$51,13))</f>
        <v/>
      </c>
      <c r="S61" s="0" t="str">
        <f aca="false">IF(INDEX(campaigns!$A$2:$A$51,13)="","",INDEX(campaigns!$CY$2:$CY$51,13))</f>
        <v/>
      </c>
      <c r="T61" s="12" t="str">
        <f aca="false">IF(INDEX(campaigns!$A$2:$A$51,13)="","",INDEX(campaigns!$DB$2:$DB$51,13))</f>
        <v/>
      </c>
      <c r="U61" s="12" t="str">
        <f aca="false">IF(INDEX(campaigns!$A$2:$A$51,13)="","",INDEX(campaigns!$DL$2:$DL$51,13))</f>
        <v/>
      </c>
      <c r="V61" s="0" t="str">
        <f aca="false">IF(INDEX(campaigns!$A$2:$A$51,13)="","",INDEX(campaigns!$DR$2:$DR$51,13))</f>
        <v/>
      </c>
      <c r="W61" s="0" t="str">
        <f aca="false">IF(INDEX(campaigns!$A$2:$A$51,13)="","",INDEX(campaigns!$DS$2:$DS$51,13))</f>
        <v/>
      </c>
      <c r="X61" s="0" t="str">
        <f aca="false">IF(INDEX(campaigns!$A$2:$A$51,13)="","",INDEX(campaigns!$DT$2:$DT$51,13))</f>
        <v/>
      </c>
      <c r="Y61" s="0" t="str">
        <f aca="false">IF(INDEX(campaigns!$A$2:$A$51,13)="","",INDEX(campaigns!$AV$2:$AV$51,13))</f>
        <v/>
      </c>
      <c r="Z61" s="0" t="str">
        <f aca="false">IF(INDEX(campaigns!$A$2:$A$51,13)="","",INDEX(campaigns!$DU$2:$DU$51,13))</f>
        <v/>
      </c>
    </row>
    <row r="62" customFormat="false" ht="15" hidden="false" customHeight="false" outlineLevel="0" collapsed="false">
      <c r="A62" s="0" t="str">
        <f aca="false">IF(INDEX(campaigns!$A$2:$A$51,14)="","",INDEX(campaigns!$A$2:$A$51,14))</f>
        <v/>
      </c>
      <c r="B62" s="0" t="str">
        <f aca="false">IF(INDEX(campaigns!$A$2:$A$51,14)="","",INDEX(campaigns!$BE$2:$BE$51,14))</f>
        <v/>
      </c>
      <c r="C62" s="11" t="str">
        <f aca="false">IF(INDEX(campaigns!$A$2:$A$51,14)="","",INDEX(campaigns!$BG$2:$BG$51,14))</f>
        <v/>
      </c>
      <c r="D62" s="0" t="str">
        <f aca="false">IF(INDEX(campaigns!$A$2:$A$51,14)="","",INDEX(campaigns!$D$2:$D$51,14))</f>
        <v/>
      </c>
      <c r="E62" s="0" t="str">
        <f aca="false">IF(INDEX(campaigns!$A$2:$A$51,14)="","",INDEX(campaigns!$BW$2:$BW$51,14))</f>
        <v/>
      </c>
      <c r="F62" s="0" t="str">
        <f aca="false">IF(INDEX(campaigns!$A$2:$A$51,14)="","",INDEX(campaigns!$BO$2:$BO$51,14))</f>
        <v/>
      </c>
      <c r="G62" s="0" t="str">
        <f aca="false">IF(INDEX(campaigns!$A$2:$A$51,14)="","",INDEX(campaigns!$BP$2:$BP$51,14))</f>
        <v/>
      </c>
      <c r="H62" s="0" t="str">
        <f aca="false">IF(INDEX(campaigns!$A$2:$A$51,14)="","",INDEX(campaigns!$F$2:$F$51,14))</f>
        <v/>
      </c>
      <c r="I62" s="0" t="str">
        <f aca="false">IF(INDEX(campaigns!$A$2:$A$51,14)="","",INDEX(campaigns!$CB$2:$CB$51,14))</f>
        <v/>
      </c>
      <c r="J62" s="0" t="str">
        <f aca="false">IF(INDEX(campaigns!$A$2:$A$51,14)="","",INDEX(campaigns!$CD$2:$CD$51,14))</f>
        <v/>
      </c>
      <c r="K62" s="14" t="str">
        <f aca="false">IF(INDEX(campaigns!$A$2:$A$51,14)="","",INDEX(campaigns!$CE$2:$CE$51,14))</f>
        <v/>
      </c>
      <c r="L62" s="0" t="str">
        <f aca="false">IF(INDEX(campaigns!$A$2:$A$51,14)="","",INDEX(campaigns!$CF$2:$CF$51,14))</f>
        <v/>
      </c>
      <c r="M62" s="0" t="str">
        <f aca="false">IF(INDEX(campaigns!$A$2:$A$51,14)="","",INDEX(campaigns!$CG$2:$CG$51,14))</f>
        <v/>
      </c>
      <c r="N62" s="0" t="str">
        <f aca="false">IF(INDEX(campaigns!$A$2:$A$51,14)="","",INDEX(campaigns!$CH$2:$CH$51,14))</f>
        <v/>
      </c>
      <c r="O62" s="0" t="str">
        <f aca="false">IF(INDEX(campaigns!$A$2:$A$51,14)="","",INDEX(campaigns!$CI$2:$CI$51,14))</f>
        <v/>
      </c>
      <c r="P62" s="0" t="str">
        <f aca="false">IF(INDEX(campaigns!$A$2:$A$51,14)="","",INDEX(campaigns!$CK$2:$CK$51,14))</f>
        <v/>
      </c>
      <c r="Q62" s="13" t="str">
        <f aca="false">IF(INDEX(campaigns!$A$2:$A$51,14)="","",INDEX(campaigns!$CP$2:$CP$51,14))</f>
        <v/>
      </c>
      <c r="R62" s="0" t="str">
        <f aca="false">IF(INDEX(campaigns!$A$2:$A$51,14)="","",INDEX(campaigns!$CW$2:$CW$51,14))</f>
        <v/>
      </c>
      <c r="S62" s="0" t="str">
        <f aca="false">IF(INDEX(campaigns!$A$2:$A$51,14)="","",INDEX(campaigns!$CY$2:$CY$51,14))</f>
        <v/>
      </c>
      <c r="T62" s="12" t="str">
        <f aca="false">IF(INDEX(campaigns!$A$2:$A$51,14)="","",INDEX(campaigns!$DB$2:$DB$51,14))</f>
        <v/>
      </c>
      <c r="U62" s="12" t="str">
        <f aca="false">IF(INDEX(campaigns!$A$2:$A$51,14)="","",INDEX(campaigns!$DL$2:$DL$51,14))</f>
        <v/>
      </c>
      <c r="V62" s="0" t="str">
        <f aca="false">IF(INDEX(campaigns!$A$2:$A$51,14)="","",INDEX(campaigns!$DR$2:$DR$51,14))</f>
        <v/>
      </c>
      <c r="W62" s="0" t="str">
        <f aca="false">IF(INDEX(campaigns!$A$2:$A$51,14)="","",INDEX(campaigns!$DS$2:$DS$51,14))</f>
        <v/>
      </c>
      <c r="X62" s="0" t="str">
        <f aca="false">IF(INDEX(campaigns!$A$2:$A$51,14)="","",INDEX(campaigns!$DT$2:$DT$51,14))</f>
        <v/>
      </c>
      <c r="Y62" s="0" t="str">
        <f aca="false">IF(INDEX(campaigns!$A$2:$A$51,14)="","",INDEX(campaigns!$AV$2:$AV$51,14))</f>
        <v/>
      </c>
      <c r="Z62" s="0" t="str">
        <f aca="false">IF(INDEX(campaigns!$A$2:$A$51,14)="","",INDEX(campaigns!$DU$2:$DU$51,14))</f>
        <v/>
      </c>
    </row>
    <row r="63" customFormat="false" ht="15" hidden="false" customHeight="false" outlineLevel="0" collapsed="false">
      <c r="A63" s="0" t="str">
        <f aca="false">IF(INDEX(campaigns!$A$2:$A$51,15)="","",INDEX(campaigns!$A$2:$A$51,15))</f>
        <v/>
      </c>
      <c r="B63" s="0" t="str">
        <f aca="false">IF(INDEX(campaigns!$A$2:$A$51,15)="","",INDEX(campaigns!$BE$2:$BE$51,15))</f>
        <v/>
      </c>
      <c r="C63" s="11" t="str">
        <f aca="false">IF(INDEX(campaigns!$A$2:$A$51,15)="","",INDEX(campaigns!$BG$2:$BG$51,15))</f>
        <v/>
      </c>
      <c r="D63" s="0" t="str">
        <f aca="false">IF(INDEX(campaigns!$A$2:$A$51,15)="","",INDEX(campaigns!$D$2:$D$51,15))</f>
        <v/>
      </c>
      <c r="E63" s="0" t="str">
        <f aca="false">IF(INDEX(campaigns!$A$2:$A$51,15)="","",INDEX(campaigns!$BW$2:$BW$51,15))</f>
        <v/>
      </c>
      <c r="F63" s="0" t="str">
        <f aca="false">IF(INDEX(campaigns!$A$2:$A$51,15)="","",INDEX(campaigns!$BO$2:$BO$51,15))</f>
        <v/>
      </c>
      <c r="G63" s="0" t="str">
        <f aca="false">IF(INDEX(campaigns!$A$2:$A$51,15)="","",INDEX(campaigns!$BP$2:$BP$51,15))</f>
        <v/>
      </c>
      <c r="H63" s="0" t="str">
        <f aca="false">IF(INDEX(campaigns!$A$2:$A$51,15)="","",INDEX(campaigns!$F$2:$F$51,15))</f>
        <v/>
      </c>
      <c r="I63" s="0" t="str">
        <f aca="false">IF(INDEX(campaigns!$A$2:$A$51,15)="","",INDEX(campaigns!$CB$2:$CB$51,15))</f>
        <v/>
      </c>
      <c r="J63" s="0" t="str">
        <f aca="false">IF(INDEX(campaigns!$A$2:$A$51,15)="","",INDEX(campaigns!$CD$2:$CD$51,15))</f>
        <v/>
      </c>
      <c r="K63" s="14" t="str">
        <f aca="false">IF(INDEX(campaigns!$A$2:$A$51,15)="","",INDEX(campaigns!$CE$2:$CE$51,15))</f>
        <v/>
      </c>
      <c r="L63" s="0" t="str">
        <f aca="false">IF(INDEX(campaigns!$A$2:$A$51,15)="","",INDEX(campaigns!$CF$2:$CF$51,15))</f>
        <v/>
      </c>
      <c r="M63" s="0" t="str">
        <f aca="false">IF(INDEX(campaigns!$A$2:$A$51,15)="","",INDEX(campaigns!$CG$2:$CG$51,15))</f>
        <v/>
      </c>
      <c r="N63" s="0" t="str">
        <f aca="false">IF(INDEX(campaigns!$A$2:$A$51,15)="","",INDEX(campaigns!$CH$2:$CH$51,15))</f>
        <v/>
      </c>
      <c r="O63" s="0" t="str">
        <f aca="false">IF(INDEX(campaigns!$A$2:$A$51,15)="","",INDEX(campaigns!$CI$2:$CI$51,15))</f>
        <v/>
      </c>
      <c r="P63" s="0" t="str">
        <f aca="false">IF(INDEX(campaigns!$A$2:$A$51,15)="","",INDEX(campaigns!$CK$2:$CK$51,15))</f>
        <v/>
      </c>
      <c r="Q63" s="13" t="str">
        <f aca="false">IF(INDEX(campaigns!$A$2:$A$51,15)="","",INDEX(campaigns!$CP$2:$CP$51,15))</f>
        <v/>
      </c>
      <c r="R63" s="0" t="str">
        <f aca="false">IF(INDEX(campaigns!$A$2:$A$51,15)="","",INDEX(campaigns!$CW$2:$CW$51,15))</f>
        <v/>
      </c>
      <c r="S63" s="0" t="str">
        <f aca="false">IF(INDEX(campaigns!$A$2:$A$51,15)="","",INDEX(campaigns!$CY$2:$CY$51,15))</f>
        <v/>
      </c>
      <c r="T63" s="12" t="str">
        <f aca="false">IF(INDEX(campaigns!$A$2:$A$51,15)="","",INDEX(campaigns!$DB$2:$DB$51,15))</f>
        <v/>
      </c>
      <c r="U63" s="12" t="str">
        <f aca="false">IF(INDEX(campaigns!$A$2:$A$51,15)="","",INDEX(campaigns!$DL$2:$DL$51,15))</f>
        <v/>
      </c>
      <c r="V63" s="0" t="str">
        <f aca="false">IF(INDEX(campaigns!$A$2:$A$51,15)="","",INDEX(campaigns!$DR$2:$DR$51,15))</f>
        <v/>
      </c>
      <c r="W63" s="0" t="str">
        <f aca="false">IF(INDEX(campaigns!$A$2:$A$51,15)="","",INDEX(campaigns!$DS$2:$DS$51,15))</f>
        <v/>
      </c>
      <c r="X63" s="0" t="str">
        <f aca="false">IF(INDEX(campaigns!$A$2:$A$51,15)="","",INDEX(campaigns!$DT$2:$DT$51,15))</f>
        <v/>
      </c>
      <c r="Y63" s="0" t="str">
        <f aca="false">IF(INDEX(campaigns!$A$2:$A$51,15)="","",INDEX(campaigns!$AV$2:$AV$51,15))</f>
        <v/>
      </c>
      <c r="Z63" s="0" t="str">
        <f aca="false">IF(INDEX(campaigns!$A$2:$A$51,15)="","",INDEX(campaigns!$DU$2:$DU$51,15))</f>
        <v/>
      </c>
    </row>
    <row r="64" customFormat="false" ht="15" hidden="false" customHeight="false" outlineLevel="0" collapsed="false">
      <c r="A64" s="0" t="str">
        <f aca="false">IF(INDEX(campaigns!$A$2:$A$51,16)="","",INDEX(campaigns!$A$2:$A$51,16))</f>
        <v/>
      </c>
      <c r="B64" s="0" t="str">
        <f aca="false">IF(INDEX(campaigns!$A$2:$A$51,16)="","",INDEX(campaigns!$BE$2:$BE$51,16))</f>
        <v/>
      </c>
      <c r="C64" s="11" t="str">
        <f aca="false">IF(INDEX(campaigns!$A$2:$A$51,16)="","",INDEX(campaigns!$BG$2:$BG$51,16))</f>
        <v/>
      </c>
      <c r="D64" s="0" t="str">
        <f aca="false">IF(INDEX(campaigns!$A$2:$A$51,16)="","",INDEX(campaigns!$D$2:$D$51,16))</f>
        <v/>
      </c>
      <c r="E64" s="0" t="str">
        <f aca="false">IF(INDEX(campaigns!$A$2:$A$51,16)="","",INDEX(campaigns!$BW$2:$BW$51,16))</f>
        <v/>
      </c>
      <c r="F64" s="0" t="str">
        <f aca="false">IF(INDEX(campaigns!$A$2:$A$51,16)="","",INDEX(campaigns!$BO$2:$BO$51,16))</f>
        <v/>
      </c>
      <c r="G64" s="0" t="str">
        <f aca="false">IF(INDEX(campaigns!$A$2:$A$51,16)="","",INDEX(campaigns!$BP$2:$BP$51,16))</f>
        <v/>
      </c>
      <c r="H64" s="0" t="str">
        <f aca="false">IF(INDEX(campaigns!$A$2:$A$51,16)="","",INDEX(campaigns!$F$2:$F$51,16))</f>
        <v/>
      </c>
      <c r="I64" s="0" t="str">
        <f aca="false">IF(INDEX(campaigns!$A$2:$A$51,16)="","",INDEX(campaigns!$CB$2:$CB$51,16))</f>
        <v/>
      </c>
      <c r="J64" s="0" t="str">
        <f aca="false">IF(INDEX(campaigns!$A$2:$A$51,16)="","",INDEX(campaigns!$CD$2:$CD$51,16))</f>
        <v/>
      </c>
      <c r="K64" s="14" t="str">
        <f aca="false">IF(INDEX(campaigns!$A$2:$A$51,16)="","",INDEX(campaigns!$CE$2:$CE$51,16))</f>
        <v/>
      </c>
      <c r="L64" s="0" t="str">
        <f aca="false">IF(INDEX(campaigns!$A$2:$A$51,16)="","",INDEX(campaigns!$CF$2:$CF$51,16))</f>
        <v/>
      </c>
      <c r="M64" s="0" t="str">
        <f aca="false">IF(INDEX(campaigns!$A$2:$A$51,16)="","",INDEX(campaigns!$CG$2:$CG$51,16))</f>
        <v/>
      </c>
      <c r="N64" s="0" t="str">
        <f aca="false">IF(INDEX(campaigns!$A$2:$A$51,16)="","",INDEX(campaigns!$CH$2:$CH$51,16))</f>
        <v/>
      </c>
      <c r="O64" s="0" t="str">
        <f aca="false">IF(INDEX(campaigns!$A$2:$A$51,16)="","",INDEX(campaigns!$CI$2:$CI$51,16))</f>
        <v/>
      </c>
      <c r="P64" s="0" t="str">
        <f aca="false">IF(INDEX(campaigns!$A$2:$A$51,16)="","",INDEX(campaigns!$CK$2:$CK$51,16))</f>
        <v/>
      </c>
      <c r="Q64" s="13" t="str">
        <f aca="false">IF(INDEX(campaigns!$A$2:$A$51,16)="","",INDEX(campaigns!$CP$2:$CP$51,16))</f>
        <v/>
      </c>
      <c r="R64" s="0" t="str">
        <f aca="false">IF(INDEX(campaigns!$A$2:$A$51,16)="","",INDEX(campaigns!$CW$2:$CW$51,16))</f>
        <v/>
      </c>
      <c r="S64" s="0" t="str">
        <f aca="false">IF(INDEX(campaigns!$A$2:$A$51,16)="","",INDEX(campaigns!$CY$2:$CY$51,16))</f>
        <v/>
      </c>
      <c r="T64" s="12" t="str">
        <f aca="false">IF(INDEX(campaigns!$A$2:$A$51,16)="","",INDEX(campaigns!$DB$2:$DB$51,16))</f>
        <v/>
      </c>
      <c r="U64" s="12" t="str">
        <f aca="false">IF(INDEX(campaigns!$A$2:$A$51,16)="","",INDEX(campaigns!$DL$2:$DL$51,16))</f>
        <v/>
      </c>
      <c r="V64" s="0" t="str">
        <f aca="false">IF(INDEX(campaigns!$A$2:$A$51,16)="","",INDEX(campaigns!$DR$2:$DR$51,16))</f>
        <v/>
      </c>
      <c r="W64" s="0" t="str">
        <f aca="false">IF(INDEX(campaigns!$A$2:$A$51,16)="","",INDEX(campaigns!$DS$2:$DS$51,16))</f>
        <v/>
      </c>
      <c r="X64" s="0" t="str">
        <f aca="false">IF(INDEX(campaigns!$A$2:$A$51,16)="","",INDEX(campaigns!$DT$2:$DT$51,16))</f>
        <v/>
      </c>
      <c r="Y64" s="0" t="str">
        <f aca="false">IF(INDEX(campaigns!$A$2:$A$51,16)="","",INDEX(campaigns!$AV$2:$AV$51,16))</f>
        <v/>
      </c>
      <c r="Z64" s="0" t="str">
        <f aca="false">IF(INDEX(campaigns!$A$2:$A$51,16)="","",INDEX(campaigns!$DU$2:$DU$51,16))</f>
        <v/>
      </c>
    </row>
    <row r="65" customFormat="false" ht="15" hidden="false" customHeight="false" outlineLevel="0" collapsed="false">
      <c r="A65" s="0" t="str">
        <f aca="false">IF(INDEX(campaigns!$A$2:$A$51,17)="","",INDEX(campaigns!$A$2:$A$51,17))</f>
        <v/>
      </c>
      <c r="B65" s="0" t="str">
        <f aca="false">IF(INDEX(campaigns!$A$2:$A$51,17)="","",INDEX(campaigns!$BE$2:$BE$51,17))</f>
        <v/>
      </c>
      <c r="C65" s="11" t="str">
        <f aca="false">IF(INDEX(campaigns!$A$2:$A$51,17)="","",INDEX(campaigns!$BG$2:$BG$51,17))</f>
        <v/>
      </c>
      <c r="D65" s="0" t="str">
        <f aca="false">IF(INDEX(campaigns!$A$2:$A$51,17)="","",INDEX(campaigns!$D$2:$D$51,17))</f>
        <v/>
      </c>
      <c r="E65" s="0" t="str">
        <f aca="false">IF(INDEX(campaigns!$A$2:$A$51,17)="","",INDEX(campaigns!$BW$2:$BW$51,17))</f>
        <v/>
      </c>
      <c r="F65" s="0" t="str">
        <f aca="false">IF(INDEX(campaigns!$A$2:$A$51,17)="","",INDEX(campaigns!$BO$2:$BO$51,17))</f>
        <v/>
      </c>
      <c r="G65" s="0" t="str">
        <f aca="false">IF(INDEX(campaigns!$A$2:$A$51,17)="","",INDEX(campaigns!$BP$2:$BP$51,17))</f>
        <v/>
      </c>
      <c r="H65" s="0" t="str">
        <f aca="false">IF(INDEX(campaigns!$A$2:$A$51,17)="","",INDEX(campaigns!$F$2:$F$51,17))</f>
        <v/>
      </c>
      <c r="I65" s="0" t="str">
        <f aca="false">IF(INDEX(campaigns!$A$2:$A$51,17)="","",INDEX(campaigns!$CB$2:$CB$51,17))</f>
        <v/>
      </c>
      <c r="J65" s="0" t="str">
        <f aca="false">IF(INDEX(campaigns!$A$2:$A$51,17)="","",INDEX(campaigns!$CD$2:$CD$51,17))</f>
        <v/>
      </c>
      <c r="K65" s="14" t="str">
        <f aca="false">IF(INDEX(campaigns!$A$2:$A$51,17)="","",INDEX(campaigns!$CE$2:$CE$51,17))</f>
        <v/>
      </c>
      <c r="L65" s="0" t="str">
        <f aca="false">IF(INDEX(campaigns!$A$2:$A$51,17)="","",INDEX(campaigns!$CF$2:$CF$51,17))</f>
        <v/>
      </c>
      <c r="M65" s="0" t="str">
        <f aca="false">IF(INDEX(campaigns!$A$2:$A$51,17)="","",INDEX(campaigns!$CG$2:$CG$51,17))</f>
        <v/>
      </c>
      <c r="N65" s="0" t="str">
        <f aca="false">IF(INDEX(campaigns!$A$2:$A$51,17)="","",INDEX(campaigns!$CH$2:$CH$51,17))</f>
        <v/>
      </c>
      <c r="O65" s="0" t="str">
        <f aca="false">IF(INDEX(campaigns!$A$2:$A$51,17)="","",INDEX(campaigns!$CI$2:$CI$51,17))</f>
        <v/>
      </c>
      <c r="P65" s="0" t="str">
        <f aca="false">IF(INDEX(campaigns!$A$2:$A$51,17)="","",INDEX(campaigns!$CK$2:$CK$51,17))</f>
        <v/>
      </c>
      <c r="Q65" s="13" t="str">
        <f aca="false">IF(INDEX(campaigns!$A$2:$A$51,17)="","",INDEX(campaigns!$CP$2:$CP$51,17))</f>
        <v/>
      </c>
      <c r="R65" s="0" t="str">
        <f aca="false">IF(INDEX(campaigns!$A$2:$A$51,17)="","",INDEX(campaigns!$CW$2:$CW$51,17))</f>
        <v/>
      </c>
      <c r="S65" s="0" t="str">
        <f aca="false">IF(INDEX(campaigns!$A$2:$A$51,17)="","",INDEX(campaigns!$CY$2:$CY$51,17))</f>
        <v/>
      </c>
      <c r="T65" s="12" t="str">
        <f aca="false">IF(INDEX(campaigns!$A$2:$A$51,17)="","",INDEX(campaigns!$DB$2:$DB$51,17))</f>
        <v/>
      </c>
      <c r="U65" s="12" t="str">
        <f aca="false">IF(INDEX(campaigns!$A$2:$A$51,17)="","",INDEX(campaigns!$DL$2:$DL$51,17))</f>
        <v/>
      </c>
      <c r="V65" s="0" t="str">
        <f aca="false">IF(INDEX(campaigns!$A$2:$A$51,17)="","",INDEX(campaigns!$DR$2:$DR$51,17))</f>
        <v/>
      </c>
      <c r="W65" s="0" t="str">
        <f aca="false">IF(INDEX(campaigns!$A$2:$A$51,17)="","",INDEX(campaigns!$DS$2:$DS$51,17))</f>
        <v/>
      </c>
      <c r="X65" s="0" t="str">
        <f aca="false">IF(INDEX(campaigns!$A$2:$A$51,17)="","",INDEX(campaigns!$DT$2:$DT$51,17))</f>
        <v/>
      </c>
      <c r="Y65" s="0" t="str">
        <f aca="false">IF(INDEX(campaigns!$A$2:$A$51,17)="","",INDEX(campaigns!$AV$2:$AV$51,17))</f>
        <v/>
      </c>
      <c r="Z65" s="0" t="str">
        <f aca="false">IF(INDEX(campaigns!$A$2:$A$51,17)="","",INDEX(campaigns!$DU$2:$DU$51,17))</f>
        <v/>
      </c>
    </row>
    <row r="66" customFormat="false" ht="15" hidden="false" customHeight="false" outlineLevel="0" collapsed="false">
      <c r="A66" s="0" t="str">
        <f aca="false">IF(INDEX(campaigns!$A$2:$A$51,18)="","",INDEX(campaigns!$A$2:$A$51,18))</f>
        <v/>
      </c>
      <c r="B66" s="0" t="str">
        <f aca="false">IF(INDEX(campaigns!$A$2:$A$51,18)="","",INDEX(campaigns!$BE$2:$BE$51,18))</f>
        <v/>
      </c>
      <c r="C66" s="11" t="str">
        <f aca="false">IF(INDEX(campaigns!$A$2:$A$51,18)="","",INDEX(campaigns!$BG$2:$BG$51,18))</f>
        <v/>
      </c>
      <c r="D66" s="0" t="str">
        <f aca="false">IF(INDEX(campaigns!$A$2:$A$51,18)="","",INDEX(campaigns!$D$2:$D$51,18))</f>
        <v/>
      </c>
      <c r="E66" s="0" t="str">
        <f aca="false">IF(INDEX(campaigns!$A$2:$A$51,18)="","",INDEX(campaigns!$BW$2:$BW$51,18))</f>
        <v/>
      </c>
      <c r="F66" s="0" t="str">
        <f aca="false">IF(INDEX(campaigns!$A$2:$A$51,18)="","",INDEX(campaigns!$BO$2:$BO$51,18))</f>
        <v/>
      </c>
      <c r="G66" s="0" t="str">
        <f aca="false">IF(INDEX(campaigns!$A$2:$A$51,18)="","",INDEX(campaigns!$BP$2:$BP$51,18))</f>
        <v/>
      </c>
      <c r="H66" s="0" t="str">
        <f aca="false">IF(INDEX(campaigns!$A$2:$A$51,18)="","",INDEX(campaigns!$F$2:$F$51,18))</f>
        <v/>
      </c>
      <c r="I66" s="0" t="str">
        <f aca="false">IF(INDEX(campaigns!$A$2:$A$51,18)="","",INDEX(campaigns!$CB$2:$CB$51,18))</f>
        <v/>
      </c>
      <c r="J66" s="0" t="str">
        <f aca="false">IF(INDEX(campaigns!$A$2:$A$51,18)="","",INDEX(campaigns!$CD$2:$CD$51,18))</f>
        <v/>
      </c>
      <c r="K66" s="14" t="str">
        <f aca="false">IF(INDEX(campaigns!$A$2:$A$51,18)="","",INDEX(campaigns!$CE$2:$CE$51,18))</f>
        <v/>
      </c>
      <c r="L66" s="0" t="str">
        <f aca="false">IF(INDEX(campaigns!$A$2:$A$51,18)="","",INDEX(campaigns!$CF$2:$CF$51,18))</f>
        <v/>
      </c>
      <c r="M66" s="0" t="str">
        <f aca="false">IF(INDEX(campaigns!$A$2:$A$51,18)="","",INDEX(campaigns!$CG$2:$CG$51,18))</f>
        <v/>
      </c>
      <c r="N66" s="0" t="str">
        <f aca="false">IF(INDEX(campaigns!$A$2:$A$51,18)="","",INDEX(campaigns!$CH$2:$CH$51,18))</f>
        <v/>
      </c>
      <c r="O66" s="0" t="str">
        <f aca="false">IF(INDEX(campaigns!$A$2:$A$51,18)="","",INDEX(campaigns!$CI$2:$CI$51,18))</f>
        <v/>
      </c>
      <c r="P66" s="0" t="str">
        <f aca="false">IF(INDEX(campaigns!$A$2:$A$51,18)="","",INDEX(campaigns!$CK$2:$CK$51,18))</f>
        <v/>
      </c>
      <c r="Q66" s="13" t="str">
        <f aca="false">IF(INDEX(campaigns!$A$2:$A$51,18)="","",INDEX(campaigns!$CP$2:$CP$51,18))</f>
        <v/>
      </c>
      <c r="R66" s="0" t="str">
        <f aca="false">IF(INDEX(campaigns!$A$2:$A$51,18)="","",INDEX(campaigns!$CW$2:$CW$51,18))</f>
        <v/>
      </c>
      <c r="S66" s="0" t="str">
        <f aca="false">IF(INDEX(campaigns!$A$2:$A$51,18)="","",INDEX(campaigns!$CY$2:$CY$51,18))</f>
        <v/>
      </c>
      <c r="T66" s="12" t="str">
        <f aca="false">IF(INDEX(campaigns!$A$2:$A$51,18)="","",INDEX(campaigns!$DB$2:$DB$51,18))</f>
        <v/>
      </c>
      <c r="U66" s="12" t="str">
        <f aca="false">IF(INDEX(campaigns!$A$2:$A$51,18)="","",INDEX(campaigns!$DL$2:$DL$51,18))</f>
        <v/>
      </c>
      <c r="V66" s="0" t="str">
        <f aca="false">IF(INDEX(campaigns!$A$2:$A$51,18)="","",INDEX(campaigns!$DR$2:$DR$51,18))</f>
        <v/>
      </c>
      <c r="W66" s="0" t="str">
        <f aca="false">IF(INDEX(campaigns!$A$2:$A$51,18)="","",INDEX(campaigns!$DS$2:$DS$51,18))</f>
        <v/>
      </c>
      <c r="X66" s="0" t="str">
        <f aca="false">IF(INDEX(campaigns!$A$2:$A$51,18)="","",INDEX(campaigns!$DT$2:$DT$51,18))</f>
        <v/>
      </c>
      <c r="Y66" s="0" t="str">
        <f aca="false">IF(INDEX(campaigns!$A$2:$A$51,18)="","",INDEX(campaigns!$AV$2:$AV$51,18))</f>
        <v/>
      </c>
      <c r="Z66" s="0" t="str">
        <f aca="false">IF(INDEX(campaigns!$A$2:$A$51,18)="","",INDEX(campaigns!$DU$2:$DU$51,18))</f>
        <v/>
      </c>
    </row>
    <row r="67" customFormat="false" ht="15" hidden="false" customHeight="false" outlineLevel="0" collapsed="false">
      <c r="A67" s="0" t="str">
        <f aca="false">IF(INDEX(campaigns!$A$2:$A$51,19)="","",INDEX(campaigns!$A$2:$A$51,19))</f>
        <v/>
      </c>
      <c r="B67" s="0" t="str">
        <f aca="false">IF(INDEX(campaigns!$A$2:$A$51,19)="","",INDEX(campaigns!$BE$2:$BE$51,19))</f>
        <v/>
      </c>
      <c r="C67" s="11" t="str">
        <f aca="false">IF(INDEX(campaigns!$A$2:$A$51,19)="","",INDEX(campaigns!$BG$2:$BG$51,19))</f>
        <v/>
      </c>
      <c r="D67" s="0" t="str">
        <f aca="false">IF(INDEX(campaigns!$A$2:$A$51,19)="","",INDEX(campaigns!$D$2:$D$51,19))</f>
        <v/>
      </c>
      <c r="E67" s="0" t="str">
        <f aca="false">IF(INDEX(campaigns!$A$2:$A$51,19)="","",INDEX(campaigns!$BW$2:$BW$51,19))</f>
        <v/>
      </c>
      <c r="F67" s="0" t="str">
        <f aca="false">IF(INDEX(campaigns!$A$2:$A$51,19)="","",INDEX(campaigns!$BO$2:$BO$51,19))</f>
        <v/>
      </c>
      <c r="G67" s="0" t="str">
        <f aca="false">IF(INDEX(campaigns!$A$2:$A$51,19)="","",INDEX(campaigns!$BP$2:$BP$51,19))</f>
        <v/>
      </c>
      <c r="H67" s="0" t="str">
        <f aca="false">IF(INDEX(campaigns!$A$2:$A$51,19)="","",INDEX(campaigns!$F$2:$F$51,19))</f>
        <v/>
      </c>
      <c r="I67" s="0" t="str">
        <f aca="false">IF(INDEX(campaigns!$A$2:$A$51,19)="","",INDEX(campaigns!$CB$2:$CB$51,19))</f>
        <v/>
      </c>
      <c r="J67" s="0" t="str">
        <f aca="false">IF(INDEX(campaigns!$A$2:$A$51,19)="","",INDEX(campaigns!$CD$2:$CD$51,19))</f>
        <v/>
      </c>
      <c r="K67" s="14" t="str">
        <f aca="false">IF(INDEX(campaigns!$A$2:$A$51,19)="","",INDEX(campaigns!$CE$2:$CE$51,19))</f>
        <v/>
      </c>
      <c r="L67" s="0" t="str">
        <f aca="false">IF(INDEX(campaigns!$A$2:$A$51,19)="","",INDEX(campaigns!$CF$2:$CF$51,19))</f>
        <v/>
      </c>
      <c r="M67" s="0" t="str">
        <f aca="false">IF(INDEX(campaigns!$A$2:$A$51,19)="","",INDEX(campaigns!$CG$2:$CG$51,19))</f>
        <v/>
      </c>
      <c r="N67" s="0" t="str">
        <f aca="false">IF(INDEX(campaigns!$A$2:$A$51,19)="","",INDEX(campaigns!$CH$2:$CH$51,19))</f>
        <v/>
      </c>
      <c r="O67" s="0" t="str">
        <f aca="false">IF(INDEX(campaigns!$A$2:$A$51,19)="","",INDEX(campaigns!$CI$2:$CI$51,19))</f>
        <v/>
      </c>
      <c r="P67" s="0" t="str">
        <f aca="false">IF(INDEX(campaigns!$A$2:$A$51,19)="","",INDEX(campaigns!$CK$2:$CK$51,19))</f>
        <v/>
      </c>
      <c r="Q67" s="13" t="str">
        <f aca="false">IF(INDEX(campaigns!$A$2:$A$51,19)="","",INDEX(campaigns!$CP$2:$CP$51,19))</f>
        <v/>
      </c>
      <c r="R67" s="0" t="str">
        <f aca="false">IF(INDEX(campaigns!$A$2:$A$51,19)="","",INDEX(campaigns!$CW$2:$CW$51,19))</f>
        <v/>
      </c>
      <c r="S67" s="0" t="str">
        <f aca="false">IF(INDEX(campaigns!$A$2:$A$51,19)="","",INDEX(campaigns!$CY$2:$CY$51,19))</f>
        <v/>
      </c>
      <c r="T67" s="12" t="str">
        <f aca="false">IF(INDEX(campaigns!$A$2:$A$51,19)="","",INDEX(campaigns!$DB$2:$DB$51,19))</f>
        <v/>
      </c>
      <c r="U67" s="12" t="str">
        <f aca="false">IF(INDEX(campaigns!$A$2:$A$51,19)="","",INDEX(campaigns!$DL$2:$DL$51,19))</f>
        <v/>
      </c>
      <c r="V67" s="0" t="str">
        <f aca="false">IF(INDEX(campaigns!$A$2:$A$51,19)="","",INDEX(campaigns!$DR$2:$DR$51,19))</f>
        <v/>
      </c>
      <c r="W67" s="0" t="str">
        <f aca="false">IF(INDEX(campaigns!$A$2:$A$51,19)="","",INDEX(campaigns!$DS$2:$DS$51,19))</f>
        <v/>
      </c>
      <c r="X67" s="0" t="str">
        <f aca="false">IF(INDEX(campaigns!$A$2:$A$51,19)="","",INDEX(campaigns!$DT$2:$DT$51,19))</f>
        <v/>
      </c>
      <c r="Y67" s="0" t="str">
        <f aca="false">IF(INDEX(campaigns!$A$2:$A$51,19)="","",INDEX(campaigns!$AV$2:$AV$51,19))</f>
        <v/>
      </c>
      <c r="Z67" s="0" t="str">
        <f aca="false">IF(INDEX(campaigns!$A$2:$A$51,19)="","",INDEX(campaigns!$DU$2:$DU$51,19))</f>
        <v/>
      </c>
    </row>
    <row r="68" customFormat="false" ht="15" hidden="false" customHeight="false" outlineLevel="0" collapsed="false">
      <c r="A68" s="0" t="str">
        <f aca="false">IF(INDEX(campaigns!$A$2:$A$51,20)="","",INDEX(campaigns!$A$2:$A$51,20))</f>
        <v/>
      </c>
      <c r="B68" s="0" t="str">
        <f aca="false">IF(INDEX(campaigns!$A$2:$A$51,20)="","",INDEX(campaigns!$BE$2:$BE$51,20))</f>
        <v/>
      </c>
      <c r="C68" s="11" t="str">
        <f aca="false">IF(INDEX(campaigns!$A$2:$A$51,20)="","",INDEX(campaigns!$BG$2:$BG$51,20))</f>
        <v/>
      </c>
      <c r="D68" s="0" t="str">
        <f aca="false">IF(INDEX(campaigns!$A$2:$A$51,20)="","",INDEX(campaigns!$D$2:$D$51,20))</f>
        <v/>
      </c>
      <c r="E68" s="0" t="str">
        <f aca="false">IF(INDEX(campaigns!$A$2:$A$51,20)="","",INDEX(campaigns!$BW$2:$BW$51,20))</f>
        <v/>
      </c>
      <c r="F68" s="0" t="str">
        <f aca="false">IF(INDEX(campaigns!$A$2:$A$51,20)="","",INDEX(campaigns!$BO$2:$BO$51,20))</f>
        <v/>
      </c>
      <c r="G68" s="0" t="str">
        <f aca="false">IF(INDEX(campaigns!$A$2:$A$51,20)="","",INDEX(campaigns!$BP$2:$BP$51,20))</f>
        <v/>
      </c>
      <c r="H68" s="0" t="str">
        <f aca="false">IF(INDEX(campaigns!$A$2:$A$51,20)="","",INDEX(campaigns!$F$2:$F$51,20))</f>
        <v/>
      </c>
      <c r="I68" s="0" t="str">
        <f aca="false">IF(INDEX(campaigns!$A$2:$A$51,20)="","",INDEX(campaigns!$CB$2:$CB$51,20))</f>
        <v/>
      </c>
      <c r="J68" s="0" t="str">
        <f aca="false">IF(INDEX(campaigns!$A$2:$A$51,20)="","",INDEX(campaigns!$CD$2:$CD$51,20))</f>
        <v/>
      </c>
      <c r="K68" s="14" t="str">
        <f aca="false">IF(INDEX(campaigns!$A$2:$A$51,20)="","",INDEX(campaigns!$CE$2:$CE$51,20))</f>
        <v/>
      </c>
      <c r="L68" s="0" t="str">
        <f aca="false">IF(INDEX(campaigns!$A$2:$A$51,20)="","",INDEX(campaigns!$CF$2:$CF$51,20))</f>
        <v/>
      </c>
      <c r="M68" s="0" t="str">
        <f aca="false">IF(INDEX(campaigns!$A$2:$A$51,20)="","",INDEX(campaigns!$CG$2:$CG$51,20))</f>
        <v/>
      </c>
      <c r="N68" s="0" t="str">
        <f aca="false">IF(INDEX(campaigns!$A$2:$A$51,20)="","",INDEX(campaigns!$CH$2:$CH$51,20))</f>
        <v/>
      </c>
      <c r="O68" s="0" t="str">
        <f aca="false">IF(INDEX(campaigns!$A$2:$A$51,20)="","",INDEX(campaigns!$CI$2:$CI$51,20))</f>
        <v/>
      </c>
      <c r="P68" s="0" t="str">
        <f aca="false">IF(INDEX(campaigns!$A$2:$A$51,20)="","",INDEX(campaigns!$CK$2:$CK$51,20))</f>
        <v/>
      </c>
      <c r="Q68" s="13" t="str">
        <f aca="false">IF(INDEX(campaigns!$A$2:$A$51,20)="","",INDEX(campaigns!$CP$2:$CP$51,20))</f>
        <v/>
      </c>
      <c r="R68" s="0" t="str">
        <f aca="false">IF(INDEX(campaigns!$A$2:$A$51,20)="","",INDEX(campaigns!$CW$2:$CW$51,20))</f>
        <v/>
      </c>
      <c r="S68" s="0" t="str">
        <f aca="false">IF(INDEX(campaigns!$A$2:$A$51,20)="","",INDEX(campaigns!$CY$2:$CY$51,20))</f>
        <v/>
      </c>
      <c r="T68" s="12" t="str">
        <f aca="false">IF(INDEX(campaigns!$A$2:$A$51,20)="","",INDEX(campaigns!$DB$2:$DB$51,20))</f>
        <v/>
      </c>
      <c r="U68" s="12" t="str">
        <f aca="false">IF(INDEX(campaigns!$A$2:$A$51,20)="","",INDEX(campaigns!$DL$2:$DL$51,20))</f>
        <v/>
      </c>
      <c r="V68" s="0" t="str">
        <f aca="false">IF(INDEX(campaigns!$A$2:$A$51,20)="","",INDEX(campaigns!$DR$2:$DR$51,20))</f>
        <v/>
      </c>
      <c r="W68" s="0" t="str">
        <f aca="false">IF(INDEX(campaigns!$A$2:$A$51,20)="","",INDEX(campaigns!$DS$2:$DS$51,20))</f>
        <v/>
      </c>
      <c r="X68" s="0" t="str">
        <f aca="false">IF(INDEX(campaigns!$A$2:$A$51,20)="","",INDEX(campaigns!$DT$2:$DT$51,20))</f>
        <v/>
      </c>
      <c r="Y68" s="0" t="str">
        <f aca="false">IF(INDEX(campaigns!$A$2:$A$51,20)="","",INDEX(campaigns!$AV$2:$AV$51,20))</f>
        <v/>
      </c>
      <c r="Z68" s="0" t="str">
        <f aca="false">IF(INDEX(campaigns!$A$2:$A$51,20)="","",INDEX(campaigns!$DU$2:$DU$51,20))</f>
        <v/>
      </c>
    </row>
    <row r="69" customFormat="false" ht="15" hidden="false" customHeight="false" outlineLevel="0" collapsed="false">
      <c r="A69" s="0" t="str">
        <f aca="false">IF(INDEX(campaigns!$A$2:$A$51,21)="","",INDEX(campaigns!$A$2:$A$51,21))</f>
        <v/>
      </c>
      <c r="B69" s="0" t="str">
        <f aca="false">IF(INDEX(campaigns!$A$2:$A$51,21)="","",INDEX(campaigns!$BE$2:$BE$51,21))</f>
        <v/>
      </c>
      <c r="C69" s="11" t="str">
        <f aca="false">IF(INDEX(campaigns!$A$2:$A$51,21)="","",INDEX(campaigns!$BG$2:$BG$51,21))</f>
        <v/>
      </c>
      <c r="D69" s="0" t="str">
        <f aca="false">IF(INDEX(campaigns!$A$2:$A$51,21)="","",INDEX(campaigns!$D$2:$D$51,21))</f>
        <v/>
      </c>
      <c r="E69" s="0" t="str">
        <f aca="false">IF(INDEX(campaigns!$A$2:$A$51,21)="","",INDEX(campaigns!$BW$2:$BW$51,21))</f>
        <v/>
      </c>
      <c r="F69" s="0" t="str">
        <f aca="false">IF(INDEX(campaigns!$A$2:$A$51,21)="","",INDEX(campaigns!$BO$2:$BO$51,21))</f>
        <v/>
      </c>
      <c r="G69" s="0" t="str">
        <f aca="false">IF(INDEX(campaigns!$A$2:$A$51,21)="","",INDEX(campaigns!$BP$2:$BP$51,21))</f>
        <v/>
      </c>
      <c r="H69" s="0" t="str">
        <f aca="false">IF(INDEX(campaigns!$A$2:$A$51,21)="","",INDEX(campaigns!$F$2:$F$51,21))</f>
        <v/>
      </c>
      <c r="I69" s="0" t="str">
        <f aca="false">IF(INDEX(campaigns!$A$2:$A$51,21)="","",INDEX(campaigns!$CB$2:$CB$51,21))</f>
        <v/>
      </c>
      <c r="J69" s="0" t="str">
        <f aca="false">IF(INDEX(campaigns!$A$2:$A$51,21)="","",INDEX(campaigns!$CD$2:$CD$51,21))</f>
        <v/>
      </c>
      <c r="K69" s="14" t="str">
        <f aca="false">IF(INDEX(campaigns!$A$2:$A$51,21)="","",INDEX(campaigns!$CE$2:$CE$51,21))</f>
        <v/>
      </c>
      <c r="L69" s="0" t="str">
        <f aca="false">IF(INDEX(campaigns!$A$2:$A$51,21)="","",INDEX(campaigns!$CF$2:$CF$51,21))</f>
        <v/>
      </c>
      <c r="M69" s="0" t="str">
        <f aca="false">IF(INDEX(campaigns!$A$2:$A$51,21)="","",INDEX(campaigns!$CG$2:$CG$51,21))</f>
        <v/>
      </c>
      <c r="N69" s="0" t="str">
        <f aca="false">IF(INDEX(campaigns!$A$2:$A$51,21)="","",INDEX(campaigns!$CH$2:$CH$51,21))</f>
        <v/>
      </c>
      <c r="O69" s="0" t="str">
        <f aca="false">IF(INDEX(campaigns!$A$2:$A$51,21)="","",INDEX(campaigns!$CI$2:$CI$51,21))</f>
        <v/>
      </c>
      <c r="P69" s="0" t="str">
        <f aca="false">IF(INDEX(campaigns!$A$2:$A$51,21)="","",INDEX(campaigns!$CK$2:$CK$51,21))</f>
        <v/>
      </c>
      <c r="Q69" s="13" t="str">
        <f aca="false">IF(INDEX(campaigns!$A$2:$A$51,21)="","",INDEX(campaigns!$CP$2:$CP$51,21))</f>
        <v/>
      </c>
      <c r="R69" s="0" t="str">
        <f aca="false">IF(INDEX(campaigns!$A$2:$A$51,21)="","",INDEX(campaigns!$CW$2:$CW$51,21))</f>
        <v/>
      </c>
      <c r="S69" s="0" t="str">
        <f aca="false">IF(INDEX(campaigns!$A$2:$A$51,21)="","",INDEX(campaigns!$CY$2:$CY$51,21))</f>
        <v/>
      </c>
      <c r="T69" s="12" t="str">
        <f aca="false">IF(INDEX(campaigns!$A$2:$A$51,21)="","",INDEX(campaigns!$DB$2:$DB$51,21))</f>
        <v/>
      </c>
      <c r="U69" s="12" t="str">
        <f aca="false">IF(INDEX(campaigns!$A$2:$A$51,21)="","",INDEX(campaigns!$DL$2:$DL$51,21))</f>
        <v/>
      </c>
      <c r="V69" s="0" t="str">
        <f aca="false">IF(INDEX(campaigns!$A$2:$A$51,21)="","",INDEX(campaigns!$DR$2:$DR$51,21))</f>
        <v/>
      </c>
      <c r="W69" s="0" t="str">
        <f aca="false">IF(INDEX(campaigns!$A$2:$A$51,21)="","",INDEX(campaigns!$DS$2:$DS$51,21))</f>
        <v/>
      </c>
      <c r="X69" s="0" t="str">
        <f aca="false">IF(INDEX(campaigns!$A$2:$A$51,21)="","",INDEX(campaigns!$DT$2:$DT$51,21))</f>
        <v/>
      </c>
      <c r="Y69" s="0" t="str">
        <f aca="false">IF(INDEX(campaigns!$A$2:$A$51,21)="","",INDEX(campaigns!$AV$2:$AV$51,21))</f>
        <v/>
      </c>
      <c r="Z69" s="0" t="str">
        <f aca="false">IF(INDEX(campaigns!$A$2:$A$51,21)="","",INDEX(campaigns!$DU$2:$DU$51,21))</f>
        <v/>
      </c>
    </row>
    <row r="70" customFormat="false" ht="15" hidden="false" customHeight="false" outlineLevel="0" collapsed="false">
      <c r="A70" s="0" t="str">
        <f aca="false">IF(INDEX(campaigns!$A$2:$A$51,22)="","",INDEX(campaigns!$A$2:$A$51,22))</f>
        <v/>
      </c>
      <c r="B70" s="0" t="str">
        <f aca="false">IF(INDEX(campaigns!$A$2:$A$51,22)="","",INDEX(campaigns!$BE$2:$BE$51,22))</f>
        <v/>
      </c>
      <c r="C70" s="11" t="str">
        <f aca="false">IF(INDEX(campaigns!$A$2:$A$51,22)="","",INDEX(campaigns!$BG$2:$BG$51,22))</f>
        <v/>
      </c>
      <c r="D70" s="0" t="str">
        <f aca="false">IF(INDEX(campaigns!$A$2:$A$51,22)="","",INDEX(campaigns!$D$2:$D$51,22))</f>
        <v/>
      </c>
      <c r="E70" s="0" t="str">
        <f aca="false">IF(INDEX(campaigns!$A$2:$A$51,22)="","",INDEX(campaigns!$BW$2:$BW$51,22))</f>
        <v/>
      </c>
      <c r="F70" s="0" t="str">
        <f aca="false">IF(INDEX(campaigns!$A$2:$A$51,22)="","",INDEX(campaigns!$BO$2:$BO$51,22))</f>
        <v/>
      </c>
      <c r="G70" s="0" t="str">
        <f aca="false">IF(INDEX(campaigns!$A$2:$A$51,22)="","",INDEX(campaigns!$BP$2:$BP$51,22))</f>
        <v/>
      </c>
      <c r="H70" s="0" t="str">
        <f aca="false">IF(INDEX(campaigns!$A$2:$A$51,22)="","",INDEX(campaigns!$F$2:$F$51,22))</f>
        <v/>
      </c>
      <c r="I70" s="0" t="str">
        <f aca="false">IF(INDEX(campaigns!$A$2:$A$51,22)="","",INDEX(campaigns!$CB$2:$CB$51,22))</f>
        <v/>
      </c>
      <c r="J70" s="0" t="str">
        <f aca="false">IF(INDEX(campaigns!$A$2:$A$51,22)="","",INDEX(campaigns!$CD$2:$CD$51,22))</f>
        <v/>
      </c>
      <c r="K70" s="14" t="str">
        <f aca="false">IF(INDEX(campaigns!$A$2:$A$51,22)="","",INDEX(campaigns!$CE$2:$CE$51,22))</f>
        <v/>
      </c>
      <c r="L70" s="0" t="str">
        <f aca="false">IF(INDEX(campaigns!$A$2:$A$51,22)="","",INDEX(campaigns!$CF$2:$CF$51,22))</f>
        <v/>
      </c>
      <c r="M70" s="0" t="str">
        <f aca="false">IF(INDEX(campaigns!$A$2:$A$51,22)="","",INDEX(campaigns!$CG$2:$CG$51,22))</f>
        <v/>
      </c>
      <c r="N70" s="0" t="str">
        <f aca="false">IF(INDEX(campaigns!$A$2:$A$51,22)="","",INDEX(campaigns!$CH$2:$CH$51,22))</f>
        <v/>
      </c>
      <c r="O70" s="0" t="str">
        <f aca="false">IF(INDEX(campaigns!$A$2:$A$51,22)="","",INDEX(campaigns!$CI$2:$CI$51,22))</f>
        <v/>
      </c>
      <c r="P70" s="0" t="str">
        <f aca="false">IF(INDEX(campaigns!$A$2:$A$51,22)="","",INDEX(campaigns!$CK$2:$CK$51,22))</f>
        <v/>
      </c>
      <c r="Q70" s="13" t="str">
        <f aca="false">IF(INDEX(campaigns!$A$2:$A$51,22)="","",INDEX(campaigns!$CP$2:$CP$51,22))</f>
        <v/>
      </c>
      <c r="R70" s="0" t="str">
        <f aca="false">IF(INDEX(campaigns!$A$2:$A$51,22)="","",INDEX(campaigns!$CW$2:$CW$51,22))</f>
        <v/>
      </c>
      <c r="S70" s="0" t="str">
        <f aca="false">IF(INDEX(campaigns!$A$2:$A$51,22)="","",INDEX(campaigns!$CY$2:$CY$51,22))</f>
        <v/>
      </c>
      <c r="T70" s="12" t="str">
        <f aca="false">IF(INDEX(campaigns!$A$2:$A$51,22)="","",INDEX(campaigns!$DB$2:$DB$51,22))</f>
        <v/>
      </c>
      <c r="U70" s="12" t="str">
        <f aca="false">IF(INDEX(campaigns!$A$2:$A$51,22)="","",INDEX(campaigns!$DL$2:$DL$51,22))</f>
        <v/>
      </c>
      <c r="V70" s="0" t="str">
        <f aca="false">IF(INDEX(campaigns!$A$2:$A$51,22)="","",INDEX(campaigns!$DR$2:$DR$51,22))</f>
        <v/>
      </c>
      <c r="W70" s="0" t="str">
        <f aca="false">IF(INDEX(campaigns!$A$2:$A$51,22)="","",INDEX(campaigns!$DS$2:$DS$51,22))</f>
        <v/>
      </c>
      <c r="X70" s="0" t="str">
        <f aca="false">IF(INDEX(campaigns!$A$2:$A$51,22)="","",INDEX(campaigns!$DT$2:$DT$51,22))</f>
        <v/>
      </c>
      <c r="Y70" s="0" t="str">
        <f aca="false">IF(INDEX(campaigns!$A$2:$A$51,22)="","",INDEX(campaigns!$AV$2:$AV$51,22))</f>
        <v/>
      </c>
      <c r="Z70" s="0" t="str">
        <f aca="false">IF(INDEX(campaigns!$A$2:$A$51,22)="","",INDEX(campaigns!$DU$2:$DU$51,22))</f>
        <v/>
      </c>
    </row>
    <row r="71" customFormat="false" ht="15" hidden="false" customHeight="false" outlineLevel="0" collapsed="false">
      <c r="A71" s="0" t="str">
        <f aca="false">IF(INDEX(campaigns!$A$2:$A$51,23)="","",INDEX(campaigns!$A$2:$A$51,23))</f>
        <v/>
      </c>
      <c r="B71" s="0" t="str">
        <f aca="false">IF(INDEX(campaigns!$A$2:$A$51,23)="","",INDEX(campaigns!$BE$2:$BE$51,23))</f>
        <v/>
      </c>
      <c r="C71" s="11" t="str">
        <f aca="false">IF(INDEX(campaigns!$A$2:$A$51,23)="","",INDEX(campaigns!$BG$2:$BG$51,23))</f>
        <v/>
      </c>
      <c r="D71" s="0" t="str">
        <f aca="false">IF(INDEX(campaigns!$A$2:$A$51,23)="","",INDEX(campaigns!$D$2:$D$51,23))</f>
        <v/>
      </c>
      <c r="E71" s="0" t="str">
        <f aca="false">IF(INDEX(campaigns!$A$2:$A$51,23)="","",INDEX(campaigns!$BW$2:$BW$51,23))</f>
        <v/>
      </c>
      <c r="F71" s="0" t="str">
        <f aca="false">IF(INDEX(campaigns!$A$2:$A$51,23)="","",INDEX(campaigns!$BO$2:$BO$51,23))</f>
        <v/>
      </c>
      <c r="G71" s="0" t="str">
        <f aca="false">IF(INDEX(campaigns!$A$2:$A$51,23)="","",INDEX(campaigns!$BP$2:$BP$51,23))</f>
        <v/>
      </c>
      <c r="H71" s="0" t="str">
        <f aca="false">IF(INDEX(campaigns!$A$2:$A$51,23)="","",INDEX(campaigns!$F$2:$F$51,23))</f>
        <v/>
      </c>
      <c r="I71" s="0" t="str">
        <f aca="false">IF(INDEX(campaigns!$A$2:$A$51,23)="","",INDEX(campaigns!$CB$2:$CB$51,23))</f>
        <v/>
      </c>
      <c r="J71" s="0" t="str">
        <f aca="false">IF(INDEX(campaigns!$A$2:$A$51,23)="","",INDEX(campaigns!$CD$2:$CD$51,23))</f>
        <v/>
      </c>
      <c r="K71" s="14" t="str">
        <f aca="false">IF(INDEX(campaigns!$A$2:$A$51,23)="","",INDEX(campaigns!$CE$2:$CE$51,23))</f>
        <v/>
      </c>
      <c r="L71" s="0" t="str">
        <f aca="false">IF(INDEX(campaigns!$A$2:$A$51,23)="","",INDEX(campaigns!$CF$2:$CF$51,23))</f>
        <v/>
      </c>
      <c r="M71" s="0" t="str">
        <f aca="false">IF(INDEX(campaigns!$A$2:$A$51,23)="","",INDEX(campaigns!$CG$2:$CG$51,23))</f>
        <v/>
      </c>
      <c r="N71" s="0" t="str">
        <f aca="false">IF(INDEX(campaigns!$A$2:$A$51,23)="","",INDEX(campaigns!$CH$2:$CH$51,23))</f>
        <v/>
      </c>
      <c r="O71" s="0" t="str">
        <f aca="false">IF(INDEX(campaigns!$A$2:$A$51,23)="","",INDEX(campaigns!$CI$2:$CI$51,23))</f>
        <v/>
      </c>
      <c r="P71" s="0" t="str">
        <f aca="false">IF(INDEX(campaigns!$A$2:$A$51,23)="","",INDEX(campaigns!$CK$2:$CK$51,23))</f>
        <v/>
      </c>
      <c r="Q71" s="13" t="str">
        <f aca="false">IF(INDEX(campaigns!$A$2:$A$51,23)="","",INDEX(campaigns!$CP$2:$CP$51,23))</f>
        <v/>
      </c>
      <c r="R71" s="0" t="str">
        <f aca="false">IF(INDEX(campaigns!$A$2:$A$51,23)="","",INDEX(campaigns!$CW$2:$CW$51,23))</f>
        <v/>
      </c>
      <c r="S71" s="0" t="str">
        <f aca="false">IF(INDEX(campaigns!$A$2:$A$51,23)="","",INDEX(campaigns!$CY$2:$CY$51,23))</f>
        <v/>
      </c>
      <c r="T71" s="12" t="str">
        <f aca="false">IF(INDEX(campaigns!$A$2:$A$51,23)="","",INDEX(campaigns!$DB$2:$DB$51,23))</f>
        <v/>
      </c>
      <c r="U71" s="12" t="str">
        <f aca="false">IF(INDEX(campaigns!$A$2:$A$51,23)="","",INDEX(campaigns!$DL$2:$DL$51,23))</f>
        <v/>
      </c>
      <c r="V71" s="0" t="str">
        <f aca="false">IF(INDEX(campaigns!$A$2:$A$51,23)="","",INDEX(campaigns!$DR$2:$DR$51,23))</f>
        <v/>
      </c>
      <c r="W71" s="0" t="str">
        <f aca="false">IF(INDEX(campaigns!$A$2:$A$51,23)="","",INDEX(campaigns!$DS$2:$DS$51,23))</f>
        <v/>
      </c>
      <c r="X71" s="0" t="str">
        <f aca="false">IF(INDEX(campaigns!$A$2:$A$51,23)="","",INDEX(campaigns!$DT$2:$DT$51,23))</f>
        <v/>
      </c>
      <c r="Y71" s="0" t="str">
        <f aca="false">IF(INDEX(campaigns!$A$2:$A$51,23)="","",INDEX(campaigns!$AV$2:$AV$51,23))</f>
        <v/>
      </c>
      <c r="Z71" s="0" t="str">
        <f aca="false">IF(INDEX(campaigns!$A$2:$A$51,23)="","",INDEX(campaigns!$DU$2:$DU$51,23))</f>
        <v/>
      </c>
    </row>
    <row r="72" customFormat="false" ht="15" hidden="false" customHeight="false" outlineLevel="0" collapsed="false">
      <c r="A72" s="0" t="str">
        <f aca="false">IF(INDEX(campaigns!$A$2:$A$51,24)="","",INDEX(campaigns!$A$2:$A$51,24))</f>
        <v/>
      </c>
      <c r="B72" s="0" t="str">
        <f aca="false">IF(INDEX(campaigns!$A$2:$A$51,24)="","",INDEX(campaigns!$BE$2:$BE$51,24))</f>
        <v/>
      </c>
      <c r="C72" s="11" t="str">
        <f aca="false">IF(INDEX(campaigns!$A$2:$A$51,24)="","",INDEX(campaigns!$BG$2:$BG$51,24))</f>
        <v/>
      </c>
      <c r="D72" s="0" t="str">
        <f aca="false">IF(INDEX(campaigns!$A$2:$A$51,24)="","",INDEX(campaigns!$D$2:$D$51,24))</f>
        <v/>
      </c>
      <c r="E72" s="0" t="str">
        <f aca="false">IF(INDEX(campaigns!$A$2:$A$51,24)="","",INDEX(campaigns!$BW$2:$BW$51,24))</f>
        <v/>
      </c>
      <c r="F72" s="0" t="str">
        <f aca="false">IF(INDEX(campaigns!$A$2:$A$51,24)="","",INDEX(campaigns!$BO$2:$BO$51,24))</f>
        <v/>
      </c>
      <c r="G72" s="0" t="str">
        <f aca="false">IF(INDEX(campaigns!$A$2:$A$51,24)="","",INDEX(campaigns!$BP$2:$BP$51,24))</f>
        <v/>
      </c>
      <c r="H72" s="0" t="str">
        <f aca="false">IF(INDEX(campaigns!$A$2:$A$51,24)="","",INDEX(campaigns!$F$2:$F$51,24))</f>
        <v/>
      </c>
      <c r="I72" s="0" t="str">
        <f aca="false">IF(INDEX(campaigns!$A$2:$A$51,24)="","",INDEX(campaigns!$CB$2:$CB$51,24))</f>
        <v/>
      </c>
      <c r="J72" s="0" t="str">
        <f aca="false">IF(INDEX(campaigns!$A$2:$A$51,24)="","",INDEX(campaigns!$CD$2:$CD$51,24))</f>
        <v/>
      </c>
      <c r="K72" s="14" t="str">
        <f aca="false">IF(INDEX(campaigns!$A$2:$A$51,24)="","",INDEX(campaigns!$CE$2:$CE$51,24))</f>
        <v/>
      </c>
      <c r="L72" s="0" t="str">
        <f aca="false">IF(INDEX(campaigns!$A$2:$A$51,24)="","",INDEX(campaigns!$CF$2:$CF$51,24))</f>
        <v/>
      </c>
      <c r="M72" s="0" t="str">
        <f aca="false">IF(INDEX(campaigns!$A$2:$A$51,24)="","",INDEX(campaigns!$CG$2:$CG$51,24))</f>
        <v/>
      </c>
      <c r="N72" s="0" t="str">
        <f aca="false">IF(INDEX(campaigns!$A$2:$A$51,24)="","",INDEX(campaigns!$CH$2:$CH$51,24))</f>
        <v/>
      </c>
      <c r="O72" s="0" t="str">
        <f aca="false">IF(INDEX(campaigns!$A$2:$A$51,24)="","",INDEX(campaigns!$CI$2:$CI$51,24))</f>
        <v/>
      </c>
      <c r="P72" s="0" t="str">
        <f aca="false">IF(INDEX(campaigns!$A$2:$A$51,24)="","",INDEX(campaigns!$CK$2:$CK$51,24))</f>
        <v/>
      </c>
      <c r="Q72" s="13" t="str">
        <f aca="false">IF(INDEX(campaigns!$A$2:$A$51,24)="","",INDEX(campaigns!$CP$2:$CP$51,24))</f>
        <v/>
      </c>
      <c r="R72" s="0" t="str">
        <f aca="false">IF(INDEX(campaigns!$A$2:$A$51,24)="","",INDEX(campaigns!$CW$2:$CW$51,24))</f>
        <v/>
      </c>
      <c r="S72" s="0" t="str">
        <f aca="false">IF(INDEX(campaigns!$A$2:$A$51,24)="","",INDEX(campaigns!$CY$2:$CY$51,24))</f>
        <v/>
      </c>
      <c r="T72" s="12" t="str">
        <f aca="false">IF(INDEX(campaigns!$A$2:$A$51,24)="","",INDEX(campaigns!$DB$2:$DB$51,24))</f>
        <v/>
      </c>
      <c r="U72" s="12" t="str">
        <f aca="false">IF(INDEX(campaigns!$A$2:$A$51,24)="","",INDEX(campaigns!$DL$2:$DL$51,24))</f>
        <v/>
      </c>
      <c r="V72" s="0" t="str">
        <f aca="false">IF(INDEX(campaigns!$A$2:$A$51,24)="","",INDEX(campaigns!$DR$2:$DR$51,24))</f>
        <v/>
      </c>
      <c r="W72" s="0" t="str">
        <f aca="false">IF(INDEX(campaigns!$A$2:$A$51,24)="","",INDEX(campaigns!$DS$2:$DS$51,24))</f>
        <v/>
      </c>
      <c r="X72" s="0" t="str">
        <f aca="false">IF(INDEX(campaigns!$A$2:$A$51,24)="","",INDEX(campaigns!$DT$2:$DT$51,24))</f>
        <v/>
      </c>
      <c r="Y72" s="0" t="str">
        <f aca="false">IF(INDEX(campaigns!$A$2:$A$51,24)="","",INDEX(campaigns!$AV$2:$AV$51,24))</f>
        <v/>
      </c>
      <c r="Z72" s="0" t="str">
        <f aca="false">IF(INDEX(campaigns!$A$2:$A$51,24)="","",INDEX(campaigns!$DU$2:$DU$51,24))</f>
        <v/>
      </c>
    </row>
    <row r="73" customFormat="false" ht="15" hidden="false" customHeight="false" outlineLevel="0" collapsed="false">
      <c r="A73" s="0" t="str">
        <f aca="false">IF(INDEX(campaigns!$A$2:$A$51,25)="","",INDEX(campaigns!$A$2:$A$51,25))</f>
        <v/>
      </c>
      <c r="B73" s="0" t="str">
        <f aca="false">IF(INDEX(campaigns!$A$2:$A$51,25)="","",INDEX(campaigns!$BE$2:$BE$51,25))</f>
        <v/>
      </c>
      <c r="C73" s="11" t="str">
        <f aca="false">IF(INDEX(campaigns!$A$2:$A$51,25)="","",INDEX(campaigns!$BG$2:$BG$51,25))</f>
        <v/>
      </c>
      <c r="D73" s="0" t="str">
        <f aca="false">IF(INDEX(campaigns!$A$2:$A$51,25)="","",INDEX(campaigns!$D$2:$D$51,25))</f>
        <v/>
      </c>
      <c r="E73" s="0" t="str">
        <f aca="false">IF(INDEX(campaigns!$A$2:$A$51,25)="","",INDEX(campaigns!$BW$2:$BW$51,25))</f>
        <v/>
      </c>
      <c r="F73" s="0" t="str">
        <f aca="false">IF(INDEX(campaigns!$A$2:$A$51,25)="","",INDEX(campaigns!$BO$2:$BO$51,25))</f>
        <v/>
      </c>
      <c r="G73" s="0" t="str">
        <f aca="false">IF(INDEX(campaigns!$A$2:$A$51,25)="","",INDEX(campaigns!$BP$2:$BP$51,25))</f>
        <v/>
      </c>
      <c r="H73" s="0" t="str">
        <f aca="false">IF(INDEX(campaigns!$A$2:$A$51,25)="","",INDEX(campaigns!$F$2:$F$51,25))</f>
        <v/>
      </c>
      <c r="I73" s="0" t="str">
        <f aca="false">IF(INDEX(campaigns!$A$2:$A$51,25)="","",INDEX(campaigns!$CB$2:$CB$51,25))</f>
        <v/>
      </c>
      <c r="J73" s="0" t="str">
        <f aca="false">IF(INDEX(campaigns!$A$2:$A$51,25)="","",INDEX(campaigns!$CD$2:$CD$51,25))</f>
        <v/>
      </c>
      <c r="K73" s="14" t="str">
        <f aca="false">IF(INDEX(campaigns!$A$2:$A$51,25)="","",INDEX(campaigns!$CE$2:$CE$51,25))</f>
        <v/>
      </c>
      <c r="L73" s="0" t="str">
        <f aca="false">IF(INDEX(campaigns!$A$2:$A$51,25)="","",INDEX(campaigns!$CF$2:$CF$51,25))</f>
        <v/>
      </c>
      <c r="M73" s="0" t="str">
        <f aca="false">IF(INDEX(campaigns!$A$2:$A$51,25)="","",INDEX(campaigns!$CG$2:$CG$51,25))</f>
        <v/>
      </c>
      <c r="N73" s="0" t="str">
        <f aca="false">IF(INDEX(campaigns!$A$2:$A$51,25)="","",INDEX(campaigns!$CH$2:$CH$51,25))</f>
        <v/>
      </c>
      <c r="O73" s="0" t="str">
        <f aca="false">IF(INDEX(campaigns!$A$2:$A$51,25)="","",INDEX(campaigns!$CI$2:$CI$51,25))</f>
        <v/>
      </c>
      <c r="P73" s="0" t="str">
        <f aca="false">IF(INDEX(campaigns!$A$2:$A$51,25)="","",INDEX(campaigns!$CK$2:$CK$51,25))</f>
        <v/>
      </c>
      <c r="Q73" s="13" t="str">
        <f aca="false">IF(INDEX(campaigns!$A$2:$A$51,25)="","",INDEX(campaigns!$CP$2:$CP$51,25))</f>
        <v/>
      </c>
      <c r="R73" s="0" t="str">
        <f aca="false">IF(INDEX(campaigns!$A$2:$A$51,25)="","",INDEX(campaigns!$CW$2:$CW$51,25))</f>
        <v/>
      </c>
      <c r="S73" s="0" t="str">
        <f aca="false">IF(INDEX(campaigns!$A$2:$A$51,25)="","",INDEX(campaigns!$CY$2:$CY$51,25))</f>
        <v/>
      </c>
      <c r="T73" s="12" t="str">
        <f aca="false">IF(INDEX(campaigns!$A$2:$A$51,25)="","",INDEX(campaigns!$DB$2:$DB$51,25))</f>
        <v/>
      </c>
      <c r="U73" s="12" t="str">
        <f aca="false">IF(INDEX(campaigns!$A$2:$A$51,25)="","",INDEX(campaigns!$DL$2:$DL$51,25))</f>
        <v/>
      </c>
      <c r="V73" s="0" t="str">
        <f aca="false">IF(INDEX(campaigns!$A$2:$A$51,25)="","",INDEX(campaigns!$DR$2:$DR$51,25))</f>
        <v/>
      </c>
      <c r="W73" s="0" t="str">
        <f aca="false">IF(INDEX(campaigns!$A$2:$A$51,25)="","",INDEX(campaigns!$DS$2:$DS$51,25))</f>
        <v/>
      </c>
      <c r="X73" s="0" t="str">
        <f aca="false">IF(INDEX(campaigns!$A$2:$A$51,25)="","",INDEX(campaigns!$DT$2:$DT$51,25))</f>
        <v/>
      </c>
      <c r="Y73" s="0" t="str">
        <f aca="false">IF(INDEX(campaigns!$A$2:$A$51,25)="","",INDEX(campaigns!$AV$2:$AV$51,25))</f>
        <v/>
      </c>
      <c r="Z73" s="0" t="str">
        <f aca="false">IF(INDEX(campaigns!$A$2:$A$51,25)="","",INDEX(campaigns!$DU$2:$DU$51,25))</f>
        <v/>
      </c>
    </row>
    <row r="74" customFormat="false" ht="15" hidden="false" customHeight="false" outlineLevel="0" collapsed="false">
      <c r="A74" s="0" t="str">
        <f aca="false">IF(INDEX(campaigns!$A$2:$A$51,26)="","",INDEX(campaigns!$A$2:$A$51,26))</f>
        <v/>
      </c>
      <c r="B74" s="0" t="str">
        <f aca="false">IF(INDEX(campaigns!$A$2:$A$51,26)="","",INDEX(campaigns!$BE$2:$BE$51,26))</f>
        <v/>
      </c>
      <c r="C74" s="11" t="str">
        <f aca="false">IF(INDEX(campaigns!$A$2:$A$51,26)="","",INDEX(campaigns!$BG$2:$BG$51,26))</f>
        <v/>
      </c>
      <c r="D74" s="0" t="str">
        <f aca="false">IF(INDEX(campaigns!$A$2:$A$51,26)="","",INDEX(campaigns!$D$2:$D$51,26))</f>
        <v/>
      </c>
      <c r="E74" s="0" t="str">
        <f aca="false">IF(INDEX(campaigns!$A$2:$A$51,26)="","",INDEX(campaigns!$BW$2:$BW$51,26))</f>
        <v/>
      </c>
      <c r="F74" s="0" t="str">
        <f aca="false">IF(INDEX(campaigns!$A$2:$A$51,26)="","",INDEX(campaigns!$BO$2:$BO$51,26))</f>
        <v/>
      </c>
      <c r="G74" s="0" t="str">
        <f aca="false">IF(INDEX(campaigns!$A$2:$A$51,26)="","",INDEX(campaigns!$BP$2:$BP$51,26))</f>
        <v/>
      </c>
      <c r="H74" s="0" t="str">
        <f aca="false">IF(INDEX(campaigns!$A$2:$A$51,26)="","",INDEX(campaigns!$F$2:$F$51,26))</f>
        <v/>
      </c>
      <c r="I74" s="0" t="str">
        <f aca="false">IF(INDEX(campaigns!$A$2:$A$51,26)="","",INDEX(campaigns!$CB$2:$CB$51,26))</f>
        <v/>
      </c>
      <c r="J74" s="0" t="str">
        <f aca="false">IF(INDEX(campaigns!$A$2:$A$51,26)="","",INDEX(campaigns!$CD$2:$CD$51,26))</f>
        <v/>
      </c>
      <c r="K74" s="14" t="str">
        <f aca="false">IF(INDEX(campaigns!$A$2:$A$51,26)="","",INDEX(campaigns!$CE$2:$CE$51,26))</f>
        <v/>
      </c>
      <c r="L74" s="0" t="str">
        <f aca="false">IF(INDEX(campaigns!$A$2:$A$51,26)="","",INDEX(campaigns!$CF$2:$CF$51,26))</f>
        <v/>
      </c>
      <c r="M74" s="0" t="str">
        <f aca="false">IF(INDEX(campaigns!$A$2:$A$51,26)="","",INDEX(campaigns!$CG$2:$CG$51,26))</f>
        <v/>
      </c>
      <c r="N74" s="0" t="str">
        <f aca="false">IF(INDEX(campaigns!$A$2:$A$51,26)="","",INDEX(campaigns!$CH$2:$CH$51,26))</f>
        <v/>
      </c>
      <c r="O74" s="0" t="str">
        <f aca="false">IF(INDEX(campaigns!$A$2:$A$51,26)="","",INDEX(campaigns!$CI$2:$CI$51,26))</f>
        <v/>
      </c>
      <c r="P74" s="0" t="str">
        <f aca="false">IF(INDEX(campaigns!$A$2:$A$51,26)="","",INDEX(campaigns!$CK$2:$CK$51,26))</f>
        <v/>
      </c>
      <c r="Q74" s="13" t="str">
        <f aca="false">IF(INDEX(campaigns!$A$2:$A$51,26)="","",INDEX(campaigns!$CP$2:$CP$51,26))</f>
        <v/>
      </c>
      <c r="R74" s="0" t="str">
        <f aca="false">IF(INDEX(campaigns!$A$2:$A$51,26)="","",INDEX(campaigns!$CW$2:$CW$51,26))</f>
        <v/>
      </c>
      <c r="S74" s="0" t="str">
        <f aca="false">IF(INDEX(campaigns!$A$2:$A$51,26)="","",INDEX(campaigns!$CY$2:$CY$51,26))</f>
        <v/>
      </c>
      <c r="T74" s="12" t="str">
        <f aca="false">IF(INDEX(campaigns!$A$2:$A$51,26)="","",INDEX(campaigns!$DB$2:$DB$51,26))</f>
        <v/>
      </c>
      <c r="U74" s="12" t="str">
        <f aca="false">IF(INDEX(campaigns!$A$2:$A$51,26)="","",INDEX(campaigns!$DL$2:$DL$51,26))</f>
        <v/>
      </c>
      <c r="V74" s="0" t="str">
        <f aca="false">IF(INDEX(campaigns!$A$2:$A$51,26)="","",INDEX(campaigns!$DR$2:$DR$51,26))</f>
        <v/>
      </c>
      <c r="W74" s="0" t="str">
        <f aca="false">IF(INDEX(campaigns!$A$2:$A$51,26)="","",INDEX(campaigns!$DS$2:$DS$51,26))</f>
        <v/>
      </c>
      <c r="X74" s="0" t="str">
        <f aca="false">IF(INDEX(campaigns!$A$2:$A$51,26)="","",INDEX(campaigns!$DT$2:$DT$51,26))</f>
        <v/>
      </c>
      <c r="Y74" s="0" t="str">
        <f aca="false">IF(INDEX(campaigns!$A$2:$A$51,26)="","",INDEX(campaigns!$AV$2:$AV$51,26))</f>
        <v/>
      </c>
      <c r="Z74" s="0" t="str">
        <f aca="false">IF(INDEX(campaigns!$A$2:$A$51,26)="","",INDEX(campaigns!$DU$2:$DU$51,26))</f>
        <v/>
      </c>
    </row>
    <row r="75" customFormat="false" ht="15" hidden="false" customHeight="false" outlineLevel="0" collapsed="false">
      <c r="A75" s="0" t="str">
        <f aca="false">IF(INDEX(campaigns!$A$2:$A$51,27)="","",INDEX(campaigns!$A$2:$A$51,27))</f>
        <v/>
      </c>
      <c r="B75" s="0" t="str">
        <f aca="false">IF(INDEX(campaigns!$A$2:$A$51,27)="","",INDEX(campaigns!$BE$2:$BE$51,27))</f>
        <v/>
      </c>
      <c r="C75" s="11" t="str">
        <f aca="false">IF(INDEX(campaigns!$A$2:$A$51,27)="","",INDEX(campaigns!$BG$2:$BG$51,27))</f>
        <v/>
      </c>
      <c r="D75" s="0" t="str">
        <f aca="false">IF(INDEX(campaigns!$A$2:$A$51,27)="","",INDEX(campaigns!$D$2:$D$51,27))</f>
        <v/>
      </c>
      <c r="E75" s="0" t="str">
        <f aca="false">IF(INDEX(campaigns!$A$2:$A$51,27)="","",INDEX(campaigns!$BW$2:$BW$51,27))</f>
        <v/>
      </c>
      <c r="F75" s="0" t="str">
        <f aca="false">IF(INDEX(campaigns!$A$2:$A$51,27)="","",INDEX(campaigns!$BO$2:$BO$51,27))</f>
        <v/>
      </c>
      <c r="G75" s="0" t="str">
        <f aca="false">IF(INDEX(campaigns!$A$2:$A$51,27)="","",INDEX(campaigns!$BP$2:$BP$51,27))</f>
        <v/>
      </c>
      <c r="H75" s="0" t="str">
        <f aca="false">IF(INDEX(campaigns!$A$2:$A$51,27)="","",INDEX(campaigns!$F$2:$F$51,27))</f>
        <v/>
      </c>
      <c r="I75" s="0" t="str">
        <f aca="false">IF(INDEX(campaigns!$A$2:$A$51,27)="","",INDEX(campaigns!$CB$2:$CB$51,27))</f>
        <v/>
      </c>
      <c r="J75" s="0" t="str">
        <f aca="false">IF(INDEX(campaigns!$A$2:$A$51,27)="","",INDEX(campaigns!$CD$2:$CD$51,27))</f>
        <v/>
      </c>
      <c r="K75" s="14" t="str">
        <f aca="false">IF(INDEX(campaigns!$A$2:$A$51,27)="","",INDEX(campaigns!$CE$2:$CE$51,27))</f>
        <v/>
      </c>
      <c r="L75" s="0" t="str">
        <f aca="false">IF(INDEX(campaigns!$A$2:$A$51,27)="","",INDEX(campaigns!$CF$2:$CF$51,27))</f>
        <v/>
      </c>
      <c r="M75" s="0" t="str">
        <f aca="false">IF(INDEX(campaigns!$A$2:$A$51,27)="","",INDEX(campaigns!$CG$2:$CG$51,27))</f>
        <v/>
      </c>
      <c r="N75" s="0" t="str">
        <f aca="false">IF(INDEX(campaigns!$A$2:$A$51,27)="","",INDEX(campaigns!$CH$2:$CH$51,27))</f>
        <v/>
      </c>
      <c r="O75" s="0" t="str">
        <f aca="false">IF(INDEX(campaigns!$A$2:$A$51,27)="","",INDEX(campaigns!$CI$2:$CI$51,27))</f>
        <v/>
      </c>
      <c r="P75" s="0" t="str">
        <f aca="false">IF(INDEX(campaigns!$A$2:$A$51,27)="","",INDEX(campaigns!$CK$2:$CK$51,27))</f>
        <v/>
      </c>
      <c r="Q75" s="13" t="str">
        <f aca="false">IF(INDEX(campaigns!$A$2:$A$51,27)="","",INDEX(campaigns!$CP$2:$CP$51,27))</f>
        <v/>
      </c>
      <c r="R75" s="0" t="str">
        <f aca="false">IF(INDEX(campaigns!$A$2:$A$51,27)="","",INDEX(campaigns!$CW$2:$CW$51,27))</f>
        <v/>
      </c>
      <c r="S75" s="0" t="str">
        <f aca="false">IF(INDEX(campaigns!$A$2:$A$51,27)="","",INDEX(campaigns!$CY$2:$CY$51,27))</f>
        <v/>
      </c>
      <c r="T75" s="12" t="str">
        <f aca="false">IF(INDEX(campaigns!$A$2:$A$51,27)="","",INDEX(campaigns!$DB$2:$DB$51,27))</f>
        <v/>
      </c>
      <c r="U75" s="12" t="str">
        <f aca="false">IF(INDEX(campaigns!$A$2:$A$51,27)="","",INDEX(campaigns!$DL$2:$DL$51,27))</f>
        <v/>
      </c>
      <c r="V75" s="0" t="str">
        <f aca="false">IF(INDEX(campaigns!$A$2:$A$51,27)="","",INDEX(campaigns!$DR$2:$DR$51,27))</f>
        <v/>
      </c>
      <c r="W75" s="0" t="str">
        <f aca="false">IF(INDEX(campaigns!$A$2:$A$51,27)="","",INDEX(campaigns!$DS$2:$DS$51,27))</f>
        <v/>
      </c>
      <c r="X75" s="0" t="str">
        <f aca="false">IF(INDEX(campaigns!$A$2:$A$51,27)="","",INDEX(campaigns!$DT$2:$DT$51,27))</f>
        <v/>
      </c>
      <c r="Y75" s="0" t="str">
        <f aca="false">IF(INDEX(campaigns!$A$2:$A$51,27)="","",INDEX(campaigns!$AV$2:$AV$51,27))</f>
        <v/>
      </c>
      <c r="Z75" s="0" t="str">
        <f aca="false">IF(INDEX(campaigns!$A$2:$A$51,27)="","",INDEX(campaigns!$DU$2:$DU$51,27))</f>
        <v/>
      </c>
    </row>
    <row r="76" customFormat="false" ht="15" hidden="false" customHeight="false" outlineLevel="0" collapsed="false">
      <c r="A76" s="0" t="str">
        <f aca="false">IF(INDEX(campaigns!$A$2:$A$51,28)="","",INDEX(campaigns!$A$2:$A$51,28))</f>
        <v/>
      </c>
      <c r="B76" s="0" t="str">
        <f aca="false">IF(INDEX(campaigns!$A$2:$A$51,28)="","",INDEX(campaigns!$BE$2:$BE$51,28))</f>
        <v/>
      </c>
      <c r="C76" s="11" t="str">
        <f aca="false">IF(INDEX(campaigns!$A$2:$A$51,28)="","",INDEX(campaigns!$BG$2:$BG$51,28))</f>
        <v/>
      </c>
      <c r="D76" s="0" t="str">
        <f aca="false">IF(INDEX(campaigns!$A$2:$A$51,28)="","",INDEX(campaigns!$D$2:$D$51,28))</f>
        <v/>
      </c>
      <c r="E76" s="0" t="str">
        <f aca="false">IF(INDEX(campaigns!$A$2:$A$51,28)="","",INDEX(campaigns!$BW$2:$BW$51,28))</f>
        <v/>
      </c>
      <c r="F76" s="0" t="str">
        <f aca="false">IF(INDEX(campaigns!$A$2:$A$51,28)="","",INDEX(campaigns!$BO$2:$BO$51,28))</f>
        <v/>
      </c>
      <c r="G76" s="0" t="str">
        <f aca="false">IF(INDEX(campaigns!$A$2:$A$51,28)="","",INDEX(campaigns!$BP$2:$BP$51,28))</f>
        <v/>
      </c>
      <c r="H76" s="0" t="str">
        <f aca="false">IF(INDEX(campaigns!$A$2:$A$51,28)="","",INDEX(campaigns!$F$2:$F$51,28))</f>
        <v/>
      </c>
      <c r="I76" s="0" t="str">
        <f aca="false">IF(INDEX(campaigns!$A$2:$A$51,28)="","",INDEX(campaigns!$CB$2:$CB$51,28))</f>
        <v/>
      </c>
      <c r="J76" s="0" t="str">
        <f aca="false">IF(INDEX(campaigns!$A$2:$A$51,28)="","",INDEX(campaigns!$CD$2:$CD$51,28))</f>
        <v/>
      </c>
      <c r="K76" s="14" t="str">
        <f aca="false">IF(INDEX(campaigns!$A$2:$A$51,28)="","",INDEX(campaigns!$CE$2:$CE$51,28))</f>
        <v/>
      </c>
      <c r="L76" s="0" t="str">
        <f aca="false">IF(INDEX(campaigns!$A$2:$A$51,28)="","",INDEX(campaigns!$CF$2:$CF$51,28))</f>
        <v/>
      </c>
      <c r="M76" s="0" t="str">
        <f aca="false">IF(INDEX(campaigns!$A$2:$A$51,28)="","",INDEX(campaigns!$CG$2:$CG$51,28))</f>
        <v/>
      </c>
      <c r="N76" s="0" t="str">
        <f aca="false">IF(INDEX(campaigns!$A$2:$A$51,28)="","",INDEX(campaigns!$CH$2:$CH$51,28))</f>
        <v/>
      </c>
      <c r="O76" s="0" t="str">
        <f aca="false">IF(INDEX(campaigns!$A$2:$A$51,28)="","",INDEX(campaigns!$CI$2:$CI$51,28))</f>
        <v/>
      </c>
      <c r="P76" s="0" t="str">
        <f aca="false">IF(INDEX(campaigns!$A$2:$A$51,28)="","",INDEX(campaigns!$CK$2:$CK$51,28))</f>
        <v/>
      </c>
      <c r="Q76" s="13" t="str">
        <f aca="false">IF(INDEX(campaigns!$A$2:$A$51,28)="","",INDEX(campaigns!$CP$2:$CP$51,28))</f>
        <v/>
      </c>
      <c r="R76" s="0" t="str">
        <f aca="false">IF(INDEX(campaigns!$A$2:$A$51,28)="","",INDEX(campaigns!$CW$2:$CW$51,28))</f>
        <v/>
      </c>
      <c r="S76" s="0" t="str">
        <f aca="false">IF(INDEX(campaigns!$A$2:$A$51,28)="","",INDEX(campaigns!$CY$2:$CY$51,28))</f>
        <v/>
      </c>
      <c r="T76" s="12" t="str">
        <f aca="false">IF(INDEX(campaigns!$A$2:$A$51,28)="","",INDEX(campaigns!$DB$2:$DB$51,28))</f>
        <v/>
      </c>
      <c r="U76" s="12" t="str">
        <f aca="false">IF(INDEX(campaigns!$A$2:$A$51,28)="","",INDEX(campaigns!$DL$2:$DL$51,28))</f>
        <v/>
      </c>
      <c r="V76" s="0" t="str">
        <f aca="false">IF(INDEX(campaigns!$A$2:$A$51,28)="","",INDEX(campaigns!$DR$2:$DR$51,28))</f>
        <v/>
      </c>
      <c r="W76" s="0" t="str">
        <f aca="false">IF(INDEX(campaigns!$A$2:$A$51,28)="","",INDEX(campaigns!$DS$2:$DS$51,28))</f>
        <v/>
      </c>
      <c r="X76" s="0" t="str">
        <f aca="false">IF(INDEX(campaigns!$A$2:$A$51,28)="","",INDEX(campaigns!$DT$2:$DT$51,28))</f>
        <v/>
      </c>
      <c r="Y76" s="0" t="str">
        <f aca="false">IF(INDEX(campaigns!$A$2:$A$51,28)="","",INDEX(campaigns!$AV$2:$AV$51,28))</f>
        <v/>
      </c>
      <c r="Z76" s="0" t="str">
        <f aca="false">IF(INDEX(campaigns!$A$2:$A$51,28)="","",INDEX(campaigns!$DU$2:$DU$51,28))</f>
        <v/>
      </c>
    </row>
    <row r="77" customFormat="false" ht="15" hidden="false" customHeight="false" outlineLevel="0" collapsed="false">
      <c r="A77" s="0" t="str">
        <f aca="false">IF(INDEX(campaigns!$A$2:$A$51,29)="","",INDEX(campaigns!$A$2:$A$51,29))</f>
        <v/>
      </c>
      <c r="B77" s="0" t="str">
        <f aca="false">IF(INDEX(campaigns!$A$2:$A$51,29)="","",INDEX(campaigns!$BE$2:$BE$51,29))</f>
        <v/>
      </c>
      <c r="C77" s="11" t="str">
        <f aca="false">IF(INDEX(campaigns!$A$2:$A$51,29)="","",INDEX(campaigns!$BG$2:$BG$51,29))</f>
        <v/>
      </c>
      <c r="D77" s="0" t="str">
        <f aca="false">IF(INDEX(campaigns!$A$2:$A$51,29)="","",INDEX(campaigns!$D$2:$D$51,29))</f>
        <v/>
      </c>
      <c r="E77" s="0" t="str">
        <f aca="false">IF(INDEX(campaigns!$A$2:$A$51,29)="","",INDEX(campaigns!$BW$2:$BW$51,29))</f>
        <v/>
      </c>
      <c r="F77" s="0" t="str">
        <f aca="false">IF(INDEX(campaigns!$A$2:$A$51,29)="","",INDEX(campaigns!$BO$2:$BO$51,29))</f>
        <v/>
      </c>
      <c r="G77" s="0" t="str">
        <f aca="false">IF(INDEX(campaigns!$A$2:$A$51,29)="","",INDEX(campaigns!$BP$2:$BP$51,29))</f>
        <v/>
      </c>
      <c r="H77" s="0" t="str">
        <f aca="false">IF(INDEX(campaigns!$A$2:$A$51,29)="","",INDEX(campaigns!$F$2:$F$51,29))</f>
        <v/>
      </c>
      <c r="I77" s="0" t="str">
        <f aca="false">IF(INDEX(campaigns!$A$2:$A$51,29)="","",INDEX(campaigns!$CB$2:$CB$51,29))</f>
        <v/>
      </c>
      <c r="J77" s="0" t="str">
        <f aca="false">IF(INDEX(campaigns!$A$2:$A$51,29)="","",INDEX(campaigns!$CD$2:$CD$51,29))</f>
        <v/>
      </c>
      <c r="K77" s="14" t="str">
        <f aca="false">IF(INDEX(campaigns!$A$2:$A$51,29)="","",INDEX(campaigns!$CE$2:$CE$51,29))</f>
        <v/>
      </c>
      <c r="L77" s="0" t="str">
        <f aca="false">IF(INDEX(campaigns!$A$2:$A$51,29)="","",INDEX(campaigns!$CF$2:$CF$51,29))</f>
        <v/>
      </c>
      <c r="M77" s="0" t="str">
        <f aca="false">IF(INDEX(campaigns!$A$2:$A$51,29)="","",INDEX(campaigns!$CG$2:$CG$51,29))</f>
        <v/>
      </c>
      <c r="N77" s="0" t="str">
        <f aca="false">IF(INDEX(campaigns!$A$2:$A$51,29)="","",INDEX(campaigns!$CH$2:$CH$51,29))</f>
        <v/>
      </c>
      <c r="O77" s="0" t="str">
        <f aca="false">IF(INDEX(campaigns!$A$2:$A$51,29)="","",INDEX(campaigns!$CI$2:$CI$51,29))</f>
        <v/>
      </c>
      <c r="P77" s="0" t="str">
        <f aca="false">IF(INDEX(campaigns!$A$2:$A$51,29)="","",INDEX(campaigns!$CK$2:$CK$51,29))</f>
        <v/>
      </c>
      <c r="Q77" s="13" t="str">
        <f aca="false">IF(INDEX(campaigns!$A$2:$A$51,29)="","",INDEX(campaigns!$CP$2:$CP$51,29))</f>
        <v/>
      </c>
      <c r="R77" s="0" t="str">
        <f aca="false">IF(INDEX(campaigns!$A$2:$A$51,29)="","",INDEX(campaigns!$CW$2:$CW$51,29))</f>
        <v/>
      </c>
      <c r="S77" s="0" t="str">
        <f aca="false">IF(INDEX(campaigns!$A$2:$A$51,29)="","",INDEX(campaigns!$CY$2:$CY$51,29))</f>
        <v/>
      </c>
      <c r="T77" s="12" t="str">
        <f aca="false">IF(INDEX(campaigns!$A$2:$A$51,29)="","",INDEX(campaigns!$DB$2:$DB$51,29))</f>
        <v/>
      </c>
      <c r="U77" s="12" t="str">
        <f aca="false">IF(INDEX(campaigns!$A$2:$A$51,29)="","",INDEX(campaigns!$DL$2:$DL$51,29))</f>
        <v/>
      </c>
      <c r="V77" s="0" t="str">
        <f aca="false">IF(INDEX(campaigns!$A$2:$A$51,29)="","",INDEX(campaigns!$DR$2:$DR$51,29))</f>
        <v/>
      </c>
      <c r="W77" s="0" t="str">
        <f aca="false">IF(INDEX(campaigns!$A$2:$A$51,29)="","",INDEX(campaigns!$DS$2:$DS$51,29))</f>
        <v/>
      </c>
      <c r="X77" s="0" t="str">
        <f aca="false">IF(INDEX(campaigns!$A$2:$A$51,29)="","",INDEX(campaigns!$DT$2:$DT$51,29))</f>
        <v/>
      </c>
      <c r="Y77" s="0" t="str">
        <f aca="false">IF(INDEX(campaigns!$A$2:$A$51,29)="","",INDEX(campaigns!$AV$2:$AV$51,29))</f>
        <v/>
      </c>
      <c r="Z77" s="0" t="str">
        <f aca="false">IF(INDEX(campaigns!$A$2:$A$51,29)="","",INDEX(campaigns!$DU$2:$DU$51,29))</f>
        <v/>
      </c>
    </row>
    <row r="78" customFormat="false" ht="15" hidden="false" customHeight="false" outlineLevel="0" collapsed="false">
      <c r="A78" s="0" t="str">
        <f aca="false">IF(INDEX(campaigns!$A$2:$A$51,30)="","",INDEX(campaigns!$A$2:$A$51,30))</f>
        <v/>
      </c>
      <c r="B78" s="0" t="str">
        <f aca="false">IF(INDEX(campaigns!$A$2:$A$51,30)="","",INDEX(campaigns!$BE$2:$BE$51,30))</f>
        <v/>
      </c>
      <c r="C78" s="11" t="str">
        <f aca="false">IF(INDEX(campaigns!$A$2:$A$51,30)="","",INDEX(campaigns!$BG$2:$BG$51,30))</f>
        <v/>
      </c>
      <c r="D78" s="0" t="str">
        <f aca="false">IF(INDEX(campaigns!$A$2:$A$51,30)="","",INDEX(campaigns!$D$2:$D$51,30))</f>
        <v/>
      </c>
      <c r="E78" s="0" t="str">
        <f aca="false">IF(INDEX(campaigns!$A$2:$A$51,30)="","",INDEX(campaigns!$BW$2:$BW$51,30))</f>
        <v/>
      </c>
      <c r="F78" s="0" t="str">
        <f aca="false">IF(INDEX(campaigns!$A$2:$A$51,30)="","",INDEX(campaigns!$BO$2:$BO$51,30))</f>
        <v/>
      </c>
      <c r="G78" s="0" t="str">
        <f aca="false">IF(INDEX(campaigns!$A$2:$A$51,30)="","",INDEX(campaigns!$BP$2:$BP$51,30))</f>
        <v/>
      </c>
      <c r="H78" s="0" t="str">
        <f aca="false">IF(INDEX(campaigns!$A$2:$A$51,30)="","",INDEX(campaigns!$F$2:$F$51,30))</f>
        <v/>
      </c>
      <c r="I78" s="0" t="str">
        <f aca="false">IF(INDEX(campaigns!$A$2:$A$51,30)="","",INDEX(campaigns!$CB$2:$CB$51,30))</f>
        <v/>
      </c>
      <c r="J78" s="0" t="str">
        <f aca="false">IF(INDEX(campaigns!$A$2:$A$51,30)="","",INDEX(campaigns!$CD$2:$CD$51,30))</f>
        <v/>
      </c>
      <c r="K78" s="14" t="str">
        <f aca="false">IF(INDEX(campaigns!$A$2:$A$51,30)="","",INDEX(campaigns!$CE$2:$CE$51,30))</f>
        <v/>
      </c>
      <c r="L78" s="0" t="str">
        <f aca="false">IF(INDEX(campaigns!$A$2:$A$51,30)="","",INDEX(campaigns!$CF$2:$CF$51,30))</f>
        <v/>
      </c>
      <c r="M78" s="0" t="str">
        <f aca="false">IF(INDEX(campaigns!$A$2:$A$51,30)="","",INDEX(campaigns!$CG$2:$CG$51,30))</f>
        <v/>
      </c>
      <c r="N78" s="0" t="str">
        <f aca="false">IF(INDEX(campaigns!$A$2:$A$51,30)="","",INDEX(campaigns!$CH$2:$CH$51,30))</f>
        <v/>
      </c>
      <c r="O78" s="0" t="str">
        <f aca="false">IF(INDEX(campaigns!$A$2:$A$51,30)="","",INDEX(campaigns!$CI$2:$CI$51,30))</f>
        <v/>
      </c>
      <c r="P78" s="0" t="str">
        <f aca="false">IF(INDEX(campaigns!$A$2:$A$51,30)="","",INDEX(campaigns!$CK$2:$CK$51,30))</f>
        <v/>
      </c>
      <c r="Q78" s="13" t="str">
        <f aca="false">IF(INDEX(campaigns!$A$2:$A$51,30)="","",INDEX(campaigns!$CP$2:$CP$51,30))</f>
        <v/>
      </c>
      <c r="R78" s="0" t="str">
        <f aca="false">IF(INDEX(campaigns!$A$2:$A$51,30)="","",INDEX(campaigns!$CW$2:$CW$51,30))</f>
        <v/>
      </c>
      <c r="S78" s="0" t="str">
        <f aca="false">IF(INDEX(campaigns!$A$2:$A$51,30)="","",INDEX(campaigns!$CY$2:$CY$51,30))</f>
        <v/>
      </c>
      <c r="T78" s="12" t="str">
        <f aca="false">IF(INDEX(campaigns!$A$2:$A$51,30)="","",INDEX(campaigns!$DB$2:$DB$51,30))</f>
        <v/>
      </c>
      <c r="U78" s="12" t="str">
        <f aca="false">IF(INDEX(campaigns!$A$2:$A$51,30)="","",INDEX(campaigns!$DL$2:$DL$51,30))</f>
        <v/>
      </c>
      <c r="V78" s="0" t="str">
        <f aca="false">IF(INDEX(campaigns!$A$2:$A$51,30)="","",INDEX(campaigns!$DR$2:$DR$51,30))</f>
        <v/>
      </c>
      <c r="W78" s="0" t="str">
        <f aca="false">IF(INDEX(campaigns!$A$2:$A$51,30)="","",INDEX(campaigns!$DS$2:$DS$51,30))</f>
        <v/>
      </c>
      <c r="X78" s="0" t="str">
        <f aca="false">IF(INDEX(campaigns!$A$2:$A$51,30)="","",INDEX(campaigns!$DT$2:$DT$51,30))</f>
        <v/>
      </c>
      <c r="Y78" s="0" t="str">
        <f aca="false">IF(INDEX(campaigns!$A$2:$A$51,30)="","",INDEX(campaigns!$AV$2:$AV$51,30))</f>
        <v/>
      </c>
      <c r="Z78" s="0" t="str">
        <f aca="false">IF(INDEX(campaigns!$A$2:$A$51,30)="","",INDEX(campaigns!$DU$2:$DU$51,30))</f>
        <v/>
      </c>
    </row>
    <row r="80" customFormat="false" ht="15" hidden="false" customHeight="false" outlineLevel="0" collapsed="false">
      <c r="A80" s="16" t="s">
        <v>119</v>
      </c>
    </row>
    <row r="82" customFormat="false" ht="15" hidden="false" customHeight="false" outlineLevel="0" collapsed="false">
      <c r="A82" s="8" t="s">
        <v>120</v>
      </c>
    </row>
    <row r="83" customFormat="false" ht="15" hidden="false" customHeight="false" outlineLevel="0" collapsed="false">
      <c r="A83" s="6" t="s">
        <v>121</v>
      </c>
      <c r="B83" s="6" t="s">
        <v>122</v>
      </c>
      <c r="C83" s="6" t="s">
        <v>123</v>
      </c>
      <c r="D83" s="6" t="str">
        <f aca="false">IF(INDEX(drops!$A$2:$A$21,1)="","",INDEX(drops!$A$2:$A$21,1))</f>
        <v>SAMPLE-DRP-001</v>
      </c>
      <c r="E83" s="6" t="str">
        <f aca="false">IF(INDEX(drops!$A$2:$A$21,2)="","",INDEX(drops!$A$2:$A$21,2))</f>
        <v>SAMPLE-DRP-002</v>
      </c>
      <c r="F83" s="6" t="str">
        <f aca="false">IF(INDEX(drops!$A$2:$A$21,3)="","",INDEX(drops!$A$2:$A$21,3))</f>
        <v/>
      </c>
      <c r="G83" s="6" t="str">
        <f aca="false">IF(INDEX(drops!$A$2:$A$21,4)="","",INDEX(drops!$A$2:$A$21,4))</f>
        <v/>
      </c>
      <c r="H83" s="6" t="str">
        <f aca="false">IF(INDEX(drops!$A$2:$A$21,5)="","",INDEX(drops!$A$2:$A$21,5))</f>
        <v/>
      </c>
      <c r="I83" s="6" t="str">
        <f aca="false">IF(INDEX(drops!$A$2:$A$21,6)="","",INDEX(drops!$A$2:$A$21,6))</f>
        <v/>
      </c>
    </row>
    <row r="84" customFormat="false" ht="15" hidden="false" customHeight="false" outlineLevel="0" collapsed="false">
      <c r="A84" s="0" t="s">
        <v>124</v>
      </c>
      <c r="B84" s="13" t="n">
        <f aca="false">SUMIFS(hours!$E$2:$E$1501,hours!$D$2:$D$1501,"brand_sales")</f>
        <v>45.5</v>
      </c>
      <c r="C84" s="13" t="n">
        <f aca="false">SUMIFS(hours!$E$2:$E$1501,hours!$D$2:$D$1501,"brand_sales",hours!$B$2:$B$1501,"")</f>
        <v>7.5</v>
      </c>
      <c r="D84" s="13" t="n">
        <f aca="false">IF(D83="","",SUMIFS(hours!$E$2:$E$1501,hours!$D$2:$D$1501,"brand_sales",hours!$B$2:$B$1501,D83))</f>
        <v>20</v>
      </c>
      <c r="E84" s="13" t="n">
        <f aca="false">IF(E83="","",SUMIFS(hours!$E$2:$E$1501,hours!$D$2:$D$1501,"brand_sales",hours!$B$2:$B$1501,E83))</f>
        <v>18</v>
      </c>
      <c r="F84" s="13" t="str">
        <f aca="false">IF(F83="","",SUMIFS(hours!$E$2:$E$1501,hours!$D$2:$D$1501,"brand_sales",hours!$B$2:$B$1501,F83))</f>
        <v/>
      </c>
      <c r="G84" s="13" t="str">
        <f aca="false">IF(G83="","",SUMIFS(hours!$E$2:$E$1501,hours!$D$2:$D$1501,"brand_sales",hours!$B$2:$B$1501,G83))</f>
        <v/>
      </c>
      <c r="H84" s="13" t="str">
        <f aca="false">IF(H83="","",SUMIFS(hours!$E$2:$E$1501,hours!$D$2:$D$1501,"brand_sales",hours!$B$2:$B$1501,H83))</f>
        <v/>
      </c>
      <c r="I84" s="13" t="str">
        <f aca="false">IF(I83="","",SUMIFS(hours!$E$2:$E$1501,hours!$D$2:$D$1501,"brand_sales",hours!$B$2:$B$1501,I83))</f>
        <v/>
      </c>
    </row>
    <row r="85" customFormat="false" ht="15" hidden="false" customHeight="false" outlineLevel="0" collapsed="false">
      <c r="A85" s="0" t="s">
        <v>125</v>
      </c>
      <c r="B85" s="13" t="n">
        <f aca="false">SUMIFS(hours!$E$2:$E$1501,hours!$D$2:$D$1501,"office_coordination")</f>
        <v>35</v>
      </c>
      <c r="C85" s="13" t="n">
        <f aca="false">SUMIFS(hours!$E$2:$E$1501,hours!$D$2:$D$1501,"office_coordination",hours!$B$2:$B$1501,"")</f>
        <v>7.5</v>
      </c>
      <c r="D85" s="13" t="n">
        <f aca="false">IF(D83="","",SUMIFS(hours!$E$2:$E$1501,hours!$D$2:$D$1501,"office_coordination",hours!$B$2:$B$1501,D83))</f>
        <v>20</v>
      </c>
      <c r="E85" s="13" t="n">
        <f aca="false">IF(E83="","",SUMIFS(hours!$E$2:$E$1501,hours!$D$2:$D$1501,"office_coordination",hours!$B$2:$B$1501,E83))</f>
        <v>7.5</v>
      </c>
      <c r="F85" s="13" t="str">
        <f aca="false">IF(F83="","",SUMIFS(hours!$E$2:$E$1501,hours!$D$2:$D$1501,"office_coordination",hours!$B$2:$B$1501,F83))</f>
        <v/>
      </c>
      <c r="G85" s="13" t="str">
        <f aca="false">IF(G83="","",SUMIFS(hours!$E$2:$E$1501,hours!$D$2:$D$1501,"office_coordination",hours!$B$2:$B$1501,G83))</f>
        <v/>
      </c>
      <c r="H85" s="13" t="str">
        <f aca="false">IF(H83="","",SUMIFS(hours!$E$2:$E$1501,hours!$D$2:$D$1501,"office_coordination",hours!$B$2:$B$1501,H83))</f>
        <v/>
      </c>
      <c r="I85" s="13" t="str">
        <f aca="false">IF(I83="","",SUMIFS(hours!$E$2:$E$1501,hours!$D$2:$D$1501,"office_coordination",hours!$B$2:$B$1501,I83))</f>
        <v/>
      </c>
    </row>
    <row r="86" customFormat="false" ht="15" hidden="false" customHeight="false" outlineLevel="0" collapsed="false">
      <c r="A86" s="0" t="s">
        <v>126</v>
      </c>
      <c r="B86" s="13" t="n">
        <f aca="false">SUMIFS(hours!$E$2:$E$1501,hours!$D$2:$D$1501,"receiving_kitting")</f>
        <v>3</v>
      </c>
      <c r="C86" s="13" t="n">
        <f aca="false">SUMIFS(hours!$E$2:$E$1501,hours!$D$2:$D$1501,"receiving_kitting",hours!$B$2:$B$1501,"")</f>
        <v>0</v>
      </c>
      <c r="D86" s="13" t="n">
        <f aca="false">IF(D83="","",SUMIFS(hours!$E$2:$E$1501,hours!$D$2:$D$1501,"receiving_kitting",hours!$B$2:$B$1501,D83))</f>
        <v>3</v>
      </c>
      <c r="E86" s="13" t="n">
        <f aca="false">IF(E83="","",SUMIFS(hours!$E$2:$E$1501,hours!$D$2:$D$1501,"receiving_kitting",hours!$B$2:$B$1501,E83))</f>
        <v>0</v>
      </c>
      <c r="F86" s="13" t="str">
        <f aca="false">IF(F83="","",SUMIFS(hours!$E$2:$E$1501,hours!$D$2:$D$1501,"receiving_kitting",hours!$B$2:$B$1501,F83))</f>
        <v/>
      </c>
      <c r="G86" s="13" t="str">
        <f aca="false">IF(G83="","",SUMIFS(hours!$E$2:$E$1501,hours!$D$2:$D$1501,"receiving_kitting",hours!$B$2:$B$1501,G83))</f>
        <v/>
      </c>
      <c r="H86" s="13" t="str">
        <f aca="false">IF(H83="","",SUMIFS(hours!$E$2:$E$1501,hours!$D$2:$D$1501,"receiving_kitting",hours!$B$2:$B$1501,H83))</f>
        <v/>
      </c>
      <c r="I86" s="13" t="str">
        <f aca="false">IF(I83="","",SUMIFS(hours!$E$2:$E$1501,hours!$D$2:$D$1501,"receiving_kitting",hours!$B$2:$B$1501,I83))</f>
        <v/>
      </c>
    </row>
    <row r="87" customFormat="false" ht="15" hidden="false" customHeight="false" outlineLevel="0" collapsed="false">
      <c r="A87" s="0" t="s">
        <v>127</v>
      </c>
      <c r="B87" s="13" t="n">
        <f aca="false">SUMIFS(hours!$E$2:$E$1501,hours!$D$2:$D$1501,"drop_day")</f>
        <v>5</v>
      </c>
      <c r="C87" s="13" t="n">
        <f aca="false">SUMIFS(hours!$E$2:$E$1501,hours!$D$2:$D$1501,"drop_day",hours!$B$2:$B$1501,"")</f>
        <v>0</v>
      </c>
      <c r="D87" s="13" t="n">
        <f aca="false">IF(D83="","",SUMIFS(hours!$E$2:$E$1501,hours!$D$2:$D$1501,"drop_day",hours!$B$2:$B$1501,D83))</f>
        <v>5</v>
      </c>
      <c r="E87" s="13" t="n">
        <f aca="false">IF(E83="","",SUMIFS(hours!$E$2:$E$1501,hours!$D$2:$D$1501,"drop_day",hours!$B$2:$B$1501,E83))</f>
        <v>0</v>
      </c>
      <c r="F87" s="13" t="str">
        <f aca="false">IF(F83="","",SUMIFS(hours!$E$2:$E$1501,hours!$D$2:$D$1501,"drop_day",hours!$B$2:$B$1501,F83))</f>
        <v/>
      </c>
      <c r="G87" s="13" t="str">
        <f aca="false">IF(G83="","",SUMIFS(hours!$E$2:$E$1501,hours!$D$2:$D$1501,"drop_day",hours!$B$2:$B$1501,G83))</f>
        <v/>
      </c>
      <c r="H87" s="13" t="str">
        <f aca="false">IF(H83="","",SUMIFS(hours!$E$2:$E$1501,hours!$D$2:$D$1501,"drop_day",hours!$B$2:$B$1501,H83))</f>
        <v/>
      </c>
      <c r="I87" s="13" t="str">
        <f aca="false">IF(I83="","",SUMIFS(hours!$E$2:$E$1501,hours!$D$2:$D$1501,"drop_day",hours!$B$2:$B$1501,I83))</f>
        <v/>
      </c>
    </row>
    <row r="88" customFormat="false" ht="15" hidden="false" customHeight="false" outlineLevel="0" collapsed="false">
      <c r="A88" s="0" t="s">
        <v>128</v>
      </c>
      <c r="B88" s="13" t="n">
        <f aca="false">SUMIFS(hours!$E$2:$E$1501,hours!$D$2:$D$1501,"checks_pickup")</f>
        <v>1.5</v>
      </c>
      <c r="C88" s="13" t="n">
        <f aca="false">SUMIFS(hours!$E$2:$E$1501,hours!$D$2:$D$1501,"checks_pickup",hours!$B$2:$B$1501,"")</f>
        <v>0</v>
      </c>
      <c r="D88" s="13" t="n">
        <f aca="false">IF(D83="","",SUMIFS(hours!$E$2:$E$1501,hours!$D$2:$D$1501,"checks_pickup",hours!$B$2:$B$1501,D83))</f>
        <v>1.5</v>
      </c>
      <c r="E88" s="13" t="n">
        <f aca="false">IF(E83="","",SUMIFS(hours!$E$2:$E$1501,hours!$D$2:$D$1501,"checks_pickup",hours!$B$2:$B$1501,E83))</f>
        <v>0</v>
      </c>
      <c r="F88" s="13" t="str">
        <f aca="false">IF(F83="","",SUMIFS(hours!$E$2:$E$1501,hours!$D$2:$D$1501,"checks_pickup",hours!$B$2:$B$1501,F83))</f>
        <v/>
      </c>
      <c r="G88" s="13" t="str">
        <f aca="false">IF(G83="","",SUMIFS(hours!$E$2:$E$1501,hours!$D$2:$D$1501,"checks_pickup",hours!$B$2:$B$1501,G83))</f>
        <v/>
      </c>
      <c r="H88" s="13" t="str">
        <f aca="false">IF(H83="","",SUMIFS(hours!$E$2:$E$1501,hours!$D$2:$D$1501,"checks_pickup",hours!$B$2:$B$1501,H83))</f>
        <v/>
      </c>
      <c r="I88" s="13" t="str">
        <f aca="false">IF(I83="","",SUMIFS(hours!$E$2:$E$1501,hours!$D$2:$D$1501,"checks_pickup",hours!$B$2:$B$1501,I83))</f>
        <v/>
      </c>
    </row>
    <row r="89" customFormat="false" ht="15" hidden="false" customHeight="false" outlineLevel="0" collapsed="false">
      <c r="A89" s="0" t="s">
        <v>129</v>
      </c>
      <c r="B89" s="13" t="n">
        <f aca="false">SUMIFS(hours!$E$2:$E$1501,hours!$D$2:$D$1501,"reporting_debriefs")</f>
        <v>0</v>
      </c>
      <c r="C89" s="13" t="n">
        <f aca="false">SUMIFS(hours!$E$2:$E$1501,hours!$D$2:$D$1501,"reporting_debriefs",hours!$B$2:$B$1501,"")</f>
        <v>0</v>
      </c>
      <c r="D89" s="13" t="n">
        <f aca="false">IF(D83="","",SUMIFS(hours!$E$2:$E$1501,hours!$D$2:$D$1501,"reporting_debriefs",hours!$B$2:$B$1501,D83))</f>
        <v>0</v>
      </c>
      <c r="E89" s="13" t="n">
        <f aca="false">IF(E83="","",SUMIFS(hours!$E$2:$E$1501,hours!$D$2:$D$1501,"reporting_debriefs",hours!$B$2:$B$1501,E83))</f>
        <v>0</v>
      </c>
      <c r="F89" s="13" t="str">
        <f aca="false">IF(F83="","",SUMIFS(hours!$E$2:$E$1501,hours!$D$2:$D$1501,"reporting_debriefs",hours!$B$2:$B$1501,F83))</f>
        <v/>
      </c>
      <c r="G89" s="13" t="str">
        <f aca="false">IF(G83="","",SUMIFS(hours!$E$2:$E$1501,hours!$D$2:$D$1501,"reporting_debriefs",hours!$B$2:$B$1501,G83))</f>
        <v/>
      </c>
      <c r="H89" s="13" t="str">
        <f aca="false">IF(H83="","",SUMIFS(hours!$E$2:$E$1501,hours!$D$2:$D$1501,"reporting_debriefs",hours!$B$2:$B$1501,H83))</f>
        <v/>
      </c>
      <c r="I89" s="13" t="str">
        <f aca="false">IF(I83="","",SUMIFS(hours!$E$2:$E$1501,hours!$D$2:$D$1501,"reporting_debriefs",hours!$B$2:$B$1501,I83))</f>
        <v/>
      </c>
    </row>
    <row r="90" customFormat="false" ht="15" hidden="false" customHeight="false" outlineLevel="0" collapsed="false">
      <c r="A90" s="0" t="s">
        <v>130</v>
      </c>
      <c r="B90" s="13" t="n">
        <f aca="false">SUMIFS(hours!$E$2:$E$1501,hours!$D$2:$D$1501,"admin_invoicing")</f>
        <v>2</v>
      </c>
      <c r="C90" s="13" t="n">
        <f aca="false">SUMIFS(hours!$E$2:$E$1501,hours!$D$2:$D$1501,"admin_invoicing",hours!$B$2:$B$1501,"")</f>
        <v>0</v>
      </c>
      <c r="D90" s="13" t="n">
        <f aca="false">IF(D83="","",SUMIFS(hours!$E$2:$E$1501,hours!$D$2:$D$1501,"admin_invoicing",hours!$B$2:$B$1501,D83))</f>
        <v>1</v>
      </c>
      <c r="E90" s="13" t="n">
        <f aca="false">IF(E83="","",SUMIFS(hours!$E$2:$E$1501,hours!$D$2:$D$1501,"admin_invoicing",hours!$B$2:$B$1501,E83))</f>
        <v>1</v>
      </c>
      <c r="F90" s="13" t="str">
        <f aca="false">IF(F83="","",SUMIFS(hours!$E$2:$E$1501,hours!$D$2:$D$1501,"admin_invoicing",hours!$B$2:$B$1501,F83))</f>
        <v/>
      </c>
      <c r="G90" s="13" t="str">
        <f aca="false">IF(G83="","",SUMIFS(hours!$E$2:$E$1501,hours!$D$2:$D$1501,"admin_invoicing",hours!$B$2:$B$1501,G83))</f>
        <v/>
      </c>
      <c r="H90" s="13" t="str">
        <f aca="false">IF(H83="","",SUMIFS(hours!$E$2:$E$1501,hours!$D$2:$D$1501,"admin_invoicing",hours!$B$2:$B$1501,H83))</f>
        <v/>
      </c>
      <c r="I90" s="13" t="str">
        <f aca="false">IF(I83="","",SUMIFS(hours!$E$2:$E$1501,hours!$D$2:$D$1501,"admin_invoicing",hours!$B$2:$B$1501,I83))</f>
        <v/>
      </c>
    </row>
    <row r="91" customFormat="false" ht="15" hidden="false" customHeight="false" outlineLevel="0" collapsed="false">
      <c r="A91" s="6" t="s">
        <v>131</v>
      </c>
      <c r="B91" s="13" t="n">
        <f aca="false">SUM(B84:B90)</f>
        <v>92</v>
      </c>
      <c r="C91" s="13" t="n">
        <f aca="false">SUM(C84:C90)</f>
        <v>15</v>
      </c>
      <c r="D91" s="13" t="n">
        <f aca="false">IF(D83="","",SUM(D84:D90))</f>
        <v>50.5</v>
      </c>
      <c r="E91" s="13" t="n">
        <f aca="false">IF(E83="","",SUM(E84:E90))</f>
        <v>26.5</v>
      </c>
      <c r="F91" s="13" t="str">
        <f aca="false">IF(F83="","",SUM(F84:F90))</f>
        <v/>
      </c>
      <c r="G91" s="13" t="str">
        <f aca="false">IF(G83="","",SUM(G84:G90))</f>
        <v/>
      </c>
      <c r="H91" s="13" t="str">
        <f aca="false">IF(H83="","",SUM(H84:H90))</f>
        <v/>
      </c>
      <c r="I91" s="13" t="str">
        <f aca="false">IF(I83="","",SUM(I84:I90))</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132</v>
      </c>
    </row>
    <row r="2" customFormat="false" ht="15" hidden="false" customHeight="false" outlineLevel="0" collapsed="false">
      <c r="A2" s="6" t="s">
        <v>133</v>
      </c>
      <c r="B2" s="0" t="str">
        <f aca="false">IF(INDEX(campaigns!$A$2:$A$51,1)="","",INDEX(campaigns!$A$2:$A$51,1))</f>
        <v>SAMPLE-CMP-001</v>
      </c>
      <c r="C2" s="10" t="s">
        <v>134</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135</v>
      </c>
      <c r="B6" s="6" t="s">
        <v>136</v>
      </c>
      <c r="C6" s="6" t="s">
        <v>137</v>
      </c>
      <c r="D6" s="6" t="s">
        <v>110</v>
      </c>
      <c r="E6" s="6" t="s">
        <v>138</v>
      </c>
      <c r="F6" s="6" t="s">
        <v>139</v>
      </c>
      <c r="G6" s="6" t="s">
        <v>140</v>
      </c>
      <c r="H6" s="6" t="s">
        <v>141</v>
      </c>
      <c r="I6" s="6" t="s">
        <v>111</v>
      </c>
      <c r="J6" s="6" t="s">
        <v>142</v>
      </c>
      <c r="K6" s="6" t="s">
        <v>143</v>
      </c>
      <c r="L6" s="6" t="s">
        <v>144</v>
      </c>
      <c r="M6" s="6" t="s">
        <v>145</v>
      </c>
      <c r="N6" s="6" t="s">
        <v>77</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8</v>
      </c>
      <c r="D7" s="0" t="n">
        <f aca="false">IFERROR(INDEX(approvals!$AM$2:$AM$251,MATCH($B$2&amp;"|"&amp;1,approvals!$AZ$2:$AZ$251,0)),"")</f>
        <v>7</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7</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2</v>
      </c>
      <c r="L7" s="0" t="n">
        <f aca="false">IFERROR(INDEX(approvals!$AX$2:$AX$251,MATCH($B$2&amp;"|"&amp;1,approvals!$AZ$2:$AZ$251,0)),"")</f>
        <v>3</v>
      </c>
      <c r="M7" s="0" t="n">
        <f aca="false">IFERROR(INDEX(approvals!$AY$2:$AY$251,MATCH($B$2&amp;"|"&amp;1,approvals!$AZ$2:$AZ$251,0)),"")</f>
        <v>4</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6</v>
      </c>
      <c r="D9" s="0" t="n">
        <f aca="false">IFERROR(INDEX(approvals!$AM$2:$AM$251,MATCH($B$2&amp;"|"&amp;3,approvals!$AZ$2:$AZ$251,0)),"")</f>
        <v>3</v>
      </c>
      <c r="E9" s="0" t="n">
        <f aca="false">IFERROR(INDEX(approvals!$AQ$2:$AQ$251,MATCH($B$2&amp;"|"&amp;3,approvals!$AZ$2:$AZ$251,0)),"")</f>
        <v>2</v>
      </c>
      <c r="F9" s="0" t="n">
        <f aca="false">IFERROR(INDEX(approvals!$AR$2:$AR$251,MATCH($B$2&amp;"|"&amp;3,approvals!$AZ$2:$AZ$251,0)),"")</f>
        <v>1</v>
      </c>
      <c r="G9" s="0" t="n">
        <f aca="false">IFERROR(INDEX(approvals!$AS$2:$AS$251,MATCH($B$2&amp;"|"&amp;3,approvals!$AZ$2:$AZ$251,0)),"")</f>
        <v>0</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4</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3</v>
      </c>
      <c r="D10" s="0" t="n">
        <f aca="false">IFERROR(INDEX(approvals!$AM$2:$AM$251,MATCH($B$2&amp;"|"&amp;4,approvals!$AZ$2:$AZ$251,0)),"")</f>
        <v>2</v>
      </c>
      <c r="E10" s="0" t="n">
        <f aca="false">IFERROR(INDEX(approvals!$AQ$2:$AQ$251,MATCH($B$2&amp;"|"&amp;4,approvals!$AZ$2:$AZ$251,0)),"")</f>
        <v>0</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5</v>
      </c>
      <c r="D11" s="0" t="n">
        <f aca="false">IFERROR(INDEX(approvals!$AM$2:$AM$251,MATCH($B$2&amp;"|"&amp;5,approvals!$AZ$2:$AZ$251,0)),"")</f>
        <v>5</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5</v>
      </c>
      <c r="I11" s="0" t="n">
        <f aca="false">IFERROR(IF(INDEX(approvals!$AT$2:$AT$251,MATCH($B$2&amp;"|"&amp;5,approvals!$AZ$2:$AZ$251,0))=0,"",ROUND(INDEX(approvals!$AU$2:$AU$251,MATCH($B$2&amp;"|"&amp;5,approvals!$AZ$2:$AZ$251,0))/INDEX(approvals!$AT$2:$AT$251,MATCH($B$2&amp;"|"&amp;5,approvals!$AZ$2:$AZ$251,0)),1)),"")</f>
        <v>4.2</v>
      </c>
      <c r="J11" s="0" t="n">
        <f aca="false">IFERROR(INDEX(approvals!$AV$2:$AV$251,MATCH($B$2&amp;"|"&amp;5,approvals!$AZ$2:$AZ$251,0)),"")</f>
        <v>2</v>
      </c>
      <c r="K11" s="0" t="n">
        <f aca="false">IFERROR(INDEX(approvals!$AW$2:$AW$251,MATCH($B$2&amp;"|"&amp;5,approvals!$AZ$2:$AZ$251,0)),"")</f>
        <v>2</v>
      </c>
      <c r="L11" s="0" t="n">
        <f aca="false">IFERROR(INDEX(approvals!$AX$2:$AX$251,MATCH($B$2&amp;"|"&amp;5,approvals!$AZ$2:$AZ$251,0)),"")</f>
        <v>1</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131</v>
      </c>
      <c r="C19" s="6" t="n">
        <f aca="false">SUM(C7:C18)</f>
        <v>28</v>
      </c>
      <c r="D19" s="6" t="n">
        <f aca="false">SUM(D7:D18)</f>
        <v>22</v>
      </c>
      <c r="E19" s="6" t="n">
        <f aca="false">SUM(E7:E18)</f>
        <v>3</v>
      </c>
      <c r="F19" s="6" t="n">
        <f aca="false">SUM(F7:F18)</f>
        <v>2</v>
      </c>
      <c r="G19" s="6" t="n">
        <f aca="false">SUM(G7:G18)</f>
        <v>1</v>
      </c>
      <c r="H19" s="6" t="n">
        <f aca="false">SUM(H7:H18)</f>
        <v>22</v>
      </c>
      <c r="I19" s="18" t="n">
        <f aca="false">IFERROR(IFERROR(INDEX(campaigns!$CP$2:$CP$51,MATCH($B$2,campaigns!$A$2:$A$51,0)),""),"")</f>
        <v>4.2</v>
      </c>
      <c r="J19" s="6" t="n">
        <f aca="false">SUM(J7:J18)</f>
        <v>10</v>
      </c>
      <c r="K19" s="6" t="n">
        <f aca="false">SUM(K7:K18)</f>
        <v>6</v>
      </c>
      <c r="L19" s="6" t="n">
        <f aca="false">SUM(L7:L18)</f>
        <v>6</v>
      </c>
      <c r="M19" s="6" t="n">
        <f aca="false">SUM(M7:M18)</f>
        <v>16</v>
      </c>
    </row>
    <row r="21" customFormat="false" ht="15" hidden="false" customHeight="false" outlineLevel="0" collapsed="false">
      <c r="A21" s="6" t="s">
        <v>146</v>
      </c>
    </row>
    <row r="22" customFormat="false" ht="15" hidden="false" customHeight="false" outlineLevel="0" collapsed="false">
      <c r="A22" s="0" t="s">
        <v>147</v>
      </c>
      <c r="C22" s="0" t="n">
        <f aca="false">IFERROR(INDEX(campaigns!$CU$2:$CU$51,MATCH($B$2,campaigns!$A$2:$A$51,0)),"")</f>
        <v>1</v>
      </c>
    </row>
    <row r="23" customFormat="false" ht="15" hidden="false" customHeight="false" outlineLevel="0" collapsed="false">
      <c r="A23" s="0" t="s">
        <v>148</v>
      </c>
      <c r="C23" s="0" t="n">
        <f aca="false">IFERROR(INDEX(campaigns!$CV$2:$CV$51,MATCH($B$2,campaigns!$A$2:$A$51,0)),"")</f>
        <v>1</v>
      </c>
    </row>
    <row r="25" customFormat="false" ht="48" hidden="false" customHeight="true" outlineLevel="0" collapsed="false">
      <c r="A25" s="19" t="s">
        <v>149</v>
      </c>
      <c r="B25" s="19"/>
      <c r="C25" s="19"/>
      <c r="D25" s="19"/>
      <c r="E25" s="19"/>
      <c r="F25" s="19"/>
      <c r="G25" s="19"/>
      <c r="H25" s="19"/>
      <c r="I25" s="19"/>
      <c r="J25" s="19"/>
      <c r="K25" s="19"/>
      <c r="L25" s="19"/>
      <c r="M25" s="19"/>
      <c r="N25" s="19"/>
    </row>
  </sheetData>
  <mergeCells count="1">
    <mergeCell ref="A25:N25"/>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133</v>
      </c>
      <c r="B2" s="0" t="str">
        <f aca="false">IF(INDEX(campaigns!$A$2:$A$51,1)="","",INDEX(campaigns!$A$2:$A$51,1))</f>
        <v>SAMPLE-CMP-001</v>
      </c>
      <c r="D2" s="10" t="s">
        <v>150</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151</v>
      </c>
      <c r="B6" s="21" t="s">
        <v>152</v>
      </c>
      <c r="C6" s="21" t="s">
        <v>153</v>
      </c>
      <c r="D6" s="21" t="s">
        <v>154</v>
      </c>
      <c r="E6" s="21" t="s">
        <v>155</v>
      </c>
      <c r="F6" s="21" t="s">
        <v>156</v>
      </c>
      <c r="G6" s="21" t="s">
        <v>157</v>
      </c>
    </row>
    <row r="7" customFormat="false" ht="17.35" hidden="false" customHeight="false" outlineLevel="0" collapsed="false">
      <c r="A7" s="22" t="n">
        <f aca="false">IFERROR(INDEX(campaigns!$CB$2:$CB$51,MATCH($B$2,campaigns!$A$2:$A$51,0)),"")</f>
        <v>250</v>
      </c>
      <c r="B7" s="22" t="n">
        <f aca="false">IFERROR(INDEX(campaigns!$CC$2:$CC$51,MATCH($B$2,campaigns!$A$2:$A$51,0)),"")</f>
        <v>248</v>
      </c>
      <c r="C7" s="22" t="str">
        <f aca="false">IFERROR(INDEX(campaigns!$CG$2:$CG$51,MATCH($B$2,campaigns!$A$2:$A$51,0)),"")</f>
        <v/>
      </c>
      <c r="D7" s="22" t="n">
        <f aca="false">IFERROR(INDEX(campaigns!$CH$2:$CH$51,MATCH($B$2,campaigns!$A$2:$A$51,0)),"")</f>
        <v>28</v>
      </c>
      <c r="E7" s="22" t="n">
        <f aca="false">IFERROR(INDEX(campaigns!$CW$2:$CW$51,MATCH($B$2,campaigns!$A$2:$A$51,0)),"")</f>
        <v>0</v>
      </c>
      <c r="F7" s="22" t="str">
        <f aca="false">IFERROR(INDEX(campaigns!$CY$2:$CY$51,MATCH($B$2,campaigns!$A$2:$A$51,0)),"")</f>
        <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22 said they tried it</v>
      </c>
      <c r="E8" s="23" t="str">
        <f aca="false">IF($B$2="","","QR scans, T to T+4")</f>
        <v>QR scans, T to T+4</v>
      </c>
      <c r="F8" s="23" t="str">
        <f aca="false">IF($B$2="","","code redemptions reported by the brand"&amp;IF(IFERROR(INDEX(campaigns!$CZ$2:$CZ$51,MATCH($B$2,campaigns!$A$2:$A$51,0)),"")="",""," as of "&amp;TEXT(IFERROR(INDEX(campaigns!$CZ$2:$CZ$51,MATCH($B$2,campaigns!$A$2:$A$51,0)),""),"yyyy-mm-dd")))</f>
        <v>code redemptions reported by the brand</v>
      </c>
      <c r="G8" s="23" t="str">
        <f aca="false">IF($B$2="","","this report does not show whether the campaign caused any sale")</f>
        <v>this report does not show whether the campaign caused any sale</v>
      </c>
    </row>
    <row r="10" customFormat="false" ht="15" hidden="false" customHeight="false" outlineLevel="0" collapsed="false">
      <c r="A10" s="24" t="s">
        <v>158</v>
      </c>
      <c r="B10" s="24" t="s">
        <v>159</v>
      </c>
      <c r="C10" s="24" t="s">
        <v>160</v>
      </c>
      <c r="D10" s="24" t="s">
        <v>161</v>
      </c>
      <c r="E10" s="24" t="s">
        <v>162</v>
      </c>
      <c r="F10" s="24" t="s">
        <v>163</v>
      </c>
      <c r="G10" s="24" t="s">
        <v>164</v>
      </c>
      <c r="H10" s="24" t="s">
        <v>165</v>
      </c>
      <c r="I10" s="24" t="s">
        <v>112</v>
      </c>
      <c r="J10" s="24" t="s">
        <v>166</v>
      </c>
      <c r="K10" s="24" t="s">
        <v>167</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IFERROR(INDEX(offices!$AH$2:$AH$61,MATCH(INDEX(approvals!$B$2:$B$251,MATCH($B$2&amp;"|"&amp;1,approvals!$AZ$2:$AZ$251,0)),offices!$A$2:$A$61,0)),"")</f>
        <v>SAMPLE Software</v>
      </c>
      <c r="C11" s="0" t="str">
        <f aca="false">IFERROR(SUBSTITUTE(INDEX(offices!$AJ$2:$AJ$61,MATCH(INDEX(approvals!$B$2:$B$251,MATCH($B$2&amp;"|"&amp;1,approvals!$AZ$2:$AZ$251,0)),offices!$A$2:$A$61,0)),"-","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str">
        <f aca="false">IFERROR(INDEX(approvals!$AG$2:$AG$251,MATCH($B$2&amp;"|"&amp;1,approvals!$AZ$2:$AZ$251,0)),"")</f>
        <v/>
      </c>
      <c r="H11" s="0" t="n">
        <f aca="false">IFERROR(INDEX(approvals!$AL$2:$AL$251,MATCH($B$2&amp;"|"&amp;1,approvals!$AZ$2:$AZ$251,0)),"")</f>
        <v>8</v>
      </c>
      <c r="I11" s="0" t="str">
        <f aca="false">IFERROR(INDEX(approvals!$AN$2:$AN$251,MATCH($B$2&amp;"|"&amp;1,approvals!$AZ$2:$AZ$251,0)),"")</f>
        <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none received</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IFERROR(INDEX(offices!$AH$2:$AH$61,MATCH(INDEX(approvals!$B$2:$B$251,MATCH($B$2&amp;"|"&amp;2,approvals!$AZ$2:$AZ$251,0)),offices!$A$2:$A$61,0)),"")</f>
        <v>SAMPLE Architecture</v>
      </c>
      <c r="C12" s="0" t="str">
        <f aca="false">IFERROR(SUBSTITUTE(INDEX(offices!$AJ$2:$AJ$61,MATCH(INDEX(approvals!$B$2:$B$251,MATCH($B$2&amp;"|"&amp;2,approvals!$AZ$2:$AZ$251,0)),offices!$A$2:$A$61,0)),"-","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str">
        <f aca="false">IFERROR(INDEX(approvals!$AG$2:$AG$251,MATCH($B$2&amp;"|"&amp;2,approvals!$AZ$2:$AZ$251,0)),"")</f>
        <v/>
      </c>
      <c r="H12" s="0" t="n">
        <f aca="false">IFERROR(INDEX(approvals!$AL$2:$AL$251,MATCH($B$2&amp;"|"&amp;2,approvals!$AZ$2:$AZ$251,0)),"")</f>
        <v>6</v>
      </c>
      <c r="I12" s="0" t="str">
        <f aca="false">IFERROR(INDEX(approvals!$AN$2:$AN$251,MATCH($B$2&amp;"|"&amp;2,approvals!$AZ$2:$AZ$251,0)),"")</f>
        <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none received</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IFERROR(INDEX(offices!$AH$2:$AH$61,MATCH(INDEX(approvals!$B$2:$B$251,MATCH($B$2&amp;"|"&amp;3,approvals!$AZ$2:$AZ$251,0)),offices!$A$2:$A$61,0)),"")</f>
        <v>SAMPLE Media</v>
      </c>
      <c r="C13" s="0" t="str">
        <f aca="false">IFERROR(SUBSTITUTE(INDEX(offices!$AJ$2:$AJ$61,MATCH(INDEX(approvals!$B$2:$B$251,MATCH($B$2&amp;"|"&amp;3,approvals!$AZ$2:$AZ$251,0)),offices!$A$2:$A$61,0)),"-","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str">
        <f aca="false">IFERROR(INDEX(approvals!$AG$2:$AG$251,MATCH($B$2&amp;"|"&amp;3,approvals!$AZ$2:$AZ$251,0)),"")</f>
        <v/>
      </c>
      <c r="H13" s="0" t="n">
        <f aca="false">IFERROR(INDEX(approvals!$AL$2:$AL$251,MATCH($B$2&amp;"|"&amp;3,approvals!$AZ$2:$AZ$251,0)),"")</f>
        <v>6</v>
      </c>
      <c r="I13" s="0" t="str">
        <f aca="false">IFERROR(INDEX(approvals!$AN$2:$AN$251,MATCH($B$2&amp;"|"&amp;3,approvals!$AZ$2:$AZ$251,0)),"")</f>
        <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none received</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IFERROR(INDEX(offices!$AH$2:$AH$61,MATCH(INDEX(approvals!$B$2:$B$251,MATCH($B$2&amp;"|"&amp;4,approvals!$AZ$2:$AZ$251,0)),offices!$A$2:$A$61,0)),"")</f>
        <v>SAMPLE Nonprofit</v>
      </c>
      <c r="C14" s="0" t="str">
        <f aca="false">IFERROR(SUBSTITUTE(INDEX(offices!$AJ$2:$AJ$61,MATCH(INDEX(approvals!$B$2:$B$251,MATCH($B$2&amp;"|"&amp;4,approvals!$AZ$2:$AZ$251,0)),offices!$A$2:$A$61,0)),"-","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str">
        <f aca="false">IFERROR(INDEX(approvals!$AG$2:$AG$251,MATCH($B$2&amp;"|"&amp;4,approvals!$AZ$2:$AZ$251,0)),"")</f>
        <v/>
      </c>
      <c r="H14" s="0" t="n">
        <f aca="false">IFERROR(INDEX(approvals!$AL$2:$AL$251,MATCH($B$2&amp;"|"&amp;4,approvals!$AZ$2:$AZ$251,0)),"")</f>
        <v>3</v>
      </c>
      <c r="I14" s="0" t="str">
        <f aca="false">IFERROR(INDEX(approvals!$AN$2:$AN$251,MATCH($B$2&amp;"|"&amp;4,approvals!$AZ$2:$AZ$251,0)),"")</f>
        <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none received</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IFERROR(INDEX(offices!$AH$2:$AH$61,MATCH(INDEX(approvals!$B$2:$B$251,MATCH($B$2&amp;"|"&amp;5,approvals!$AZ$2:$AZ$251,0)),offices!$A$2:$A$61,0)),"")</f>
        <v>SAMPLE Design studio</v>
      </c>
      <c r="C15" s="0" t="str">
        <f aca="false">IFERROR(SUBSTITUTE(INDEX(offices!$AJ$2:$AJ$61,MATCH(INDEX(approvals!$B$2:$B$251,MATCH($B$2&amp;"|"&amp;5,approvals!$AZ$2:$AZ$251,0)),offices!$A$2:$A$61,0)),"-","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str">
        <f aca="false">IFERROR(INDEX(approvals!$AG$2:$AG$251,MATCH($B$2&amp;"|"&amp;5,approvals!$AZ$2:$AZ$251,0)),"")</f>
        <v/>
      </c>
      <c r="H15" s="0" t="n">
        <f aca="false">IFERROR(INDEX(approvals!$AL$2:$AL$251,MATCH($B$2&amp;"|"&amp;5,approvals!$AZ$2:$AZ$251,0)),"")</f>
        <v>5</v>
      </c>
      <c r="I15" s="0" t="str">
        <f aca="false">IFERROR(INDEX(approvals!$AN$2:$AN$251,MATCH($B$2&amp;"|"&amp;5,approvals!$AZ$2:$AZ$251,0)),"")</f>
        <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none received</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IFERROR(INDEX(offices!$AH$2:$AH$61,MATCH(INDEX(approvals!$B$2:$B$251,MATCH($B$2&amp;"|"&amp;6,approvals!$AZ$2:$AZ$251,0)),offices!$A$2:$A$61,0)),"")</f>
        <v/>
      </c>
      <c r="C16" s="0" t="str">
        <f aca="false">IFERROR(SUBSTITUTE(INDEX(offices!$AJ$2:$AJ$61,MATCH(INDEX(approvals!$B$2:$B$251,MATCH($B$2&amp;"|"&amp;6,approvals!$AZ$2:$AZ$251,0)),offices!$A$2:$A$61,0)),"-","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IFERROR(INDEX(offices!$AH$2:$AH$61,MATCH(INDEX(approvals!$B$2:$B$251,MATCH($B$2&amp;"|"&amp;7,approvals!$AZ$2:$AZ$251,0)),offices!$A$2:$A$61,0)),"")</f>
        <v/>
      </c>
      <c r="C17" s="0" t="str">
        <f aca="false">IFERROR(SUBSTITUTE(INDEX(offices!$AJ$2:$AJ$61,MATCH(INDEX(approvals!$B$2:$B$251,MATCH($B$2&amp;"|"&amp;7,approvals!$AZ$2:$AZ$251,0)),offices!$A$2:$A$61,0)),"-","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IFERROR(INDEX(offices!$AH$2:$AH$61,MATCH(INDEX(approvals!$B$2:$B$251,MATCH($B$2&amp;"|"&amp;8,approvals!$AZ$2:$AZ$251,0)),offices!$A$2:$A$61,0)),"")</f>
        <v/>
      </c>
      <c r="C18" s="0" t="str">
        <f aca="false">IFERROR(SUBSTITUTE(INDEX(offices!$AJ$2:$AJ$61,MATCH(INDEX(approvals!$B$2:$B$251,MATCH($B$2&amp;"|"&amp;8,approvals!$AZ$2:$AZ$251,0)),offices!$A$2:$A$61,0)),"-","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IFERROR(INDEX(offices!$AH$2:$AH$61,MATCH(INDEX(approvals!$B$2:$B$251,MATCH($B$2&amp;"|"&amp;9,approvals!$AZ$2:$AZ$251,0)),offices!$A$2:$A$61,0)),"")</f>
        <v/>
      </c>
      <c r="C19" s="0" t="str">
        <f aca="false">IFERROR(SUBSTITUTE(INDEX(offices!$AJ$2:$AJ$61,MATCH(INDEX(approvals!$B$2:$B$251,MATCH($B$2&amp;"|"&amp;9,approvals!$AZ$2:$AZ$251,0)),offices!$A$2:$A$61,0)),"-","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IFERROR(INDEX(offices!$AH$2:$AH$61,MATCH(INDEX(approvals!$B$2:$B$251,MATCH($B$2&amp;"|"&amp;10,approvals!$AZ$2:$AZ$251,0)),offices!$A$2:$A$61,0)),"")</f>
        <v/>
      </c>
      <c r="C20" s="0" t="str">
        <f aca="false">IFERROR(SUBSTITUTE(INDEX(offices!$AJ$2:$AJ$61,MATCH(INDEX(approvals!$B$2:$B$251,MATCH($B$2&amp;"|"&amp;10,approvals!$AZ$2:$AZ$251,0)),offices!$A$2:$A$61,0)),"-","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IFERROR(INDEX(offices!$AH$2:$AH$61,MATCH(INDEX(approvals!$B$2:$B$251,MATCH($B$2&amp;"|"&amp;11,approvals!$AZ$2:$AZ$251,0)),offices!$A$2:$A$61,0)),"")</f>
        <v/>
      </c>
      <c r="C21" s="0" t="str">
        <f aca="false">IFERROR(SUBSTITUTE(INDEX(offices!$AJ$2:$AJ$61,MATCH(INDEX(approvals!$B$2:$B$251,MATCH($B$2&amp;"|"&amp;11,approvals!$AZ$2:$AZ$251,0)),offices!$A$2:$A$61,0)),"-","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IFERROR(INDEX(offices!$AH$2:$AH$61,MATCH(INDEX(approvals!$B$2:$B$251,MATCH($B$2&amp;"|"&amp;12,approvals!$AZ$2:$AZ$251,0)),offices!$A$2:$A$61,0)),"")</f>
        <v/>
      </c>
      <c r="C22" s="0" t="str">
        <f aca="false">IFERROR(SUBSTITUTE(INDEX(offices!$AJ$2:$AJ$61,MATCH(INDEX(approvals!$B$2:$B$251,MATCH($B$2&amp;"|"&amp;12,approvals!$AZ$2:$AZ$251,0)),offices!$A$2:$A$61,0)),"-","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168</v>
      </c>
      <c r="D23" s="6" t="n">
        <f aca="false">SUM(D11:D22)</f>
        <v>250</v>
      </c>
      <c r="E23" s="6" t="n">
        <f aca="false">SUM(E11:E22)</f>
        <v>248</v>
      </c>
      <c r="F23" s="6" t="n">
        <f aca="false">SUM(F11:F22)</f>
        <v>5</v>
      </c>
      <c r="G23" s="6" t="n">
        <f aca="false">SUM(G11:G22)</f>
        <v>0</v>
      </c>
      <c r="H23" s="6" t="n">
        <f aca="false">SUM(H11:H22)</f>
        <v>28</v>
      </c>
      <c r="I23" s="6" t="n">
        <f aca="false">SUM(I11:I22)</f>
        <v>0</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28): tried 79% (22) · average rating 4.2 of 5 (22 ratings) · would buy, of 22 who answered: yes 45% (10), maybe 27% (6), no 27% (6)</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3, not for me 2, gone by the time they looked 1</v>
      </c>
    </row>
    <row r="28" customFormat="false" ht="30" hidden="false" customHeight="true" outlineLevel="0" collapsed="false">
      <c r="A28" s="25" t="str">
        <f aca="false">IF(IFERROR(INDEX(campaigns!$AL$2:$AL$51,MATCH($B$2,campaigns!$A$2:$A$51,0)),"")="","","“"&amp;IFERROR(INDEX(campaigns!$AL$2:$AL$51,MATCH($B$2,campaigns!$A$2:$A$51,0)),"")&amp;"”")</f>
        <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16 comments, word for word.</v>
      </c>
    </row>
    <row r="33" customFormat="false" ht="15" hidden="false" customHeight="false" outlineLevel="0" collapsed="false">
      <c r="A33" s="6" t="str">
        <f aca="false">IF($B$2="","","Engagement: "&amp;N(IFERROR(INDEX(campaigns!$CW$2:$CW$51,MATCH($B$2,campaigns!$A$2:$A$51,0)),""))&amp;" QR scans across "&amp;IFERROR(INDEX(campaigns!$BP$2:$BP$51,MATCH($B$2,campaigns!$A$2:$A$51,0)),"")&amp;" offices · "&amp;IF(IFERROR(INDEX(campaigns!$CY$2:$CY$51,MATCH($B$2,campaigns!$A$2:$A$51,0)),"")="","no code redemptions reported yet",IFERROR(INDEX(campaigns!$CY$2:$CY$51,MATCH($B$2,campaigns!$A$2:$A$51,0)),"")&amp;" code redemptions to date"))</f>
        <v>Engagement: 0 QR scans across 5 offices · no code redemptions reported yet</v>
      </c>
    </row>
    <row r="35" customFormat="false" ht="15" hidden="false" customHeight="false" outlineLevel="0" collapsed="false">
      <c r="A35" s="6" t="s">
        <v>169</v>
      </c>
    </row>
    <row r="36" customFormat="false" ht="60" hidden="false" customHeight="true" outlineLevel="0" collapsed="false">
      <c r="A36" s="25" t="n">
        <f aca="false">IFERROR(INDEX(campaigns!$AO$2:$AO$51,MATCH($B$2,campaigns!$A$2:$A$51,0)),"")</f>
        <v>0</v>
      </c>
      <c r="B36" s="25"/>
      <c r="C36" s="25"/>
      <c r="D36" s="25"/>
      <c r="E36" s="25"/>
      <c r="F36" s="25"/>
      <c r="G36" s="25"/>
      <c r="H36" s="25"/>
      <c r="I36" s="25"/>
      <c r="J36" s="25"/>
      <c r="K36" s="25"/>
    </row>
    <row r="38" customFormat="false" ht="15" hidden="false" customHeight="false" outlineLevel="0" collapsed="false">
      <c r="A38" s="6" t="s">
        <v>170</v>
      </c>
    </row>
    <row r="39" customFormat="false" ht="31.5" hidden="false" customHeight="true" outlineLevel="0" collapsed="false">
      <c r="A39" s="25" t="n">
        <f aca="false">IFERROR(INDEX(campaigns!$AP$2:$AP$51,MATCH($B$2,campaigns!$A$2:$A$51,0)),"")</f>
        <v>0</v>
      </c>
      <c r="B39" s="25"/>
      <c r="C39" s="25"/>
      <c r="D39" s="25"/>
      <c r="E39" s="25"/>
      <c r="F39" s="25"/>
      <c r="G39" s="25"/>
      <c r="H39" s="25"/>
      <c r="I39" s="25"/>
      <c r="J39" s="25"/>
      <c r="K39" s="25"/>
    </row>
    <row r="41" customFormat="false" ht="15" hidden="false" customHeight="false" outlineLevel="0" collapsed="false">
      <c r="A41" s="6" t="s">
        <v>171</v>
      </c>
    </row>
    <row r="42" customFormat="false" ht="96" hidden="false" customHeight="true" outlineLevel="0" collapsed="false">
      <c r="A42" s="25" t="s">
        <v>172</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173</v>
      </c>
      <c r="B1" s="21" t="s">
        <v>174</v>
      </c>
      <c r="C1" s="21" t="s">
        <v>175</v>
      </c>
    </row>
    <row r="2" customFormat="false" ht="28.35" hidden="false" customHeight="false" outlineLevel="0" collapsed="false">
      <c r="A2" s="6" t="s">
        <v>176</v>
      </c>
      <c r="B2" s="26" t="s">
        <v>177</v>
      </c>
      <c r="C2" s="23" t="s">
        <v>178</v>
      </c>
    </row>
    <row r="3" customFormat="false" ht="15" hidden="false" customHeight="false" outlineLevel="0" collapsed="false">
      <c r="A3" s="6" t="s">
        <v>179</v>
      </c>
      <c r="B3" s="10" t="s">
        <v>180</v>
      </c>
      <c r="C3" s="23" t="s">
        <v>181</v>
      </c>
    </row>
    <row r="4" customFormat="false" ht="15" hidden="false" customHeight="false" outlineLevel="0" collapsed="false">
      <c r="A4" s="6" t="s">
        <v>182</v>
      </c>
      <c r="B4" s="10" t="s">
        <v>183</v>
      </c>
      <c r="C4" s="23"/>
    </row>
    <row r="5" customFormat="false" ht="15" hidden="false" customHeight="false" outlineLevel="0" collapsed="false">
      <c r="A5" s="6" t="s">
        <v>184</v>
      </c>
      <c r="B5" s="10" t="s">
        <v>185</v>
      </c>
      <c r="C5" s="23" t="s">
        <v>186</v>
      </c>
    </row>
    <row r="6" customFormat="false" ht="15" hidden="false" customHeight="false" outlineLevel="0" collapsed="false">
      <c r="A6" s="6" t="s">
        <v>187</v>
      </c>
      <c r="B6" s="10" t="s">
        <v>188</v>
      </c>
      <c r="C6" s="23"/>
    </row>
    <row r="7" customFormat="false" ht="15" hidden="false" customHeight="false" outlineLevel="0" collapsed="false">
      <c r="A7" s="6" t="s">
        <v>189</v>
      </c>
      <c r="B7" s="10" t="s">
        <v>190</v>
      </c>
      <c r="C7" s="23" t="s">
        <v>191</v>
      </c>
    </row>
    <row r="8" customFormat="false" ht="28.35" hidden="false" customHeight="false" outlineLevel="0" collapsed="false">
      <c r="A8" s="6" t="s">
        <v>192</v>
      </c>
      <c r="B8" s="10" t="s">
        <v>193</v>
      </c>
      <c r="C8" s="23" t="s">
        <v>194</v>
      </c>
    </row>
    <row r="9" customFormat="false" ht="15" hidden="false" customHeight="false" outlineLevel="0" collapsed="false">
      <c r="A9" s="6" t="s">
        <v>195</v>
      </c>
      <c r="B9" s="10" t="s">
        <v>196</v>
      </c>
      <c r="C9" s="23" t="s">
        <v>197</v>
      </c>
    </row>
    <row r="10" customFormat="false" ht="15" hidden="false" customHeight="false" outlineLevel="0" collapsed="false">
      <c r="A10" s="6" t="s">
        <v>198</v>
      </c>
      <c r="B10" s="10" t="s">
        <v>199</v>
      </c>
      <c r="C10" s="23" t="s">
        <v>200</v>
      </c>
    </row>
    <row r="11" customFormat="false" ht="15" hidden="false" customHeight="false" outlineLevel="0" collapsed="false">
      <c r="A11" s="6" t="s">
        <v>201</v>
      </c>
      <c r="B11" s="10" t="s">
        <v>202</v>
      </c>
      <c r="C11" s="23" t="s">
        <v>203</v>
      </c>
    </row>
    <row r="12" customFormat="false" ht="15" hidden="false" customHeight="false" outlineLevel="0" collapsed="false">
      <c r="A12" s="6" t="s">
        <v>204</v>
      </c>
      <c r="B12" s="10" t="s">
        <v>205</v>
      </c>
      <c r="C12" s="23" t="s">
        <v>206</v>
      </c>
    </row>
    <row r="13" customFormat="false" ht="15" hidden="false" customHeight="false" outlineLevel="0" collapsed="false">
      <c r="A13" s="6" t="s">
        <v>207</v>
      </c>
      <c r="B13" s="0" t="n">
        <v>30</v>
      </c>
      <c r="C13" s="23" t="s">
        <v>208</v>
      </c>
    </row>
    <row r="14" customFormat="false" ht="15" hidden="false" customHeight="false" outlineLevel="0" collapsed="false">
      <c r="A14" s="6" t="s">
        <v>209</v>
      </c>
      <c r="B14" s="0" t="n">
        <v>0.2</v>
      </c>
      <c r="C14" s="23"/>
    </row>
    <row r="15" customFormat="false" ht="15" hidden="false" customHeight="false" outlineLevel="0" collapsed="false">
      <c r="A15" s="6" t="s">
        <v>210</v>
      </c>
      <c r="B15" s="0" t="n">
        <v>30</v>
      </c>
      <c r="C15" s="23" t="s">
        <v>211</v>
      </c>
    </row>
    <row r="16" customFormat="false" ht="15" hidden="false" customHeight="false" outlineLevel="0" collapsed="false">
      <c r="A16" s="6" t="s">
        <v>212</v>
      </c>
      <c r="B16" s="0" t="n">
        <v>80</v>
      </c>
      <c r="C16" s="23" t="s">
        <v>213</v>
      </c>
    </row>
    <row r="17" customFormat="false" ht="15" hidden="false" customHeight="false" outlineLevel="0" collapsed="false">
      <c r="A17" s="6" t="s">
        <v>214</v>
      </c>
      <c r="B17" s="0" t="n">
        <v>5</v>
      </c>
      <c r="C17" s="23"/>
    </row>
    <row r="18" customFormat="false" ht="15" hidden="false" customHeight="false" outlineLevel="0" collapsed="false">
      <c r="A18" s="6" t="s">
        <v>215</v>
      </c>
      <c r="B18" s="0" t="n">
        <v>0.1</v>
      </c>
      <c r="C18" s="23" t="s">
        <v>216</v>
      </c>
    </row>
    <row r="19" customFormat="false" ht="15" hidden="false" customHeight="false" outlineLevel="0" collapsed="false">
      <c r="A19" s="6" t="s">
        <v>217</v>
      </c>
      <c r="B19" s="0" t="n">
        <v>60</v>
      </c>
      <c r="C19" s="23" t="s">
        <v>218</v>
      </c>
    </row>
    <row r="20" customFormat="false" ht="15" hidden="false" customHeight="false" outlineLevel="0" collapsed="false">
      <c r="A20" s="6" t="s">
        <v>219</v>
      </c>
      <c r="B20" s="0" t="n">
        <v>600</v>
      </c>
      <c r="C20" s="23" t="s">
        <v>220</v>
      </c>
    </row>
    <row r="21" customFormat="false" ht="15" hidden="false" customHeight="false" outlineLevel="0" collapsed="false">
      <c r="A21" s="6" t="s">
        <v>221</v>
      </c>
      <c r="B21" s="0" t="n">
        <v>5</v>
      </c>
      <c r="C21" s="23"/>
    </row>
    <row r="22" customFormat="false" ht="15" hidden="false" customHeight="false" outlineLevel="0" collapsed="false">
      <c r="A22" s="6" t="s">
        <v>222</v>
      </c>
      <c r="B22" s="0" t="n">
        <v>1500</v>
      </c>
      <c r="C22" s="23" t="s">
        <v>223</v>
      </c>
    </row>
    <row r="23" customFormat="false" ht="15" hidden="false" customHeight="false" outlineLevel="0" collapsed="false">
      <c r="A23" s="6" t="s">
        <v>224</v>
      </c>
      <c r="B23" s="0" t="n">
        <v>10</v>
      </c>
      <c r="C23" s="23"/>
    </row>
    <row r="24" customFormat="false" ht="15" hidden="false" customHeight="false" outlineLevel="0" collapsed="false">
      <c r="A24" s="6" t="s">
        <v>225</v>
      </c>
      <c r="B24" s="0" t="n">
        <v>150</v>
      </c>
      <c r="C24" s="23" t="s">
        <v>226</v>
      </c>
    </row>
    <row r="25" customFormat="false" ht="15" hidden="false" customHeight="false" outlineLevel="0" collapsed="false">
      <c r="A25" s="6" t="s">
        <v>227</v>
      </c>
      <c r="B25" s="0" t="n">
        <v>120</v>
      </c>
      <c r="C25" s="23" t="s">
        <v>228</v>
      </c>
    </row>
    <row r="26" customFormat="false" ht="15" hidden="false" customHeight="false" outlineLevel="0" collapsed="false">
      <c r="A26" s="6" t="s">
        <v>229</v>
      </c>
      <c r="B26" s="0" t="n">
        <v>10</v>
      </c>
      <c r="C26" s="23"/>
    </row>
    <row r="27" customFormat="false" ht="15" hidden="false" customHeight="false" outlineLevel="0" collapsed="false">
      <c r="A27" s="6" t="s">
        <v>230</v>
      </c>
      <c r="B27" s="0" t="n">
        <v>5</v>
      </c>
      <c r="C27" s="23" t="s">
        <v>231</v>
      </c>
    </row>
    <row r="28" customFormat="false" ht="15" hidden="false" customHeight="false" outlineLevel="0" collapsed="false">
      <c r="A28" s="6" t="s">
        <v>232</v>
      </c>
      <c r="B28" s="0" t="n">
        <v>0.5</v>
      </c>
      <c r="C28" s="23" t="s">
        <v>233</v>
      </c>
    </row>
    <row r="29" customFormat="false" ht="15" hidden="false" customHeight="false" outlineLevel="0" collapsed="false">
      <c r="A29" s="6" t="s">
        <v>234</v>
      </c>
      <c r="B29" s="0" t="n">
        <v>3</v>
      </c>
      <c r="C29" s="23" t="s">
        <v>235</v>
      </c>
    </row>
    <row r="30" customFormat="false" ht="15" hidden="false" customHeight="false" outlineLevel="0" collapsed="false">
      <c r="A30" s="6" t="s">
        <v>236</v>
      </c>
      <c r="B30" s="0" t="n">
        <v>5</v>
      </c>
      <c r="C30" s="23" t="s">
        <v>237</v>
      </c>
    </row>
    <row r="31" customFormat="false" ht="15" hidden="false" customHeight="false" outlineLevel="0" collapsed="false">
      <c r="A31" s="6" t="s">
        <v>238</v>
      </c>
      <c r="B31" s="0" t="n">
        <v>0.8</v>
      </c>
      <c r="C31" s="23" t="s">
        <v>239</v>
      </c>
    </row>
    <row r="32" customFormat="false" ht="15" hidden="false" customHeight="false" outlineLevel="0" collapsed="false">
      <c r="A32" s="6" t="s">
        <v>240</v>
      </c>
      <c r="B32" s="0" t="n">
        <v>30</v>
      </c>
      <c r="C32" s="23" t="s">
        <v>241</v>
      </c>
    </row>
    <row r="33" customFormat="false" ht="15" hidden="false" customHeight="false" outlineLevel="0" collapsed="false">
      <c r="A33" s="6" t="s">
        <v>242</v>
      </c>
      <c r="B33" s="0" t="n">
        <v>12</v>
      </c>
      <c r="C33" s="23" t="s">
        <v>243</v>
      </c>
    </row>
    <row r="34" customFormat="false" ht="28.35" hidden="false" customHeight="false" outlineLevel="0" collapsed="false">
      <c r="A34" s="6" t="s">
        <v>244</v>
      </c>
      <c r="B34" s="10" t="s">
        <v>245</v>
      </c>
      <c r="C34" s="23" t="s">
        <v>246</v>
      </c>
    </row>
    <row r="35" customFormat="false" ht="15" hidden="false" customHeight="false" outlineLevel="0" collapsed="false">
      <c r="A35" s="6" t="s">
        <v>247</v>
      </c>
      <c r="B35" s="10" t="s">
        <v>248</v>
      </c>
      <c r="C35" s="23" t="s">
        <v>249</v>
      </c>
    </row>
    <row r="36" customFormat="false" ht="15" hidden="false" customHeight="false" outlineLevel="0" collapsed="false">
      <c r="A36" s="6" t="s">
        <v>250</v>
      </c>
      <c r="B36" s="10" t="s">
        <v>251</v>
      </c>
      <c r="C36" s="23" t="s">
        <v>252</v>
      </c>
    </row>
    <row r="37" customFormat="false" ht="15" hidden="false" customHeight="false" outlineLevel="0" collapsed="false">
      <c r="A37" s="6" t="s">
        <v>253</v>
      </c>
      <c r="B37" s="11" t="n">
        <v>46401</v>
      </c>
      <c r="C37" s="23" t="s">
        <v>254</v>
      </c>
    </row>
    <row r="38" customFormat="false" ht="15" hidden="false" customHeight="false" outlineLevel="0" collapsed="false">
      <c r="A38" s="6" t="s">
        <v>255</v>
      </c>
      <c r="B38" s="10" t="s">
        <v>256</v>
      </c>
      <c r="C38" s="23"/>
    </row>
    <row r="39" customFormat="false" ht="15" hidden="false" customHeight="false" outlineLevel="0" collapsed="false">
      <c r="A39" s="6" t="s">
        <v>257</v>
      </c>
      <c r="B39" s="10" t="s">
        <v>258</v>
      </c>
      <c r="C39" s="23" t="s">
        <v>259</v>
      </c>
    </row>
    <row r="40" customFormat="false" ht="15" hidden="false" customHeight="false" outlineLevel="0" collapsed="false">
      <c r="A40" s="6" t="s">
        <v>260</v>
      </c>
      <c r="B40" s="10" t="s">
        <v>261</v>
      </c>
      <c r="C40" s="23" t="s">
        <v>262</v>
      </c>
    </row>
    <row r="41" customFormat="false" ht="55.2" hidden="false" customHeight="false" outlineLevel="0" collapsed="false">
      <c r="A41" s="6" t="s">
        <v>263</v>
      </c>
      <c r="B41" s="0" t="n">
        <v>5</v>
      </c>
      <c r="C41" s="23" t="s">
        <v>264</v>
      </c>
    </row>
    <row r="42" customFormat="false" ht="28.35" hidden="false" customHeight="false" outlineLevel="0" collapsed="false">
      <c r="A42" s="6" t="s">
        <v>265</v>
      </c>
      <c r="B42" s="0" t="n">
        <v>365</v>
      </c>
      <c r="C42" s="23"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267</v>
      </c>
      <c r="B1" s="27" t="s">
        <v>268</v>
      </c>
      <c r="D1" s="27" t="s">
        <v>269</v>
      </c>
      <c r="E1" s="27" t="s">
        <v>270</v>
      </c>
      <c r="F1" s="27" t="s">
        <v>271</v>
      </c>
      <c r="H1" s="23" t="s">
        <v>272</v>
      </c>
    </row>
    <row r="2" customFormat="false" ht="15" hidden="false" customHeight="false" outlineLevel="0" collapsed="false">
      <c r="A2" s="11" t="n">
        <v>46023</v>
      </c>
      <c r="B2" s="10" t="s">
        <v>273</v>
      </c>
      <c r="D2" s="11" t="n">
        <v>46202</v>
      </c>
      <c r="E2" s="11" t="n">
        <v>46206</v>
      </c>
      <c r="F2" s="10" t="s">
        <v>274</v>
      </c>
    </row>
    <row r="3" customFormat="false" ht="15" hidden="false" customHeight="false" outlineLevel="0" collapsed="false">
      <c r="A3" s="11" t="n">
        <v>46041</v>
      </c>
      <c r="B3" s="10" t="s">
        <v>275</v>
      </c>
      <c r="D3" s="11" t="n">
        <v>46252</v>
      </c>
      <c r="E3" s="11" t="n">
        <v>46265</v>
      </c>
      <c r="F3" s="10" t="s">
        <v>276</v>
      </c>
    </row>
    <row r="4" customFormat="false" ht="15" hidden="false" customHeight="false" outlineLevel="0" collapsed="false">
      <c r="A4" s="11" t="n">
        <v>46069</v>
      </c>
      <c r="B4" s="10" t="s">
        <v>277</v>
      </c>
      <c r="D4" s="11" t="n">
        <v>46374</v>
      </c>
      <c r="E4" s="11" t="n">
        <v>46387</v>
      </c>
      <c r="F4" s="10" t="s">
        <v>278</v>
      </c>
    </row>
    <row r="5" customFormat="false" ht="15" hidden="false" customHeight="false" outlineLevel="0" collapsed="false">
      <c r="A5" s="11" t="n">
        <v>46167</v>
      </c>
      <c r="B5" s="10" t="s">
        <v>279</v>
      </c>
      <c r="D5" s="11" t="n">
        <v>46573</v>
      </c>
      <c r="E5" s="11" t="n">
        <v>46577</v>
      </c>
      <c r="F5" s="10" t="s">
        <v>280</v>
      </c>
    </row>
    <row r="6" customFormat="false" ht="15" hidden="false" customHeight="false" outlineLevel="0" collapsed="false">
      <c r="A6" s="11" t="n">
        <v>46192</v>
      </c>
      <c r="B6" s="10" t="s">
        <v>281</v>
      </c>
      <c r="D6" s="11" t="n">
        <v>46617</v>
      </c>
      <c r="E6" s="11" t="n">
        <v>46630</v>
      </c>
      <c r="F6" s="10" t="s">
        <v>276</v>
      </c>
    </row>
    <row r="7" customFormat="false" ht="15" hidden="false" customHeight="false" outlineLevel="0" collapsed="false">
      <c r="A7" s="11" t="n">
        <v>46206</v>
      </c>
      <c r="B7" s="10" t="s">
        <v>282</v>
      </c>
      <c r="D7" s="11" t="n">
        <v>46739</v>
      </c>
      <c r="E7" s="11" t="n">
        <v>46752</v>
      </c>
      <c r="F7" s="10" t="s">
        <v>278</v>
      </c>
    </row>
    <row r="8" customFormat="false" ht="15" hidden="false" customHeight="false" outlineLevel="0" collapsed="false">
      <c r="A8" s="11" t="n">
        <v>46272</v>
      </c>
      <c r="B8" s="10" t="s">
        <v>283</v>
      </c>
      <c r="D8" s="11" t="n">
        <v>46937</v>
      </c>
      <c r="E8" s="11" t="n">
        <v>46941</v>
      </c>
      <c r="F8" s="10" t="s">
        <v>284</v>
      </c>
    </row>
    <row r="9" customFormat="false" ht="15" hidden="false" customHeight="false" outlineLevel="0" collapsed="false">
      <c r="A9" s="11" t="n">
        <v>46307</v>
      </c>
      <c r="B9" s="10" t="s">
        <v>285</v>
      </c>
      <c r="D9" s="11" t="n">
        <v>46983</v>
      </c>
      <c r="E9" s="11" t="n">
        <v>46996</v>
      </c>
      <c r="F9" s="10" t="s">
        <v>276</v>
      </c>
    </row>
    <row r="10" customFormat="false" ht="15" hidden="false" customHeight="false" outlineLevel="0" collapsed="false">
      <c r="A10" s="11" t="n">
        <v>46337</v>
      </c>
      <c r="B10" s="10" t="s">
        <v>286</v>
      </c>
      <c r="D10" s="11" t="n">
        <v>47105</v>
      </c>
      <c r="E10" s="11" t="n">
        <v>47118</v>
      </c>
      <c r="F10" s="10" t="s">
        <v>278</v>
      </c>
    </row>
    <row r="11" customFormat="false" ht="15" hidden="false" customHeight="false" outlineLevel="0" collapsed="false">
      <c r="A11" s="11" t="n">
        <v>46352</v>
      </c>
      <c r="B11" s="10" t="s">
        <v>287</v>
      </c>
      <c r="D11" s="11" t="n">
        <v>47301</v>
      </c>
      <c r="E11" s="11" t="n">
        <v>47305</v>
      </c>
      <c r="F11" s="10" t="s">
        <v>288</v>
      </c>
    </row>
    <row r="12" customFormat="false" ht="15" hidden="false" customHeight="false" outlineLevel="0" collapsed="false">
      <c r="A12" s="11" t="n">
        <v>46381</v>
      </c>
      <c r="B12" s="10" t="s">
        <v>289</v>
      </c>
      <c r="D12" s="11" t="n">
        <v>47348</v>
      </c>
      <c r="E12" s="11" t="n">
        <v>47361</v>
      </c>
      <c r="F12" s="10" t="s">
        <v>276</v>
      </c>
    </row>
    <row r="13" customFormat="false" ht="15" hidden="false" customHeight="false" outlineLevel="0" collapsed="false">
      <c r="A13" s="11" t="n">
        <v>46388</v>
      </c>
      <c r="B13" s="10" t="s">
        <v>273</v>
      </c>
      <c r="D13" s="11" t="n">
        <v>47470</v>
      </c>
      <c r="E13" s="11" t="n">
        <v>47483</v>
      </c>
      <c r="F13" s="10" t="s">
        <v>278</v>
      </c>
    </row>
    <row r="14" customFormat="false" ht="15" hidden="false" customHeight="false" outlineLevel="0" collapsed="false">
      <c r="A14" s="11" t="n">
        <v>46405</v>
      </c>
      <c r="B14" s="10" t="s">
        <v>275</v>
      </c>
      <c r="D14" s="11" t="n">
        <v>47665</v>
      </c>
      <c r="E14" s="11" t="n">
        <v>47669</v>
      </c>
      <c r="F14" s="10" t="s">
        <v>290</v>
      </c>
    </row>
    <row r="15" customFormat="false" ht="15" hidden="false" customHeight="false" outlineLevel="0" collapsed="false">
      <c r="A15" s="11" t="n">
        <v>46433</v>
      </c>
      <c r="B15" s="10" t="s">
        <v>277</v>
      </c>
      <c r="D15" s="11" t="n">
        <v>47713</v>
      </c>
      <c r="E15" s="11" t="n">
        <v>47726</v>
      </c>
      <c r="F15" s="10" t="s">
        <v>276</v>
      </c>
    </row>
    <row r="16" customFormat="false" ht="15" hidden="false" customHeight="false" outlineLevel="0" collapsed="false">
      <c r="A16" s="11" t="n">
        <v>46538</v>
      </c>
      <c r="B16" s="10" t="s">
        <v>279</v>
      </c>
      <c r="D16" s="11" t="n">
        <v>47835</v>
      </c>
      <c r="E16" s="11" t="n">
        <v>47848</v>
      </c>
      <c r="F16" s="10" t="s">
        <v>278</v>
      </c>
    </row>
    <row r="17" customFormat="false" ht="15" hidden="false" customHeight="false" outlineLevel="0" collapsed="false">
      <c r="A17" s="11" t="n">
        <v>46556</v>
      </c>
      <c r="B17" s="10" t="s">
        <v>291</v>
      </c>
    </row>
    <row r="18" customFormat="false" ht="15" hidden="false" customHeight="false" outlineLevel="0" collapsed="false">
      <c r="A18" s="11" t="n">
        <v>46573</v>
      </c>
      <c r="B18" s="10" t="s">
        <v>282</v>
      </c>
    </row>
    <row r="19" customFormat="false" ht="15" hidden="false" customHeight="false" outlineLevel="0" collapsed="false">
      <c r="A19" s="11" t="n">
        <v>46636</v>
      </c>
      <c r="B19" s="10" t="s">
        <v>283</v>
      </c>
    </row>
    <row r="20" customFormat="false" ht="15" hidden="false" customHeight="false" outlineLevel="0" collapsed="false">
      <c r="A20" s="11" t="n">
        <v>46671</v>
      </c>
      <c r="B20" s="10" t="s">
        <v>285</v>
      </c>
    </row>
    <row r="21" customFormat="false" ht="15" hidden="false" customHeight="false" outlineLevel="0" collapsed="false">
      <c r="A21" s="11" t="n">
        <v>46702</v>
      </c>
      <c r="B21" s="10" t="s">
        <v>286</v>
      </c>
    </row>
    <row r="22" customFormat="false" ht="15" hidden="false" customHeight="false" outlineLevel="0" collapsed="false">
      <c r="A22" s="11" t="n">
        <v>46716</v>
      </c>
      <c r="B22" s="10" t="s">
        <v>287</v>
      </c>
    </row>
    <row r="23" customFormat="false" ht="15" hidden="false" customHeight="false" outlineLevel="0" collapsed="false">
      <c r="A23" s="11" t="n">
        <v>46745</v>
      </c>
      <c r="B23" s="10" t="s">
        <v>292</v>
      </c>
    </row>
    <row r="24" customFormat="false" ht="15" hidden="false" customHeight="false" outlineLevel="0" collapsed="false">
      <c r="A24" s="11" t="n">
        <v>46752</v>
      </c>
      <c r="B24" s="10" t="s">
        <v>293</v>
      </c>
    </row>
    <row r="25" customFormat="false" ht="15" hidden="false" customHeight="false" outlineLevel="0" collapsed="false">
      <c r="A25" s="11" t="n">
        <v>46769</v>
      </c>
      <c r="B25" s="10" t="s">
        <v>275</v>
      </c>
    </row>
    <row r="26" customFormat="false" ht="15" hidden="false" customHeight="false" outlineLevel="0" collapsed="false">
      <c r="A26" s="11" t="n">
        <v>46804</v>
      </c>
      <c r="B26" s="10" t="s">
        <v>277</v>
      </c>
    </row>
    <row r="27" customFormat="false" ht="15" hidden="false" customHeight="false" outlineLevel="0" collapsed="false">
      <c r="A27" s="11" t="n">
        <v>46902</v>
      </c>
      <c r="B27" s="10" t="s">
        <v>279</v>
      </c>
    </row>
    <row r="28" customFormat="false" ht="15" hidden="false" customHeight="false" outlineLevel="0" collapsed="false">
      <c r="A28" s="11" t="n">
        <v>46923</v>
      </c>
      <c r="B28" s="10" t="s">
        <v>281</v>
      </c>
    </row>
    <row r="29" customFormat="false" ht="15" hidden="false" customHeight="false" outlineLevel="0" collapsed="false">
      <c r="A29" s="11" t="n">
        <v>46938</v>
      </c>
      <c r="B29" s="10" t="s">
        <v>294</v>
      </c>
    </row>
    <row r="30" customFormat="false" ht="15" hidden="false" customHeight="false" outlineLevel="0" collapsed="false">
      <c r="A30" s="11" t="n">
        <v>47000</v>
      </c>
      <c r="B30" s="10" t="s">
        <v>283</v>
      </c>
    </row>
    <row r="31" customFormat="false" ht="15" hidden="false" customHeight="false" outlineLevel="0" collapsed="false">
      <c r="A31" s="11" t="n">
        <v>47035</v>
      </c>
      <c r="B31" s="10" t="s">
        <v>285</v>
      </c>
    </row>
    <row r="32" customFormat="false" ht="15" hidden="false" customHeight="false" outlineLevel="0" collapsed="false">
      <c r="A32" s="11" t="n">
        <v>47067</v>
      </c>
      <c r="B32" s="10" t="s">
        <v>295</v>
      </c>
    </row>
    <row r="33" customFormat="false" ht="15" hidden="false" customHeight="false" outlineLevel="0" collapsed="false">
      <c r="A33" s="11" t="n">
        <v>47080</v>
      </c>
      <c r="B33" s="10" t="s">
        <v>287</v>
      </c>
    </row>
    <row r="34" customFormat="false" ht="15" hidden="false" customHeight="false" outlineLevel="0" collapsed="false">
      <c r="A34" s="11" t="n">
        <v>47112</v>
      </c>
      <c r="B34" s="10" t="s">
        <v>289</v>
      </c>
    </row>
    <row r="35" customFormat="false" ht="15" hidden="false" customHeight="false" outlineLevel="0" collapsed="false">
      <c r="A35" s="11" t="n">
        <v>47119</v>
      </c>
      <c r="B35" s="10" t="s">
        <v>273</v>
      </c>
    </row>
    <row r="36" customFormat="false" ht="15" hidden="false" customHeight="false" outlineLevel="0" collapsed="false">
      <c r="A36" s="11" t="n">
        <v>47133</v>
      </c>
      <c r="B36" s="10" t="s">
        <v>275</v>
      </c>
    </row>
    <row r="37" customFormat="false" ht="15" hidden="false" customHeight="false" outlineLevel="0" collapsed="false">
      <c r="A37" s="11" t="n">
        <v>47168</v>
      </c>
      <c r="B37" s="10" t="s">
        <v>277</v>
      </c>
    </row>
    <row r="38" customFormat="false" ht="15" hidden="false" customHeight="false" outlineLevel="0" collapsed="false">
      <c r="A38" s="11" t="n">
        <v>47266</v>
      </c>
      <c r="B38" s="10" t="s">
        <v>279</v>
      </c>
    </row>
    <row r="39" customFormat="false" ht="15" hidden="false" customHeight="false" outlineLevel="0" collapsed="false">
      <c r="A39" s="11" t="n">
        <v>47288</v>
      </c>
      <c r="B39" s="10" t="s">
        <v>281</v>
      </c>
    </row>
    <row r="40" customFormat="false" ht="15" hidden="false" customHeight="false" outlineLevel="0" collapsed="false">
      <c r="A40" s="11" t="n">
        <v>47303</v>
      </c>
      <c r="B40" s="10" t="s">
        <v>294</v>
      </c>
    </row>
    <row r="41" customFormat="false" ht="15" hidden="false" customHeight="false" outlineLevel="0" collapsed="false">
      <c r="A41" s="11" t="n">
        <v>47364</v>
      </c>
      <c r="B41" s="10" t="s">
        <v>283</v>
      </c>
    </row>
    <row r="42" customFormat="false" ht="15" hidden="false" customHeight="false" outlineLevel="0" collapsed="false">
      <c r="A42" s="11" t="n">
        <v>47399</v>
      </c>
      <c r="B42" s="10" t="s">
        <v>285</v>
      </c>
    </row>
    <row r="43" customFormat="false" ht="15" hidden="false" customHeight="false" outlineLevel="0" collapsed="false">
      <c r="A43" s="11" t="n">
        <v>47434</v>
      </c>
      <c r="B43" s="10" t="s">
        <v>295</v>
      </c>
    </row>
    <row r="44" customFormat="false" ht="15" hidden="false" customHeight="false" outlineLevel="0" collapsed="false">
      <c r="A44" s="11" t="n">
        <v>47444</v>
      </c>
      <c r="B44" s="10" t="s">
        <v>287</v>
      </c>
    </row>
    <row r="45" customFormat="false" ht="15" hidden="false" customHeight="false" outlineLevel="0" collapsed="false">
      <c r="A45" s="11" t="n">
        <v>47477</v>
      </c>
      <c r="B45" s="10" t="s">
        <v>289</v>
      </c>
    </row>
    <row r="46" customFormat="false" ht="15" hidden="false" customHeight="false" outlineLevel="0" collapsed="false">
      <c r="A46" s="11" t="n">
        <v>47484</v>
      </c>
      <c r="B46" s="10" t="s">
        <v>273</v>
      </c>
    </row>
    <row r="47" customFormat="false" ht="15" hidden="false" customHeight="false" outlineLevel="0" collapsed="false">
      <c r="A47" s="11" t="n">
        <v>47504</v>
      </c>
      <c r="B47" s="10" t="s">
        <v>275</v>
      </c>
    </row>
    <row r="48" customFormat="false" ht="15" hidden="false" customHeight="false" outlineLevel="0" collapsed="false">
      <c r="A48" s="11" t="n">
        <v>47532</v>
      </c>
      <c r="B48" s="10" t="s">
        <v>277</v>
      </c>
    </row>
    <row r="49" customFormat="false" ht="15" hidden="false" customHeight="false" outlineLevel="0" collapsed="false">
      <c r="A49" s="11" t="n">
        <v>47630</v>
      </c>
      <c r="B49" s="10" t="s">
        <v>279</v>
      </c>
    </row>
    <row r="50" customFormat="false" ht="15" hidden="false" customHeight="false" outlineLevel="0" collapsed="false">
      <c r="A50" s="11" t="n">
        <v>47653</v>
      </c>
      <c r="B50" s="10" t="s">
        <v>281</v>
      </c>
    </row>
    <row r="51" customFormat="false" ht="15" hidden="false" customHeight="false" outlineLevel="0" collapsed="false">
      <c r="A51" s="11" t="n">
        <v>47668</v>
      </c>
      <c r="B51" s="10" t="s">
        <v>294</v>
      </c>
    </row>
    <row r="52" customFormat="false" ht="15" hidden="false" customHeight="false" outlineLevel="0" collapsed="false">
      <c r="A52" s="11" t="n">
        <v>47728</v>
      </c>
      <c r="B52" s="10" t="s">
        <v>283</v>
      </c>
    </row>
    <row r="53" customFormat="false" ht="15" hidden="false" customHeight="false" outlineLevel="0" collapsed="false">
      <c r="A53" s="11" t="n">
        <v>47770</v>
      </c>
      <c r="B53" s="10" t="s">
        <v>285</v>
      </c>
    </row>
    <row r="54" customFormat="false" ht="15" hidden="false" customHeight="false" outlineLevel="0" collapsed="false">
      <c r="A54" s="11" t="n">
        <v>47798</v>
      </c>
      <c r="B54" s="10" t="s">
        <v>286</v>
      </c>
    </row>
    <row r="55" customFormat="false" ht="15" hidden="false" customHeight="false" outlineLevel="0" collapsed="false">
      <c r="A55" s="11" t="n">
        <v>47815</v>
      </c>
      <c r="B55" s="10" t="s">
        <v>287</v>
      </c>
    </row>
    <row r="56" customFormat="false" ht="15" hidden="false" customHeight="false" outlineLevel="0" collapsed="false">
      <c r="A56" s="11" t="n">
        <v>47842</v>
      </c>
      <c r="B56" s="10" t="s">
        <v>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296</v>
      </c>
      <c r="B1" s="28" t="s">
        <v>297</v>
      </c>
      <c r="C1" s="28" t="s">
        <v>298</v>
      </c>
      <c r="D1" s="28" t="s">
        <v>77</v>
      </c>
      <c r="E1" s="28" t="s">
        <v>299</v>
      </c>
      <c r="F1" s="28" t="s">
        <v>300</v>
      </c>
      <c r="G1" s="28" t="s">
        <v>301</v>
      </c>
      <c r="H1" s="28" t="s">
        <v>302</v>
      </c>
      <c r="I1" s="29" t="s">
        <v>303</v>
      </c>
      <c r="J1" s="29" t="s">
        <v>304</v>
      </c>
      <c r="K1" s="29" t="s">
        <v>305</v>
      </c>
      <c r="L1" s="29" t="s">
        <v>306</v>
      </c>
      <c r="M1" s="29" t="s">
        <v>307</v>
      </c>
      <c r="N1" s="29" t="s">
        <v>308</v>
      </c>
      <c r="O1" s="29" t="s">
        <v>309</v>
      </c>
      <c r="P1" s="29" t="s">
        <v>310</v>
      </c>
      <c r="Q1" s="29" t="s">
        <v>311</v>
      </c>
      <c r="R1" s="29" t="s">
        <v>312</v>
      </c>
      <c r="S1" s="29" t="s">
        <v>313</v>
      </c>
      <c r="T1" s="29" t="s">
        <v>314</v>
      </c>
      <c r="U1" s="29" t="s">
        <v>315</v>
      </c>
      <c r="V1" s="29" t="s">
        <v>316</v>
      </c>
      <c r="W1" s="29" t="s">
        <v>317</v>
      </c>
      <c r="X1" s="29" t="s">
        <v>318</v>
      </c>
      <c r="Y1" s="29" t="s">
        <v>319</v>
      </c>
      <c r="Z1" s="29" t="s">
        <v>320</v>
      </c>
      <c r="AA1" s="29" t="s">
        <v>81</v>
      </c>
      <c r="AB1" s="29" t="s">
        <v>321</v>
      </c>
      <c r="AC1" s="29" t="s">
        <v>322</v>
      </c>
      <c r="AD1" s="29" t="s">
        <v>323</v>
      </c>
      <c r="AE1" s="29" t="s">
        <v>324</v>
      </c>
      <c r="AF1" s="29" t="s">
        <v>325</v>
      </c>
      <c r="AG1" s="29" t="s">
        <v>326</v>
      </c>
      <c r="AH1" s="29" t="s">
        <v>327</v>
      </c>
      <c r="AI1" s="29" t="s">
        <v>328</v>
      </c>
      <c r="AJ1" s="29" t="s">
        <v>329</v>
      </c>
      <c r="AK1" s="29" t="s">
        <v>330</v>
      </c>
      <c r="AL1" s="29" t="s">
        <v>238</v>
      </c>
      <c r="AM1" s="29" t="s">
        <v>331</v>
      </c>
      <c r="AN1" s="29" t="s">
        <v>332</v>
      </c>
      <c r="AO1" s="29" t="s">
        <v>333</v>
      </c>
    </row>
    <row r="2" customFormat="false" ht="15" hidden="false" customHeight="false" outlineLevel="0" collapsed="false">
      <c r="A2" s="0" t="s">
        <v>334</v>
      </c>
      <c r="B2" s="11" t="n">
        <v>46399</v>
      </c>
      <c r="C2" s="10" t="s">
        <v>335</v>
      </c>
      <c r="D2" s="10" t="s">
        <v>336</v>
      </c>
      <c r="E2" s="10" t="s">
        <v>337</v>
      </c>
      <c r="F2" s="10" t="s">
        <v>338</v>
      </c>
      <c r="G2" s="10" t="s">
        <v>339</v>
      </c>
      <c r="H2" s="10" t="s">
        <v>340</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T+2 day-3 photos and top-ups</v>
      </c>
      <c r="Y2" s="31"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46401</v>
      </c>
      <c r="Z2" s="30" t="n">
        <f aca="false">IF($A2="","",COUNTIF(campaigns!$B$2:$B$51,$A2))</f>
        <v>2</v>
      </c>
      <c r="AA2" s="30" t="n">
        <f aca="false">IF($A2="","",COUNTIF(stops!$A$2:$A$151,$A2))</f>
        <v>5</v>
      </c>
      <c r="AB2" s="30" t="n">
        <f aca="false">IF($A2="","",SUMIFS(approvals!$S$2:$S$251,approvals!$H$2:$H$251,$A2,approvals!$P$2:$P$251,"Y"))</f>
        <v>500</v>
      </c>
      <c r="AC2" s="32" t="n">
        <f aca="false">IF($A2="","",SUMIFS(campaigns!$DB$2:$DB$51,campaigns!$B$2:$B$51,$A2))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50.5</v>
      </c>
      <c r="AJ2" s="32" t="n">
        <f aca="false">IF($A2="","",$AC2-SUMIFS(campaigns!$DF$2:$DF$51,campaigns!$B$2:$B$51,$A2)-$AG2)</f>
        <v>928</v>
      </c>
      <c r="AK2" s="32" t="n">
        <f aca="false">IF(OR($A2="",N($AI2)=0),"",ROUND($AJ2/$AI2,2))</f>
        <v>18.38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3</v>
      </c>
      <c r="AN2" s="30" t="n">
        <f aca="false">IF(OR($A2="",$T2=""),"",COUNTIFS(campaigns!$B$2:$B$51,$A2,campaigns!$DT$2:$DT$51,"late"))</f>
        <v>0</v>
      </c>
      <c r="AO2" s="30" t="n">
        <f aca="false">IF($A2="","",COUNTIFS(campaigns!$B$2:$B$51,$A2,campaigns!$AV$2:$AV$51,"yes"))</f>
        <v>0</v>
      </c>
    </row>
    <row r="3" customFormat="false" ht="15" hidden="false" customHeight="false" outlineLevel="0" collapsed="false">
      <c r="A3" s="0" t="s">
        <v>341</v>
      </c>
      <c r="B3" s="11" t="n">
        <v>46427</v>
      </c>
      <c r="C3" s="10" t="s">
        <v>342</v>
      </c>
      <c r="D3" s="10" t="s">
        <v>336</v>
      </c>
      <c r="E3" s="10" t="s">
        <v>337</v>
      </c>
      <c r="F3" s="10" t="s">
        <v>343</v>
      </c>
      <c r="G3" s="10" t="s">
        <v>344</v>
      </c>
      <c r="H3" s="10" t="s">
        <v>345</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T-10 brand ships; approvals in</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46413</v>
      </c>
      <c r="Z3" s="30" t="n">
        <f aca="false">IF($A3="","",COUNTIF(campaigns!$B$2:$B$51,$A3))</f>
        <v>3</v>
      </c>
      <c r="AA3" s="30" t="n">
        <f aca="false">IF($A3="","",COUNTIF(stops!$A$2:$A$151,$A3))</f>
        <v>0</v>
      </c>
      <c r="AB3" s="30" t="n">
        <f aca="false">IF($A3="","",SUMIFS(approvals!$S$2:$S$251,approvals!$H$2:$H$251,$A3,approvals!$P$2:$P$251,"Y"))</f>
        <v>1485</v>
      </c>
      <c r="AC3" s="32" t="n">
        <f aca="false">IF($A3="","",SUMIFS(campaigns!$DB$2:$DB$51,campaigns!$B$2:$B$51,$A3))</f>
        <v>2250</v>
      </c>
      <c r="AD3" s="32" t="n">
        <f aca="false">IF($A3="","",SUMIFS(costs!$E$2:$E$301,costs!$B$2:$B$301,$A3,costs!$D$2:$D$301,"kit"))</f>
        <v>0</v>
      </c>
      <c r="AE3" s="32" t="n">
        <f aca="false">IF($A3="","",SUMIFS(costs!$E$2:$E$301,costs!$B$2:$B$301,$A3,costs!$D$2:$D$301,"transport"))</f>
        <v>0</v>
      </c>
      <c r="AF3" s="32" t="n">
        <f aca="false">IF($A3="","",SUMIFS(costs!$E$2:$E$301,costs!$B$2:$B$301,$A3,costs!$D$2:$D$301,"other_direct"))</f>
        <v>0</v>
      </c>
      <c r="AG3" s="32" t="n">
        <f aca="false">IF($A3="","",$AD3+$AE3+$AF3)</f>
        <v>0</v>
      </c>
      <c r="AH3" s="32" t="str">
        <f aca="false">IF(OR($A3="",N($AA3)=0),"",ROUND($AG3/$AA3,2))</f>
        <v/>
      </c>
      <c r="AI3" s="33" t="n">
        <f aca="false">IF($A3="","",SUMIFS(hours!$E$2:$E$1501,hours!$B$2:$B$1501,$A3))</f>
        <v>26.5</v>
      </c>
      <c r="AJ3" s="32" t="n">
        <f aca="false">IF($A3="","",$AC3-SUMIFS(campaigns!$DF$2:$DF$51,campaigns!$B$2:$B$51,$A3)-$AG3)</f>
        <v>2250</v>
      </c>
      <c r="AK3" s="32" t="n">
        <f aca="false">IF(OR($A3="",N($AI3)=0),"",ROUND($AJ3/$AI3,2))</f>
        <v>84.91</v>
      </c>
      <c r="AL3" s="34" t="str">
        <f aca="false">IF(OR($A3="",SUMIFS(campaigns!$CB$2:$CB$51,campaigns!$B$2:$B$51,$A3)=0),"",SUMIFS(campaigns!$CD$2:$CD$51,campaigns!$B$2:$B$51,$A3)/SUMIFS(campaigns!$CB$2:$CB$51,campaigns!$B$2:$B$51,$A3))</f>
        <v/>
      </c>
      <c r="AM3" s="30" t="n">
        <f aca="false">IF(OR($A3="",COUNTIFS(approvals!$H$2:$H$251,$A3,approvals!$Q$2:$Q$251,"Y")=0),"",SUMPRODUCT(MIN(approvals!$BB$2:$BB$251+(approvals!$H$2:$H$251&lt;&gt;$A3)*1000000)))</f>
        <v>0</v>
      </c>
      <c r="AN3" s="30" t="n">
        <f aca="false">IF(OR($A3="",$T3=""),"",COUNTIFS(campaigns!$B$2:$B$51,$A3,campaigns!$DT$2:$DT$51,"late"))</f>
        <v>0</v>
      </c>
      <c r="AO3" s="30" t="n">
        <f aca="false">IF($A3="","",COUNTIFS(campaigns!$B$2:$B$51,$A3,campaigns!$AV$2:$AV$51,"yes"))</f>
        <v>0</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IF($A4="","",SUMIFS(campaigns!$DB$2:$DB$51,campaigns!$B$2:$B$51,$A4))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IF($A4="","",$AC4-SUMIFS(campaigns!$DF$2:$DF$51,campaigns!$B$2:$B$51,$A4)-$AG4)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IF(OR($A4="",$T4=""),"",COUNTIFS(campaigns!$B$2:$B$51,$A4,campaigns!$DT$2:$DT$51,"late"))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IF($A5="","",SUMIFS(campaigns!$DB$2:$DB$51,campaigns!$B$2:$B$51,$A5))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IF($A5="","",$AC5-SUMIFS(campaigns!$DF$2:$DF$51,campaigns!$B$2:$B$51,$A5)-$AG5)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IF(OR($A5="",$T5=""),"",COUNTIFS(campaigns!$B$2:$B$51,$A5,campaigns!$DT$2:$DT$51,"late"))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IF($A6="","",SUMIFS(campaigns!$DB$2:$DB$51,campaigns!$B$2:$B$51,$A6))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IF($A6="","",$AC6-SUMIFS(campaigns!$DF$2:$DF$51,campaigns!$B$2:$B$51,$A6)-$AG6)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IF(OR($A6="",$T6=""),"",COUNTIFS(campaigns!$B$2:$B$51,$A6,campaigns!$DT$2:$DT$51,"late"))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IF($A7="","",SUMIFS(campaigns!$DB$2:$DB$51,campaigns!$B$2:$B$51,$A7))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IF($A7="","",$AC7-SUMIFS(campaigns!$DF$2:$DF$51,campaigns!$B$2:$B$51,$A7)-$AG7)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IF(OR($A7="",$T7=""),"",COUNTIFS(campaigns!$B$2:$B$51,$A7,campaigns!$DT$2:$DT$51,"late"))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IF($A8="","",SUMIFS(campaigns!$DB$2:$DB$51,campaigns!$B$2:$B$51,$A8))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IF($A8="","",$AC8-SUMIFS(campaigns!$DF$2:$DF$51,campaigns!$B$2:$B$51,$A8)-$AG8)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IF(OR($A8="",$T8=""),"",COUNTIFS(campaigns!$B$2:$B$51,$A8,campaigns!$DT$2:$DT$51,"late"))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IF($A9="","",SUMIFS(campaigns!$DB$2:$DB$51,campaigns!$B$2:$B$51,$A9))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IF($A9="","",$AC9-SUMIFS(campaigns!$DF$2:$DF$51,campaigns!$B$2:$B$51,$A9)-$AG9)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IF(OR($A9="",$T9=""),"",COUNTIFS(campaigns!$B$2:$B$51,$A9,campaigns!$DT$2:$DT$51,"late"))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IF($A10="","",SUMIFS(campaigns!$DB$2:$DB$51,campaigns!$B$2:$B$51,$A10))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IF($A10="","",$AC10-SUMIFS(campaigns!$DF$2:$DF$51,campaigns!$B$2:$B$51,$A10)-$AG10)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IF(OR($A10="",$T10=""),"",COUNTIFS(campaigns!$B$2:$B$51,$A10,campaigns!$DT$2:$DT$51,"late"))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IF($A11="","",SUMIFS(campaigns!$DB$2:$DB$51,campaigns!$B$2:$B$51,$A11))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IF($A11="","",$AC11-SUMIFS(campaigns!$DF$2:$DF$51,campaigns!$B$2:$B$51,$A11)-$AG11)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IF(OR($A11="",$T11=""),"",COUNTIFS(campaigns!$B$2:$B$51,$A11,campaigns!$DT$2:$DT$51,"late"))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IF($A12="","",SUMIFS(campaigns!$DB$2:$DB$51,campaigns!$B$2:$B$51,$A12))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IF($A12="","",$AC12-SUMIFS(campaigns!$DF$2:$DF$51,campaigns!$B$2:$B$51,$A12)-$AG12)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IF(OR($A12="",$T12=""),"",COUNTIFS(campaigns!$B$2:$B$51,$A12,campaigns!$DT$2:$DT$51,"late"))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IF($A13="","",SUMIFS(campaigns!$DB$2:$DB$51,campaigns!$B$2:$B$51,$A13))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IF($A13="","",$AC13-SUMIFS(campaigns!$DF$2:$DF$51,campaigns!$B$2:$B$51,$A13)-$AG13)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IF(OR($A13="",$T13=""),"",COUNTIFS(campaigns!$B$2:$B$51,$A13,campaigns!$DT$2:$DT$51,"late"))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IF($A14="","",SUMIFS(campaigns!$DB$2:$DB$51,campaigns!$B$2:$B$51,$A14))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IF($A14="","",$AC14-SUMIFS(campaigns!$DF$2:$DF$51,campaigns!$B$2:$B$51,$A14)-$AG14)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IF(OR($A14="",$T14=""),"",COUNTIFS(campaigns!$B$2:$B$51,$A14,campaigns!$DT$2:$DT$51,"late"))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IF($A15="","",SUMIFS(campaigns!$DB$2:$DB$51,campaigns!$B$2:$B$51,$A15))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IF($A15="","",$AC15-SUMIFS(campaigns!$DF$2:$DF$51,campaigns!$B$2:$B$51,$A15)-$AG15)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IF(OR($A15="",$T15=""),"",COUNTIFS(campaigns!$B$2:$B$51,$A15,campaigns!$DT$2:$DT$51,"late"))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IF($A16="","",SUMIFS(campaigns!$DB$2:$DB$51,campaigns!$B$2:$B$51,$A16))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IF($A16="","",$AC16-SUMIFS(campaigns!$DF$2:$DF$51,campaigns!$B$2:$B$51,$A16)-$AG16)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IF(OR($A16="",$T16=""),"",COUNTIFS(campaigns!$B$2:$B$51,$A16,campaigns!$DT$2:$DT$51,"late"))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IF($A17="","",SUMIFS(campaigns!$DB$2:$DB$51,campaigns!$B$2:$B$51,$A17))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IF($A17="","",$AC17-SUMIFS(campaigns!$DF$2:$DF$51,campaigns!$B$2:$B$51,$A17)-$AG17)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IF(OR($A17="",$T17=""),"",COUNTIFS(campaigns!$B$2:$B$51,$A17,campaigns!$DT$2:$DT$51,"late"))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IF($A18="","",SUMIFS(campaigns!$DB$2:$DB$51,campaigns!$B$2:$B$51,$A18))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IF($A18="","",$AC18-SUMIFS(campaigns!$DF$2:$DF$51,campaigns!$B$2:$B$51,$A18)-$AG18)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IF(OR($A18="",$T18=""),"",COUNTIFS(campaigns!$B$2:$B$51,$A18,campaigns!$DT$2:$DT$51,"late"))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IF($A19="","",SUMIFS(campaigns!$DB$2:$DB$51,campaigns!$B$2:$B$51,$A19))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IF($A19="","",$AC19-SUMIFS(campaigns!$DF$2:$DF$51,campaigns!$B$2:$B$51,$A19)-$AG19)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IF(OR($A19="",$T19=""),"",COUNTIFS(campaigns!$B$2:$B$51,$A19,campaigns!$DT$2:$DT$51,"late"))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IF($A20="","",SUMIFS(campaigns!$DB$2:$DB$51,campaigns!$B$2:$B$51,$A20))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IF($A20="","",$AC20-SUMIFS(campaigns!$DF$2:$DF$51,campaigns!$B$2:$B$51,$A20)-$AG20)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IF(OR($A20="",$T20=""),"",COUNTIFS(campaigns!$B$2:$B$51,$A20,campaigns!$DT$2:$DT$51,"late"))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IF($A21="","",SUMIFS(campaigns!$DB$2:$DB$51,campaigns!$B$2:$B$51,$A21))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IF($A21="","",$AC21-SUMIFS(campaigns!$DF$2:$DF$51,campaigns!$B$2:$B$51,$A21)-$AG21)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IF(OR($A21="",$T21=""),"",COUNTIFS(campaigns!$B$2:$B$51,$A21,campaigns!$DT$2:$DT$51,"late"))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U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3" min="76" style="0" width="8"/>
    <col collapsed="false" customWidth="true" hidden="false" outlineLevel="0" max="104" min="104" style="0" width="11"/>
    <col collapsed="false" customWidth="true" hidden="false" outlineLevel="0" max="105" min="105" style="0" width="8"/>
    <col collapsed="false" customWidth="true" hidden="false" outlineLevel="0" max="107" min="106" style="0" width="10"/>
    <col collapsed="false" customWidth="true" hidden="false" outlineLevel="0" max="109" min="108" style="0" width="11"/>
    <col collapsed="false" customWidth="true" hidden="false" outlineLevel="0" max="110" min="110" style="0" width="9"/>
    <col collapsed="false" customWidth="true" hidden="false" outlineLevel="0" max="112" min="111" style="0" width="10"/>
    <col collapsed="false" customWidth="true" hidden="false" outlineLevel="0" max="114" min="113" style="0" width="8"/>
    <col collapsed="false" customWidth="true" hidden="false" outlineLevel="0" max="116" min="115" style="0" width="10"/>
    <col collapsed="false" customWidth="true" hidden="false" outlineLevel="0" max="118" min="117" style="0" width="8"/>
    <col collapsed="false" customWidth="true" hidden="false" outlineLevel="0" max="121" min="119" style="0" width="11"/>
    <col collapsed="false" customWidth="true" hidden="false" outlineLevel="0" max="124" min="122" style="0" width="7"/>
    <col collapsed="false" customWidth="true" hidden="false" outlineLevel="0" max="125" min="125" style="0" width="40"/>
  </cols>
  <sheetData>
    <row r="1" customFormat="false" ht="15" hidden="false" customHeight="false" outlineLevel="0" collapsed="false">
      <c r="A1" s="28" t="s">
        <v>346</v>
      </c>
      <c r="B1" s="28" t="s">
        <v>296</v>
      </c>
      <c r="C1" s="28" t="s">
        <v>347</v>
      </c>
      <c r="D1" s="28" t="s">
        <v>98</v>
      </c>
      <c r="E1" s="28" t="s">
        <v>348</v>
      </c>
      <c r="F1" s="28" t="s">
        <v>349</v>
      </c>
      <c r="G1" s="28" t="s">
        <v>350</v>
      </c>
      <c r="H1" s="28" t="s">
        <v>351</v>
      </c>
      <c r="I1" s="28" t="s">
        <v>352</v>
      </c>
      <c r="J1" s="28" t="s">
        <v>353</v>
      </c>
      <c r="K1" s="28" t="s">
        <v>354</v>
      </c>
      <c r="L1" s="28" t="s">
        <v>355</v>
      </c>
      <c r="M1" s="28" t="s">
        <v>356</v>
      </c>
      <c r="N1" s="28" t="s">
        <v>357</v>
      </c>
      <c r="O1" s="28" t="s">
        <v>358</v>
      </c>
      <c r="P1" s="28" t="s">
        <v>359</v>
      </c>
      <c r="Q1" s="28" t="s">
        <v>360</v>
      </c>
      <c r="R1" s="28" t="s">
        <v>361</v>
      </c>
      <c r="S1" s="28" t="s">
        <v>362</v>
      </c>
      <c r="T1" s="28" t="s">
        <v>363</v>
      </c>
      <c r="U1" s="28" t="s">
        <v>364</v>
      </c>
      <c r="V1" s="28" t="s">
        <v>365</v>
      </c>
      <c r="W1" s="28" t="s">
        <v>366</v>
      </c>
      <c r="X1" s="28" t="s">
        <v>367</v>
      </c>
      <c r="Y1" s="28" t="s">
        <v>368</v>
      </c>
      <c r="Z1" s="28" t="s">
        <v>369</v>
      </c>
      <c r="AA1" s="28" t="s">
        <v>370</v>
      </c>
      <c r="AB1" s="28" t="s">
        <v>371</v>
      </c>
      <c r="AC1" s="28" t="s">
        <v>372</v>
      </c>
      <c r="AD1" s="28" t="s">
        <v>373</v>
      </c>
      <c r="AE1" s="28" t="s">
        <v>374</v>
      </c>
      <c r="AF1" s="28" t="s">
        <v>375</v>
      </c>
      <c r="AG1" s="28" t="s">
        <v>376</v>
      </c>
      <c r="AH1" s="28" t="s">
        <v>377</v>
      </c>
      <c r="AI1" s="28" t="s">
        <v>378</v>
      </c>
      <c r="AJ1" s="28" t="s">
        <v>379</v>
      </c>
      <c r="AK1" s="28" t="s">
        <v>380</v>
      </c>
      <c r="AL1" s="28" t="s">
        <v>381</v>
      </c>
      <c r="AM1" s="28" t="s">
        <v>382</v>
      </c>
      <c r="AN1" s="28" t="s">
        <v>383</v>
      </c>
      <c r="AO1" s="28" t="s">
        <v>384</v>
      </c>
      <c r="AP1" s="28" t="s">
        <v>385</v>
      </c>
      <c r="AQ1" s="28" t="s">
        <v>386</v>
      </c>
      <c r="AR1" s="28" t="s">
        <v>387</v>
      </c>
      <c r="AS1" s="28" t="s">
        <v>388</v>
      </c>
      <c r="AT1" s="28" t="s">
        <v>389</v>
      </c>
      <c r="AU1" s="28" t="s">
        <v>390</v>
      </c>
      <c r="AV1" s="28" t="s">
        <v>391</v>
      </c>
      <c r="AW1" s="28" t="s">
        <v>392</v>
      </c>
      <c r="AX1" s="28" t="s">
        <v>393</v>
      </c>
      <c r="AY1" s="28" t="s">
        <v>394</v>
      </c>
      <c r="AZ1" s="28" t="s">
        <v>395</v>
      </c>
      <c r="BA1" s="28" t="s">
        <v>396</v>
      </c>
      <c r="BB1" s="28" t="s">
        <v>397</v>
      </c>
      <c r="BC1" s="28" t="s">
        <v>398</v>
      </c>
      <c r="BD1" s="28" t="s">
        <v>302</v>
      </c>
      <c r="BE1" s="29" t="s">
        <v>399</v>
      </c>
      <c r="BF1" s="29" t="s">
        <v>400</v>
      </c>
      <c r="BG1" s="29" t="s">
        <v>297</v>
      </c>
      <c r="BH1" s="29" t="s">
        <v>298</v>
      </c>
      <c r="BI1" s="29" t="s">
        <v>401</v>
      </c>
      <c r="BJ1" s="29" t="s">
        <v>402</v>
      </c>
      <c r="BK1" s="29" t="s">
        <v>403</v>
      </c>
      <c r="BL1" s="29" t="s">
        <v>404</v>
      </c>
      <c r="BM1" s="29" t="s">
        <v>306</v>
      </c>
      <c r="BN1" s="29" t="s">
        <v>405</v>
      </c>
      <c r="BO1" s="29" t="s">
        <v>406</v>
      </c>
      <c r="BP1" s="29" t="s">
        <v>407</v>
      </c>
      <c r="BQ1" s="29" t="s">
        <v>408</v>
      </c>
      <c r="BR1" s="29" t="s">
        <v>321</v>
      </c>
      <c r="BS1" s="29" t="s">
        <v>409</v>
      </c>
      <c r="BT1" s="29" t="s">
        <v>410</v>
      </c>
      <c r="BU1" s="29" t="s">
        <v>411</v>
      </c>
      <c r="BV1" s="29" t="s">
        <v>412</v>
      </c>
      <c r="BW1" s="29" t="s">
        <v>413</v>
      </c>
      <c r="BX1" s="29" t="s">
        <v>414</v>
      </c>
      <c r="BY1" s="29" t="s">
        <v>415</v>
      </c>
      <c r="BZ1" s="29" t="s">
        <v>416</v>
      </c>
      <c r="CA1" s="29" t="s">
        <v>417</v>
      </c>
      <c r="CB1" s="29" t="s">
        <v>418</v>
      </c>
      <c r="CC1" s="29" t="s">
        <v>419</v>
      </c>
      <c r="CD1" s="29" t="s">
        <v>420</v>
      </c>
      <c r="CE1" s="29" t="s">
        <v>421</v>
      </c>
      <c r="CF1" s="29" t="s">
        <v>422</v>
      </c>
      <c r="CG1" s="29" t="s">
        <v>423</v>
      </c>
      <c r="CH1" s="29" t="s">
        <v>424</v>
      </c>
      <c r="CI1" s="29" t="s">
        <v>425</v>
      </c>
      <c r="CJ1" s="29" t="s">
        <v>426</v>
      </c>
      <c r="CK1" s="29" t="s">
        <v>427</v>
      </c>
      <c r="CL1" s="29" t="s">
        <v>428</v>
      </c>
      <c r="CM1" s="29" t="s">
        <v>429</v>
      </c>
      <c r="CN1" s="29" t="s">
        <v>430</v>
      </c>
      <c r="CO1" s="29" t="s">
        <v>431</v>
      </c>
      <c r="CP1" s="29" t="s">
        <v>432</v>
      </c>
      <c r="CQ1" s="29" t="s">
        <v>433</v>
      </c>
      <c r="CR1" s="29" t="s">
        <v>434</v>
      </c>
      <c r="CS1" s="29" t="s">
        <v>435</v>
      </c>
      <c r="CT1" s="29" t="s">
        <v>436</v>
      </c>
      <c r="CU1" s="29" t="s">
        <v>437</v>
      </c>
      <c r="CV1" s="29" t="s">
        <v>438</v>
      </c>
      <c r="CW1" s="29" t="s">
        <v>439</v>
      </c>
      <c r="CX1" s="29" t="s">
        <v>440</v>
      </c>
      <c r="CY1" s="29" t="s">
        <v>441</v>
      </c>
      <c r="CZ1" s="29" t="s">
        <v>442</v>
      </c>
      <c r="DA1" s="29" t="s">
        <v>443</v>
      </c>
      <c r="DB1" s="29" t="s">
        <v>322</v>
      </c>
      <c r="DC1" s="29" t="s">
        <v>444</v>
      </c>
      <c r="DD1" s="29" t="s">
        <v>445</v>
      </c>
      <c r="DE1" s="29" t="s">
        <v>446</v>
      </c>
      <c r="DF1" s="29" t="s">
        <v>447</v>
      </c>
      <c r="DG1" s="29" t="s">
        <v>326</v>
      </c>
      <c r="DH1" s="29" t="s">
        <v>448</v>
      </c>
      <c r="DI1" s="29" t="s">
        <v>449</v>
      </c>
      <c r="DJ1" s="29" t="s">
        <v>450</v>
      </c>
      <c r="DK1" s="29" t="s">
        <v>329</v>
      </c>
      <c r="DL1" s="29" t="s">
        <v>330</v>
      </c>
      <c r="DM1" s="29" t="s">
        <v>451</v>
      </c>
      <c r="DN1" s="29" t="s">
        <v>452</v>
      </c>
      <c r="DO1" s="29" t="s">
        <v>453</v>
      </c>
      <c r="DP1" s="29" t="s">
        <v>454</v>
      </c>
      <c r="DQ1" s="29" t="s">
        <v>455</v>
      </c>
      <c r="DR1" s="29" t="s">
        <v>456</v>
      </c>
      <c r="DS1" s="29" t="s">
        <v>457</v>
      </c>
      <c r="DT1" s="29" t="s">
        <v>458</v>
      </c>
      <c r="DU1" s="29" t="s">
        <v>118</v>
      </c>
    </row>
    <row r="2" customFormat="false" ht="15" hidden="false" customHeight="false" outlineLevel="0" collapsed="false">
      <c r="A2" s="0" t="s">
        <v>459</v>
      </c>
      <c r="B2" s="0" t="s">
        <v>334</v>
      </c>
      <c r="C2" s="0" t="s">
        <v>460</v>
      </c>
      <c r="D2" s="10" t="s">
        <v>461</v>
      </c>
      <c r="F2" s="0" t="n">
        <v>5</v>
      </c>
      <c r="G2" s="12"/>
      <c r="H2" s="11" t="n">
        <v>46363</v>
      </c>
      <c r="I2" s="10" t="s">
        <v>462</v>
      </c>
      <c r="J2" s="10" t="s">
        <v>463</v>
      </c>
      <c r="L2" s="10" t="s">
        <v>464</v>
      </c>
      <c r="M2" s="10" t="s">
        <v>465</v>
      </c>
      <c r="N2" s="10" t="s">
        <v>466</v>
      </c>
      <c r="O2" s="10" t="s">
        <v>467</v>
      </c>
      <c r="U2" s="10" t="s">
        <v>468</v>
      </c>
      <c r="V2" s="10" t="s">
        <v>469</v>
      </c>
      <c r="W2" s="10" t="s">
        <v>470</v>
      </c>
      <c r="X2" s="10" t="s">
        <v>471</v>
      </c>
      <c r="Y2" s="10" t="s">
        <v>472</v>
      </c>
      <c r="Z2" s="10" t="s">
        <v>473</v>
      </c>
      <c r="AA2" s="10" t="s">
        <v>474</v>
      </c>
      <c r="AB2" s="11" t="n">
        <v>46370</v>
      </c>
      <c r="AC2" s="11" t="n">
        <v>46370</v>
      </c>
      <c r="AD2" s="11" t="n">
        <v>46370</v>
      </c>
      <c r="AF2" s="11" t="n">
        <v>46377</v>
      </c>
      <c r="AG2" s="11" t="n">
        <v>46374</v>
      </c>
      <c r="AH2" s="0" t="n">
        <v>275</v>
      </c>
      <c r="AI2" s="10" t="s">
        <v>475</v>
      </c>
      <c r="AJ2" s="10" t="s">
        <v>476</v>
      </c>
      <c r="AK2" s="10" t="s">
        <v>477</v>
      </c>
      <c r="AT2" s="11"/>
      <c r="AU2" s="11"/>
      <c r="AY2" s="11"/>
      <c r="BA2" s="11"/>
      <c r="BB2" s="11"/>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21</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str">
        <f aca="false">IF($A2="","",IF(COUNTIFS(approvals!$A$2:$A$251,$A2,approvals!$Q$2:$Q$251,"Y",approvals!$AG$2:$AG$251,"")&gt;0,"",SUMIFS(approvals!$AG$2:$AG$251,approvals!$A$2:$A$251,$A2,approvals!$Q$2:$Q$251,"Y")))</f>
        <v/>
      </c>
      <c r="CH2" s="30" t="n">
        <f aca="false">IF($A2="","",SUMIFS(approvals!$AL$2:$AL$251,approvals!$A$2:$A$251,$A2))</f>
        <v>28</v>
      </c>
      <c r="CI2" s="30" t="n">
        <f aca="false">IF($A2="","",IF(N($BP2)=0,"",SUMPRODUCT(MIN(approvals!$BB$2:$BB$251+(approvals!$A$2:$A$251&lt;&gt;$A2)*1000000))))</f>
        <v>3</v>
      </c>
      <c r="CJ2" s="30" t="n">
        <f aca="false">IF($A2="","",COUNTIFS(approvals!$A$2:$A$251,$A2,approvals!$Q$2:$Q$251,"Y",approvals!$AL$2:$AL$251,"&lt;"&amp;config!$B$30))</f>
        <v>1</v>
      </c>
      <c r="CK2" s="30" t="n">
        <f aca="false">IF($A2="","",SUMIFS(approvals!$AM$2:$AM$251,approvals!$A$2:$A$251,$A2))</f>
        <v>22</v>
      </c>
      <c r="CL2" s="30" t="n">
        <f aca="false">IF($A2="","",SUMIFS(approvals!$AQ$2:$AQ$251,approvals!$A$2:$A$251,$A2))</f>
        <v>3</v>
      </c>
      <c r="CM2" s="30" t="n">
        <f aca="false">IF($A2="","",SUMIFS(approvals!$AR$2:$AR$251,approvals!$A$2:$A$251,$A2))</f>
        <v>2</v>
      </c>
      <c r="CN2" s="30" t="n">
        <f aca="false">IF($A2="","",SUMIFS(approvals!$AS$2:$AS$251,approvals!$A$2:$A$251,$A2))</f>
        <v>1</v>
      </c>
      <c r="CO2" s="30" t="n">
        <f aca="false">IF($A2="","",SUMIFS(approvals!$AT$2:$AT$251,approvals!$A$2:$A$251,$A2))</f>
        <v>22</v>
      </c>
      <c r="CP2" s="33" t="n">
        <f aca="false">IF($A2="","",IF(N($CO2)=0,"",ROUND(SUMIFS(approvals!$AU$2:$AU$251,approvals!$A$2:$A$251,$A2)/$CO2,1)))</f>
        <v>4.2</v>
      </c>
      <c r="CQ2" s="30" t="n">
        <f aca="false">IF($A2="","",SUMIFS(approvals!$AV$2:$AV$251,approvals!$A$2:$A$251,$A2))</f>
        <v>10</v>
      </c>
      <c r="CR2" s="30" t="n">
        <f aca="false">IF($A2="","",SUMIFS(approvals!$AW$2:$AW$251,approvals!$A$2:$A$251,$A2))</f>
        <v>6</v>
      </c>
      <c r="CS2" s="30" t="n">
        <f aca="false">IF($A2="","",SUMIFS(approvals!$AX$2:$AX$251,approvals!$A$2:$A$251,$A2))</f>
        <v>6</v>
      </c>
      <c r="CT2" s="30" t="n">
        <f aca="false">IF($A2="","",SUMIFS(approvals!$AY$2:$AY$251,approvals!$A$2:$A$251,$A2))</f>
        <v>16</v>
      </c>
      <c r="CU2" s="30" t="n">
        <f aca="true">IF($A2="","",IF(OR($BG2="",$BC2&lt;&gt;""),"",IFERROR(COUNT(INDIRECT("'"&amp;$A2&amp;"'!$A$2:$A$501")),0)-IFERROR(COUNTIFS(INDIRECT("'"&amp;$A2&amp;"'!$A$2:$A$501"),"&gt;="&amp;$BG2,INDIRECT("'"&amp;$A2&amp;"'!$A$2:$A$501"),"&lt;"&amp;(IFERROR(IF(INDEX(drops!$R$2:$R$21,MATCH($B2,drops!$A$2:$A$21,0))="","",INDEX(drops!$R$2:$R$21,MATCH($B2,drops!$A$2:$A$21,0))),"")+1)),0)))</f>
        <v>1</v>
      </c>
      <c r="CV2" s="30" t="n">
        <f aca="true">IF($A2="","",IF(OR($BG2="",$BC2&lt;&gt;""),"",IFERROR(COUNTIFS(INDIRECT("'"&amp;$A2&amp;"'!$A$2:$A$501"),"&gt;="&amp;$BG2,INDIRECT("'"&amp;$A2&amp;"'!$A$2:$A$501"),"&lt;"&amp;(IFERROR(IF(INDEX(drops!$R$2:$R$21,MATCH($B2,drops!$A$2:$A$21,0))="","",INDEX(drops!$R$2:$R$21,MATCH($B2,drops!$A$2:$A$21,0))),"")+1)),0)-N($CH2)))</f>
        <v>1</v>
      </c>
      <c r="CW2" s="30" t="n">
        <f aca="false">IF($A2="","",SUMIFS(approvals!$AN$2:$AN$251,approvals!$A$2:$A$251,$A2))</f>
        <v>0</v>
      </c>
      <c r="CX2" s="30" t="n">
        <f aca="false">IF($A2="","",SUMIFS(approvals!$AO$2:$AO$251,approvals!$A$2:$A$251,$A2))</f>
        <v>0</v>
      </c>
      <c r="CY2" s="30" t="str">
        <f aca="false">IF($A2="","",IF($CZ2="","",SUMIFS(redemptions!$C$2:$C$121,redemptions!$A$2:$A$121,$A2,redemptions!$B$2:$B$121,$CZ2)))</f>
        <v/>
      </c>
      <c r="CZ2" s="31" t="str">
        <f aca="false">IF($A2="","",IFERROR(1/(1/SUMPRODUCT(MAX((redemptions!$A$2:$A$121=$A2)*redemptions!$B$2:$B$121))),""))</f>
        <v/>
      </c>
      <c r="DA2" s="30" t="str">
        <f aca="false">IF($A2="","",IF(COUNTIFS(redemptions!$A$2:$A$121,$A2,redemptions!$H$2:$H$121,"Y")=0,"",SUMIFS(redemptions!$C$2:$C$121,redemptions!$A$2:$A$121,$A2,redemptions!$B$2:$B$121,SUMPRODUCT(MIN((redemptions!$A$2:$A$121=$A2)*(redemptions!$H$2:$H$121="Y")*redemptions!$B$2:$B$121+((redemptions!$A$2:$A$121&lt;&gt;$A2)+(redemptions!$H$2:$H$121&lt;&gt;"Y")&gt;0)*1000000)))))</f>
        <v/>
      </c>
      <c r="DB2" s="32" t="n">
        <f aca="false">IF($A2="","",SUMIFS(invoices!$E$2:$E$151,invoices!$B$2:$B$151,$A2))</f>
        <v>480</v>
      </c>
      <c r="DC2" s="32" t="str">
        <f aca="false">IF($A2="","",IF(COUNTIFS(invoices!$B$2:$B$151,$A2,invoices!$C$2:$C$151,"standard_deposit",invoices!$H$2:$H$151,"&gt;0")=0,"",SUMIFS(invoices!$I$2:$I$151,invoices!$B$2:$B$151,$A2,invoices!$C$2:$C$151,"standard_deposit")))</f>
        <v/>
      </c>
      <c r="DD2" s="31" t="str">
        <f aca="false">IF($A2="","",IFERROR(1/(1/SUMPRODUCT(MAX((invoices!$B$2:$B$151=$A2)*(invoices!$C$2:$C$151="standard_deposit")*invoices!$H$2:$H$151))),""))</f>
        <v/>
      </c>
      <c r="DE2" s="31" t="n">
        <f aca="false">IF($A2="","",IFERROR(1/(1/SUMPRODUCT(MAX((invoices!$B$2:$B$151=$A2)*((invoices!$C$2:$C$151="founding_full")+(invoices!$C$2:$C$151="standard_balance"))*invoices!$H$2:$H$151))),""))</f>
        <v>46366</v>
      </c>
      <c r="DF2" s="32" t="n">
        <f aca="false">IF($A2="","",SUMIFS(invoices!$L$2:$L$151,invoices!$B$2:$B$151,$A2))</f>
        <v>0</v>
      </c>
      <c r="DG2" s="32" t="n">
        <f aca="false">IF($A2="","",SUMIFS(costs!$E$2:$E$301,costs!$C$2:$C$301,$A2))</f>
        <v>40</v>
      </c>
      <c r="DH2" s="32" t="n">
        <f aca="false">IF($A2="","",ROUND(IF(SUMIFS(campaigns!$BO$2:$BO$51,campaigns!$B$2:$B$51,$B2)=0,0,$BO2/SUMIFS(campaigns!$BO$2:$BO$51,campaigns!$B$2:$B$51,$B2))*(SUMIFS(costs!$E$2:$E$301,costs!$B$2:$B$301,$B2)-SUMPRODUCT((costs!$B$2:$B$301=$B2)*(LEN(costs!$C$2:$C$301)&gt;0)*costs!$E$2:$E$301)),2))</f>
        <v>36</v>
      </c>
      <c r="DI2" s="33" t="n">
        <f aca="false">IF($A2="","",SUMIFS(hours!$E$2:$E$1501,hours!$C$2:$C$1501,$A2))</f>
        <v>10</v>
      </c>
      <c r="DJ2" s="33" t="n">
        <f aca="false">IF($A2="","",ROUND(IF(SUMIFS(campaigns!$BO$2:$BO$51,campaigns!$B$2:$B$51,$B2)=0,0,$BO2/SUMIFS(campaigns!$BO$2:$BO$51,campaigns!$B$2:$B$51,$B2))*(SUMIFS(hours!$E$2:$E$1501,hours!$B$2:$B$1501,$B2)-SUMPRODUCT((hours!$B$2:$B$1501=$B2)*(LEN(hours!$C$2:$C$1501)&gt;0)*hours!$E$2:$E$1501)),2))</f>
        <v>15.25</v>
      </c>
      <c r="DK2" s="32" t="n">
        <f aca="false">IF($A2="","",$DB2-$DF2-$DG2-$DH2)</f>
        <v>404</v>
      </c>
      <c r="DL2" s="32" t="n">
        <f aca="false">IF($A2="","",IF(N($DI2)+N($DJ2)=0,"",ROUND($DK2/($DI2+$DJ2),2)))</f>
        <v>16</v>
      </c>
      <c r="DM2" s="34" t="n">
        <f aca="false">IF($A2="","",IF(N($BP2)=0,"",COUNTIFS(approvals!$A$2:$A$251,$A2,approvals!$Q$2:$Q$251,"Y",approvals!$AK$2:$AK$251,"Y")/$BP2))</f>
        <v>0</v>
      </c>
      <c r="DN2" s="33" t="n">
        <f aca="false">IF($A2="","",IF(COUNTIFS(approvals!$A$2:$A$251,$A2,approvals!$AC$2:$AC$251,"&gt;=0")=0,"",ROUND(SUMIFS(approvals!$AC$2:$AC$251,approvals!$A$2:$A$251,$A2)/COUNTIFS(approvals!$A$2:$A$251,$A2,approvals!$AC$2:$AC$251,"&gt;=0"),1)))</f>
        <v>10.7</v>
      </c>
      <c r="DO2" s="31" t="n">
        <f aca="false">IF($A2="","",IFERROR(IF(INDEX(drops!$T$2:$T$21,MATCH($B2,drops!$A$2:$A$21,0))="","",INDEX(drops!$T$2:$T$21,MATCH($B2,drops!$A$2:$A$21,0))),""))</f>
        <v>46409</v>
      </c>
      <c r="DP2" s="31" t="n">
        <f aca="false">IF($A2="","",IFERROR(IF(INDEX(drops!$U$2:$U$21,MATCH($B2,drops!$A$2:$A$21,0))="","",INDEX(drops!$U$2:$U$21,MATCH($B2,drops!$A$2:$A$21,0))),""))</f>
        <v>46414</v>
      </c>
      <c r="DQ2" s="31" t="n">
        <f aca="false">IF($A2="","",IFERROR(IF(INDEX(drops!$W$2:$W$21,MATCH($B2,drops!$A$2:$A$21,0))="","",INDEX(drops!$W$2:$W$21,MATCH($B2,drops!$A$2:$A$21,0))),""))</f>
        <v>46429</v>
      </c>
      <c r="DR2" s="30" t="str">
        <f aca="false">IF($A2="","",IF($CE2="","",IF($CE2&gt;=config!$B$31,"pass","miss")))</f>
        <v>miss</v>
      </c>
      <c r="DS2" s="30" t="str">
        <f aca="false">IF($A2="","",IF($CI2="","",IF($CI2&gt;=config!$B$30,"pass","miss")))</f>
        <v>miss</v>
      </c>
      <c r="DT2" s="30" t="str">
        <f aca="true">IF($A2="","",IF($AT2="",IF($DO2="","",IF(IF(config!$B$37&lt;&gt;"",config!$B$37,TODAY())&gt;$DO2,"late","due")),IF($AT2&lt;=$DO2,"pass","late")))</f>
        <v>due</v>
      </c>
      <c r="DU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","")&amp;IF($BZ2&lt;0,"reserve below zero: check inventory;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","")&amp;IF(AND($DA2="",$DQ2&lt;&gt;"",IF(config!$B$37&lt;&gt;"",config!$B$37,TODAY())&gt;$DQ2),"day-30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","")&amp;IF($DT2="late","report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15" hidden="false" customHeight="false" outlineLevel="0" collapsed="false">
      <c r="A3" s="0" t="s">
        <v>478</v>
      </c>
      <c r="B3" s="0" t="s">
        <v>334</v>
      </c>
      <c r="C3" s="0" t="s">
        <v>479</v>
      </c>
      <c r="D3" s="10" t="s">
        <v>461</v>
      </c>
      <c r="F3" s="0" t="n">
        <v>5</v>
      </c>
      <c r="G3" s="12"/>
      <c r="H3" s="11" t="n">
        <v>46364</v>
      </c>
      <c r="I3" s="10" t="s">
        <v>462</v>
      </c>
      <c r="J3" s="10" t="s">
        <v>480</v>
      </c>
      <c r="K3" s="0" t="n">
        <v>24</v>
      </c>
      <c r="L3" s="10" t="s">
        <v>481</v>
      </c>
      <c r="M3" s="10" t="s">
        <v>482</v>
      </c>
      <c r="N3" s="10" t="s">
        <v>483</v>
      </c>
      <c r="U3" s="10" t="s">
        <v>484</v>
      </c>
      <c r="V3" s="10" t="s">
        <v>485</v>
      </c>
      <c r="W3" s="10" t="s">
        <v>470</v>
      </c>
      <c r="Y3" s="10" t="s">
        <v>486</v>
      </c>
      <c r="Z3" s="10" t="s">
        <v>487</v>
      </c>
      <c r="AB3" s="11" t="n">
        <v>46371</v>
      </c>
      <c r="AC3" s="11" t="n">
        <v>46370</v>
      </c>
      <c r="AD3" s="11" t="n">
        <v>46370</v>
      </c>
      <c r="AF3" s="11" t="n">
        <v>46377</v>
      </c>
      <c r="AG3" s="11" t="n">
        <v>46374</v>
      </c>
      <c r="AH3" s="0" t="n">
        <v>275</v>
      </c>
      <c r="AI3" s="10" t="s">
        <v>488</v>
      </c>
      <c r="AJ3" s="10" t="s">
        <v>489</v>
      </c>
      <c r="AT3" s="11"/>
      <c r="AU3" s="11"/>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3</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str">
        <f aca="false">IF($A3="","",IF(COUNTIFS(approvals!$A$2:$A$251,$A3,approvals!$Q$2:$Q$251,"Y",approvals!$AG$2:$AG$251,"")&gt;0,"",SUMIFS(approvals!$AG$2:$AG$251,approvals!$A$2:$A$251,$A3,approvals!$Q$2:$Q$251,"Y")))</f>
        <v/>
      </c>
      <c r="CH3" s="30" t="n">
        <f aca="false">IF($A3="","",SUMIFS(approvals!$AL$2:$AL$251,approvals!$A$2:$A$251,$A3))</f>
        <v>27</v>
      </c>
      <c r="CI3" s="30" t="n">
        <f aca="false">IF($A3="","",IF(N($BP3)=0,"",SUMPRODUCT(MIN(approvals!$BB$2:$BB$251+(approvals!$A$2:$A$251&lt;&gt;$A3)*1000000))))</f>
        <v>4</v>
      </c>
      <c r="CJ3" s="30" t="n">
        <f aca="false">IF($A3="","",COUNTIFS(approvals!$A$2:$A$251,$A3,approvals!$Q$2:$Q$251,"Y",approvals!$AL$2:$AL$251,"&lt;"&amp;config!$B$30))</f>
        <v>2</v>
      </c>
      <c r="CK3" s="30" t="n">
        <f aca="false">IF($A3="","",SUMIFS(approvals!$AM$2:$AM$251,approvals!$A$2:$A$251,$A3))</f>
        <v>19</v>
      </c>
      <c r="CL3" s="30" t="n">
        <f aca="false">IF($A3="","",SUMIFS(approvals!$AQ$2:$AQ$251,approvals!$A$2:$A$251,$A3))</f>
        <v>3</v>
      </c>
      <c r="CM3" s="30" t="n">
        <f aca="false">IF($A3="","",SUMIFS(approvals!$AR$2:$AR$251,approvals!$A$2:$A$251,$A3))</f>
        <v>1</v>
      </c>
      <c r="CN3" s="30" t="n">
        <f aca="false">IF($A3="","",SUMIFS(approvals!$AS$2:$AS$251,approvals!$A$2:$A$251,$A3))</f>
        <v>4</v>
      </c>
      <c r="CO3" s="30" t="n">
        <f aca="false">IF($A3="","",SUMIFS(approvals!$AT$2:$AT$251,approvals!$A$2:$A$251,$A3))</f>
        <v>19</v>
      </c>
      <c r="CP3" s="33" t="n">
        <f aca="false">IF($A3="","",IF(N($CO3)=0,"",ROUND(SUMIFS(approvals!$AU$2:$AU$251,approvals!$A$2:$A$251,$A3)/$CO3,1)))</f>
        <v>4.1</v>
      </c>
      <c r="CQ3" s="30" t="n">
        <f aca="false">IF($A3="","",SUMIFS(approvals!$AV$2:$AV$251,approvals!$A$2:$A$251,$A3))</f>
        <v>8</v>
      </c>
      <c r="CR3" s="30" t="n">
        <f aca="false">IF($A3="","",SUMIFS(approvals!$AW$2:$AW$251,approvals!$A$2:$A$251,$A3))</f>
        <v>6</v>
      </c>
      <c r="CS3" s="30" t="n">
        <f aca="false">IF($A3="","",SUMIFS(approvals!$AX$2:$AX$251,approvals!$A$2:$A$251,$A3))</f>
        <v>5</v>
      </c>
      <c r="CT3" s="30" t="n">
        <f aca="false">IF($A3="","",SUMIFS(approvals!$AY$2:$AY$251,approvals!$A$2:$A$251,$A3))</f>
        <v>11</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f>
        <v>0</v>
      </c>
      <c r="CW3" s="30" t="n">
        <f aca="false">IF($A3="","",SUMIFS(approvals!$AN$2:$AN$251,approvals!$A$2:$A$251,$A3))</f>
        <v>0</v>
      </c>
      <c r="CX3" s="30" t="n">
        <f aca="false">IF($A3="","",SUMIFS(approvals!$AO$2:$AO$251,approvals!$A$2:$A$251,$A3))</f>
        <v>0</v>
      </c>
      <c r="CY3" s="30" t="str">
        <f aca="false">IF($A3="","",IF($CZ3="","",SUMIFS(redemptions!$C$2:$C$121,redemptions!$A$2:$A$121,$A3,redemptions!$B$2:$B$121,$CZ3)))</f>
        <v/>
      </c>
      <c r="CZ3" s="31" t="str">
        <f aca="false">IF($A3="","",IFERROR(1/(1/SUMPRODUCT(MAX((redemptions!$A$2:$A$121=$A3)*redemptions!$B$2:$B$121))),""))</f>
        <v/>
      </c>
      <c r="DA3" s="30" t="str">
        <f aca="false">IF($A3="","",IF(COUNTIFS(redemptions!$A$2:$A$121,$A3,redemptions!$H$2:$H$121,"Y")=0,"",SUMIFS(redemptions!$C$2:$C$121,redemptions!$A$2:$A$121,$A3,redemptions!$B$2:$B$121,SUMPRODUCT(MIN((redemptions!$A$2:$A$121=$A3)*(redemptions!$H$2:$H$121="Y")*redemptions!$B$2:$B$121+((redemptions!$A$2:$A$121&lt;&gt;$A3)+(redemptions!$H$2:$H$121&lt;&gt;"Y")&gt;0)*1000000)))))</f>
        <v/>
      </c>
      <c r="DB3" s="32" t="n">
        <f aca="false">IF($A3="","",SUMIFS(invoices!$E$2:$E$151,invoices!$B$2:$B$151,$A3))</f>
        <v>600</v>
      </c>
      <c r="DC3" s="32" t="str">
        <f aca="false">IF($A3="","",IF(COUNTIFS(invoices!$B$2:$B$151,$A3,invoices!$C$2:$C$151,"standard_deposit",invoices!$H$2:$H$151,"&gt;0")=0,"",SUMIFS(invoices!$I$2:$I$151,invoices!$B$2:$B$151,$A3,invoices!$C$2:$C$151,"standard_deposit")))</f>
        <v/>
      </c>
      <c r="DD3" s="31" t="str">
        <f aca="false">IF($A3="","",IFERROR(1/(1/SUMPRODUCT(MAX((invoices!$B$2:$B$151=$A3)*(invoices!$C$2:$C$151="standard_deposit")*invoices!$H$2:$H$151))),""))</f>
        <v/>
      </c>
      <c r="DE3" s="31" t="n">
        <f aca="false">IF($A3="","",IFERROR(1/(1/SUMPRODUCT(MAX((invoices!$B$2:$B$151=$A3)*((invoices!$C$2:$C$151="founding_full")+(invoices!$C$2:$C$151="standard_balance"))*invoices!$H$2:$H$151))),""))</f>
        <v>46367</v>
      </c>
      <c r="DF3" s="32" t="n">
        <f aca="false">IF($A3="","",SUMIFS(invoices!$L$2:$L$151,invoices!$B$2:$B$151,$A3))</f>
        <v>0</v>
      </c>
      <c r="DG3" s="32" t="n">
        <f aca="false">IF($A3="","",SUMIFS(costs!$E$2:$E$301,costs!$C$2:$C$301,$A3))</f>
        <v>40</v>
      </c>
      <c r="DH3" s="32" t="n">
        <f aca="false">IF($A3="","",ROUND(IF(SUMIFS(campaigns!$BO$2:$BO$51,campaigns!$B$2:$B$51,$B3)=0,0,$BO3/SUMIFS(campaigns!$BO$2:$BO$51,campaigns!$B$2:$B$51,$B3))*(SUMIFS(costs!$E$2:$E$301,costs!$B$2:$B$301,$B3)-SUMPRODUCT((costs!$B$2:$B$301=$B3)*(LEN(costs!$C$2:$C$301)&gt;0)*costs!$E$2:$E$301)),2))</f>
        <v>36</v>
      </c>
      <c r="DI3" s="33" t="n">
        <f aca="false">IF($A3="","",SUMIFS(hours!$E$2:$E$1501,hours!$C$2:$C$1501,$A3))</f>
        <v>10</v>
      </c>
      <c r="DJ3" s="33" t="n">
        <f aca="false">IF($A3="","",ROUND(IF(SUMIFS(campaigns!$BO$2:$BO$51,campaigns!$B$2:$B$51,$B3)=0,0,$BO3/SUMIFS(campaigns!$BO$2:$BO$51,campaigns!$B$2:$B$51,$B3))*(SUMIFS(hours!$E$2:$E$1501,hours!$B$2:$B$1501,$B3)-SUMPRODUCT((hours!$B$2:$B$1501=$B3)*(LEN(hours!$C$2:$C$1501)&gt;0)*hours!$E$2:$E$1501)),2))</f>
        <v>15.25</v>
      </c>
      <c r="DK3" s="32" t="n">
        <f aca="false">IF($A3="","",$DB3-$DF3-$DG3-$DH3)</f>
        <v>524</v>
      </c>
      <c r="DL3" s="32" t="n">
        <f aca="false">IF($A3="","",IF(N($DI3)+N($DJ3)=0,"",ROUND($DK3/($DI3+$DJ3),2)))</f>
        <v>20.75</v>
      </c>
      <c r="DM3" s="34" t="n">
        <f aca="false">IF($A3="","",IF(N($BP3)=0,"",COUNTIFS(approvals!$A$2:$A$251,$A3,approvals!$Q$2:$Q$251,"Y",approvals!$AK$2:$AK$251,"Y")/$BP3))</f>
        <v>0.2</v>
      </c>
      <c r="DN3" s="33" t="n">
        <f aca="false">IF($A3="","",IF(COUNTIFS(approvals!$A$2:$A$251,$A3,approvals!$AC$2:$AC$251,"&gt;=0")=0,"",ROUND(SUMIFS(approvals!$AC$2:$AC$251,approvals!$A$2:$A$251,$A3)/COUNTIFS(approvals!$A$2:$A$251,$A3,approvals!$AC$2:$AC$251,"&gt;=0"),1)))</f>
        <v>5.7</v>
      </c>
      <c r="DO3" s="31" t="n">
        <f aca="false">IF($A3="","",IFERROR(IF(INDEX(drops!$T$2:$T$21,MATCH($B3,drops!$A$2:$A$21,0))="","",INDEX(drops!$T$2:$T$21,MATCH($B3,drops!$A$2:$A$21,0))),""))</f>
        <v>46409</v>
      </c>
      <c r="DP3" s="31" t="n">
        <f aca="false">IF($A3="","",IFERROR(IF(INDEX(drops!$U$2:$U$21,MATCH($B3,drops!$A$2:$A$21,0))="","",INDEX(drops!$U$2:$U$21,MATCH($B3,drops!$A$2:$A$21,0))),""))</f>
        <v>46414</v>
      </c>
      <c r="DQ3" s="31" t="n">
        <f aca="false">IF($A3="","",IFERROR(IF(INDEX(drops!$W$2:$W$21,MATCH($B3,drops!$A$2:$A$21,0))="","",INDEX(drops!$W$2:$W$21,MATCH($B3,drops!$A$2:$A$21,0))),""))</f>
        <v>46429</v>
      </c>
      <c r="DR3" s="30" t="str">
        <f aca="false">IF($A3="","",IF($CE3="","",IF($CE3&gt;=config!$B$31,"pass","miss")))</f>
        <v>pass</v>
      </c>
      <c r="DS3" s="30" t="str">
        <f aca="false">IF($A3="","",IF($CI3="","",IF($CI3&gt;=config!$B$30,"pass","miss")))</f>
        <v>miss</v>
      </c>
      <c r="DT3" s="30" t="str">
        <f aca="true">IF($A3="","",IF($AT3="",IF($DO3="","",IF(IF(config!$B$37&lt;&gt;"",config!$B$37,TODAY())&gt;$DO3,"late","due")),IF($AT3&lt;=$DO3,"pass","late")))</f>
        <v>due</v>
      </c>
      <c r="DU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","")&amp;IF($BZ3&lt;0,"reserve below zero: check inventory;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","")&amp;IF(AND($DA3="",$DQ3&lt;&gt;"",IF(config!$B$37&lt;&gt;"",config!$B$37,TODAY())&gt;$DQ3),"day-30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","")&amp;IF($DT3="late","report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A4" s="0" t="s">
        <v>490</v>
      </c>
      <c r="B4" s="0" t="s">
        <v>341</v>
      </c>
      <c r="C4" s="0" t="s">
        <v>491</v>
      </c>
      <c r="D4" s="10" t="s">
        <v>492</v>
      </c>
      <c r="F4" s="0" t="n">
        <v>10</v>
      </c>
      <c r="G4" s="12"/>
      <c r="H4" s="11" t="n">
        <v>46391</v>
      </c>
      <c r="I4" s="10" t="s">
        <v>462</v>
      </c>
      <c r="J4" s="10" t="s">
        <v>493</v>
      </c>
      <c r="L4" s="10" t="s">
        <v>494</v>
      </c>
      <c r="M4" s="10" t="s">
        <v>465</v>
      </c>
      <c r="N4" s="10" t="s">
        <v>495</v>
      </c>
      <c r="O4" s="10" t="s">
        <v>496</v>
      </c>
      <c r="U4" s="10" t="s">
        <v>468</v>
      </c>
      <c r="V4" s="10" t="s">
        <v>497</v>
      </c>
      <c r="W4" s="10" t="s">
        <v>470</v>
      </c>
      <c r="Y4" s="10" t="s">
        <v>472</v>
      </c>
      <c r="Z4" s="10" t="s">
        <v>487</v>
      </c>
      <c r="AB4" s="11" t="n">
        <v>46394</v>
      </c>
      <c r="AC4" s="11" t="n">
        <v>46394</v>
      </c>
      <c r="AD4" s="11" t="n">
        <v>46394</v>
      </c>
      <c r="AF4" s="11" t="n">
        <v>46416</v>
      </c>
      <c r="AG4" s="11" t="n">
        <v>46398</v>
      </c>
      <c r="AH4" s="0" t="n">
        <v>523</v>
      </c>
      <c r="AT4" s="11"/>
      <c r="AU4" s="11"/>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515</v>
      </c>
      <c r="BS4" s="30" t="n">
        <f aca="false">IF($A4="","",ROUNDUP($BR4*config!$B$18,0))</f>
        <v>52</v>
      </c>
      <c r="BT4" s="30" t="n">
        <f aca="false">IF($A4="","",$BR4+$BS4)</f>
        <v>567</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0</v>
      </c>
      <c r="CC4" s="30" t="n">
        <f aca="false">IF($A4="","",SUMIFS(approvals!$AA$2:$AA$251,approvals!$A$2:$A$251,$A4))</f>
        <v>0</v>
      </c>
      <c r="CD4" s="30" t="n">
        <f aca="false">IF($A4="","",SUMIFS(approvals!$AA$2:$AA$251,approvals!$A$2:$A$251,$A4,approvals!$AB$2:$AB$251,"Y"))</f>
        <v>0</v>
      </c>
      <c r="CE4" s="34" t="str">
        <f aca="false">IF($A4="","",IF(N($CB4)=0,"",$CD4/$CB4))</f>
        <v/>
      </c>
      <c r="CF4" s="30" t="n">
        <f aca="false">IF($A4="","",SUMIFS(approvals!$AD$2:$AD$251,approvals!$A$2:$A$251,$A4))</f>
        <v>0</v>
      </c>
      <c r="CG4" s="30" t="str">
        <f aca="false">IF($A4="","",IF(COUNTIFS(approvals!$A$2:$A$251,$A4,approvals!$Q$2:$Q$251,"Y",approvals!$AG$2:$AG$251,"")&gt;0,"",SUMIFS(approvals!$AG$2:$AG$251,approvals!$A$2:$A$251,$A4,approvals!$Q$2:$Q$251,"Y")))</f>
        <v/>
      </c>
      <c r="CH4" s="30" t="n">
        <f aca="false">IF($A4="","",SUMIFS(approvals!$AL$2:$AL$251,approvals!$A$2:$A$251,$A4))</f>
        <v>0</v>
      </c>
      <c r="CI4" s="30" t="n">
        <f aca="false">IF($A4="","",IF(N($BP4)=0,"",SUMPRODUCT(MIN(approvals!$BB$2:$BB$251+(approvals!$A$2:$A$251&lt;&gt;$A4)*1000000))))</f>
        <v>0</v>
      </c>
      <c r="CJ4" s="30" t="n">
        <f aca="false">IF($A4="","",COUNTIFS(approvals!$A$2:$A$251,$A4,approvals!$Q$2:$Q$251,"Y",approvals!$AL$2:$AL$251,"&lt;"&amp;config!$B$30))</f>
        <v>10</v>
      </c>
      <c r="CK4" s="30" t="n">
        <f aca="false">IF($A4="","",SUMIFS(approvals!$AM$2:$AM$251,approvals!$A$2:$A$251,$A4))</f>
        <v>0</v>
      </c>
      <c r="CL4" s="30" t="n">
        <f aca="false">IF($A4="","",SUMIFS(approvals!$AQ$2:$AQ$251,approvals!$A$2:$A$251,$A4))</f>
        <v>0</v>
      </c>
      <c r="CM4" s="30" t="n">
        <f aca="false">IF($A4="","",SUMIFS(approvals!$AR$2:$AR$251,approvals!$A$2:$A$251,$A4))</f>
        <v>0</v>
      </c>
      <c r="CN4" s="30" t="n">
        <f aca="false">IF($A4="","",SUMIFS(approvals!$AS$2:$AS$251,approvals!$A$2:$A$251,$A4))</f>
        <v>0</v>
      </c>
      <c r="CO4" s="30" t="n">
        <f aca="false">IF($A4="","",SUMIFS(approvals!$AT$2:$AT$251,approvals!$A$2:$A$251,$A4))</f>
        <v>0</v>
      </c>
      <c r="CP4" s="33" t="str">
        <f aca="false">IF($A4="","",IF(N($CO4)=0,"",ROUND(SUMIFS(approvals!$AU$2:$AU$251,approvals!$A$2:$A$251,$A4)/$CO4,1)))</f>
        <v/>
      </c>
      <c r="CQ4" s="30" t="n">
        <f aca="false">IF($A4="","",SUMIFS(approvals!$AV$2:$AV$251,approvals!$A$2:$A$251,$A4))</f>
        <v>0</v>
      </c>
      <c r="CR4" s="30" t="n">
        <f aca="false">IF($A4="","",SUMIFS(approvals!$AW$2:$AW$251,approvals!$A$2:$A$251,$A4))</f>
        <v>0</v>
      </c>
      <c r="CS4" s="30" t="n">
        <f aca="false">IF($A4="","",SUMIFS(approvals!$AX$2:$AX$251,approvals!$A$2:$A$251,$A4))</f>
        <v>0</v>
      </c>
      <c r="CT4" s="30" t="n">
        <f aca="false">IF($A4="","",SUMIFS(approvals!$AY$2:$AY$251,approvals!$A$2:$A$251,$A4))</f>
        <v>0</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f>
        <v>0</v>
      </c>
      <c r="CW4" s="30" t="n">
        <f aca="false">IF($A4="","",SUMIFS(approvals!$AN$2:$AN$251,approvals!$A$2:$A$251,$A4))</f>
        <v>0</v>
      </c>
      <c r="CX4" s="30" t="n">
        <f aca="false">IF($A4="","",SUMIFS(approvals!$AO$2:$AO$251,approvals!$A$2:$A$251,$A4))</f>
        <v>0</v>
      </c>
      <c r="CY4" s="30" t="str">
        <f aca="false">IF($A4="","",IF($CZ4="","",SUMIFS(redemptions!$C$2:$C$121,redemptions!$A$2:$A$121,$A4,redemptions!$B$2:$B$121,$CZ4)))</f>
        <v/>
      </c>
      <c r="CZ4" s="31" t="str">
        <f aca="false">IF($A4="","",IFERROR(1/(1/SUMPRODUCT(MAX((redemptions!$A$2:$A$121=$A4)*redemptions!$B$2:$B$121))),""))</f>
        <v/>
      </c>
      <c r="DA4" s="30" t="str">
        <f aca="false">IF($A4="","",IF(COUNTIFS(redemptions!$A$2:$A$121,$A4,redemptions!$H$2:$H$121,"Y")=0,"",SUMIFS(redemptions!$C$2:$C$121,redemptions!$A$2:$A$121,$A4,redemptions!$B$2:$B$121,SUMPRODUCT(MIN((redemptions!$A$2:$A$121=$A4)*(redemptions!$H$2:$H$121="Y")*redemptions!$B$2:$B$121+((redemptions!$A$2:$A$121&lt;&gt;$A4)+(redemptions!$H$2:$H$121&lt;&gt;"Y")&gt;0)*1000000)))))</f>
        <v/>
      </c>
      <c r="DB4" s="32" t="n">
        <f aca="false">IF($A4="","",SUMIFS(invoices!$E$2:$E$151,invoices!$B$2:$B$151,$A4))</f>
        <v>750</v>
      </c>
      <c r="DC4" s="32" t="n">
        <f aca="false">IF($A4="","",IF(COUNTIFS(invoices!$B$2:$B$151,$A4,invoices!$C$2:$C$151,"standard_deposit",invoices!$H$2:$H$151,"&gt;0")=0,"",SUMIFS(invoices!$I$2:$I$151,invoices!$B$2:$B$151,$A4,invoices!$C$2:$C$151,"standard_deposit")))</f>
        <v>750</v>
      </c>
      <c r="DD4" s="31" t="n">
        <f aca="false">IF($A4="","",IFERROR(1/(1/SUMPRODUCT(MAX((invoices!$B$2:$B$151=$A4)*(invoices!$C$2:$C$151="standard_deposit")*invoices!$H$2:$H$151))),""))</f>
        <v>46394</v>
      </c>
      <c r="DE4" s="31" t="str">
        <f aca="false">IF($A4="","",IFERROR(1/(1/SUMPRODUCT(MAX((invoices!$B$2:$B$151=$A4)*((invoices!$C$2:$C$151="founding_full")+(invoices!$C$2:$C$151="standard_balance"))*invoices!$H$2:$H$151))),""))</f>
        <v/>
      </c>
      <c r="DF4" s="32" t="n">
        <f aca="false">IF($A4="","",SUMIFS(invoices!$L$2:$L$151,invoices!$B$2:$B$151,$A4))</f>
        <v>0</v>
      </c>
      <c r="DG4" s="32" t="n">
        <f aca="false">IF($A4="","",SUMIFS(costs!$E$2:$E$301,costs!$C$2:$C$301,$A4))</f>
        <v>0</v>
      </c>
      <c r="DH4" s="32" t="n">
        <f aca="false">IF($A4="","",ROUND(IF(SUMIFS(campaigns!$BO$2:$BO$51,campaigns!$B$2:$B$51,$B4)=0,0,$BO4/SUMIFS(campaigns!$BO$2:$BO$51,campaigns!$B$2:$B$51,$B4))*(SUMIFS(costs!$E$2:$E$301,costs!$B$2:$B$301,$B4)-SUMPRODUCT((costs!$B$2:$B$301=$B4)*(LEN(costs!$C$2:$C$301)&gt;0)*costs!$E$2:$E$301)),2))</f>
        <v>0</v>
      </c>
      <c r="DI4" s="33" t="n">
        <f aca="false">IF($A4="","",SUMIFS(hours!$E$2:$E$1501,hours!$C$2:$C$1501,$A4))</f>
        <v>6</v>
      </c>
      <c r="DJ4" s="33" t="n">
        <f aca="false">IF($A4="","",ROUND(IF(SUMIFS(campaigns!$BO$2:$BO$51,campaigns!$B$2:$B$51,$B4)=0,0,$BO4/SUMIFS(campaigns!$BO$2:$BO$51,campaigns!$B$2:$B$51,$B4))*(SUMIFS(hours!$E$2:$E$1501,hours!$B$2:$B$1501,$B4)-SUMPRODUCT((hours!$B$2:$B$1501=$B4)*(LEN(hours!$C$2:$C$1501)&gt;0)*hours!$E$2:$E$1501)),2))</f>
        <v>2.93</v>
      </c>
      <c r="DK4" s="32" t="n">
        <f aca="false">IF($A4="","",$DB4-$DF4-$DG4-$DH4)</f>
        <v>750</v>
      </c>
      <c r="DL4" s="32" t="n">
        <f aca="false">IF($A4="","",IF(N($DI4)+N($DJ4)=0,"",ROUND($DK4/($DI4+$DJ4),2)))</f>
        <v>83.99</v>
      </c>
      <c r="DM4" s="34" t="n">
        <f aca="false">IF($A4="","",IF(N($BP4)=0,"",COUNTIFS(approvals!$A$2:$A$251,$A4,approvals!$Q$2:$Q$251,"Y",approvals!$AK$2:$AK$251,"Y")/$BP4))</f>
        <v>0</v>
      </c>
      <c r="DN4" s="33" t="str">
        <f aca="false">IF($A4="","",IF(COUNTIFS(approvals!$A$2:$A$251,$A4,approvals!$AC$2:$AC$251,"&gt;=0")=0,"",ROUND(SUMIFS(approvals!$AC$2:$AC$251,approvals!$A$2:$A$251,$A4)/COUNTIFS(approvals!$A$2:$A$251,$A4,approvals!$AC$2:$AC$251,"&gt;=0"),1)))</f>
        <v/>
      </c>
      <c r="DO4" s="31" t="n">
        <f aca="false">IF($A4="","",IFERROR(IF(INDEX(drops!$T$2:$T$21,MATCH($B4,drops!$A$2:$A$21,0))="","",INDEX(drops!$T$2:$T$21,MATCH($B4,drops!$A$2:$A$21,0))),""))</f>
        <v>46437</v>
      </c>
      <c r="DP4" s="31" t="n">
        <f aca="false">IF($A4="","",IFERROR(IF(INDEX(drops!$U$2:$U$21,MATCH($B4,drops!$A$2:$A$21,0))="","",INDEX(drops!$U$2:$U$21,MATCH($B4,drops!$A$2:$A$21,0))),""))</f>
        <v>46442</v>
      </c>
      <c r="DQ4" s="31" t="n">
        <f aca="false">IF($A4="","",IFERROR(IF(INDEX(drops!$W$2:$W$21,MATCH($B4,drops!$A$2:$A$21,0))="","",INDEX(drops!$W$2:$W$21,MATCH($B4,drops!$A$2:$A$21,0))),""))</f>
        <v>46457</v>
      </c>
      <c r="DR4" s="30" t="str">
        <f aca="false">IF($A4="","",IF($CE4="","",IF($CE4&gt;=config!$B$31,"pass","miss")))</f>
        <v/>
      </c>
      <c r="DS4" s="30" t="str">
        <f aca="false">IF($A4="","",IF($CI4="","",IF($CI4&gt;=config!$B$30,"pass","miss")))</f>
        <v>miss</v>
      </c>
      <c r="DT4" s="30" t="str">
        <f aca="true">IF($A4="","",IF($AT4="",IF($DO4="","",IF(IF(config!$B$37&lt;&gt;"",config!$B$37,TODAY())&gt;$DO4,"late","due")),IF($AT4&lt;=$DO4,"pass","late")))</f>
        <v>due</v>
      </c>
      <c r="DU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","")&amp;IF($BZ4&lt;0,"reserve below zero: check inventory;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","")&amp;IF(AND($DA4="",$DQ4&lt;&gt;"",IF(config!$B$37&lt;&gt;"",config!$B$37,TODAY())&gt;$DQ4),"day-30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","")&amp;IF($DT4="late","report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units changed since the ship-date email of 2027-01-11 (523, now 567): send the brand the revised numbers (template 02) and log them; </v>
      </c>
    </row>
    <row r="5" customFormat="false" ht="15" hidden="false" customHeight="false" outlineLevel="0" collapsed="false">
      <c r="A5" s="0" t="s">
        <v>498</v>
      </c>
      <c r="B5" s="0" t="s">
        <v>341</v>
      </c>
      <c r="C5" s="0" t="s">
        <v>499</v>
      </c>
      <c r="D5" s="10" t="s">
        <v>492</v>
      </c>
      <c r="F5" s="0" t="n">
        <v>10</v>
      </c>
      <c r="G5" s="12"/>
      <c r="H5" s="11" t="n">
        <v>46393</v>
      </c>
      <c r="I5" s="10" t="s">
        <v>462</v>
      </c>
      <c r="J5" s="10" t="s">
        <v>500</v>
      </c>
      <c r="L5" s="10" t="s">
        <v>501</v>
      </c>
      <c r="M5" s="10" t="s">
        <v>482</v>
      </c>
      <c r="N5" s="10" t="s">
        <v>502</v>
      </c>
      <c r="O5" s="10" t="s">
        <v>503</v>
      </c>
      <c r="U5" s="10" t="s">
        <v>484</v>
      </c>
      <c r="V5" s="10" t="s">
        <v>504</v>
      </c>
      <c r="W5" s="10" t="s">
        <v>470</v>
      </c>
      <c r="Y5" s="10" t="s">
        <v>486</v>
      </c>
      <c r="Z5" s="10" t="s">
        <v>473</v>
      </c>
      <c r="AA5" s="10" t="s">
        <v>505</v>
      </c>
      <c r="AB5" s="11" t="n">
        <v>46398</v>
      </c>
      <c r="AC5" s="11" t="n">
        <v>46398</v>
      </c>
      <c r="AD5" s="11" t="n">
        <v>46398</v>
      </c>
      <c r="AF5" s="11" t="n">
        <v>46416</v>
      </c>
      <c r="AG5" s="11" t="n">
        <v>46398</v>
      </c>
      <c r="AH5" s="0" t="n">
        <v>457</v>
      </c>
      <c r="AK5" s="10" t="s">
        <v>506</v>
      </c>
      <c r="AT5" s="11"/>
      <c r="AU5" s="11"/>
      <c r="AY5" s="11"/>
      <c r="BA5" s="11"/>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0</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0</v>
      </c>
      <c r="CC5" s="30" t="n">
        <f aca="false">IF($A5="","",SUMIFS(approvals!$AA$2:$AA$251,approvals!$A$2:$A$251,$A5))</f>
        <v>0</v>
      </c>
      <c r="CD5" s="30" t="n">
        <f aca="false">IF($A5="","",SUMIFS(approvals!$AA$2:$AA$251,approvals!$A$2:$A$251,$A5,approvals!$AB$2:$AB$251,"Y"))</f>
        <v>0</v>
      </c>
      <c r="CE5" s="34" t="str">
        <f aca="false">IF($A5="","",IF(N($CB5)=0,"",$CD5/$CB5))</f>
        <v/>
      </c>
      <c r="CF5" s="30" t="n">
        <f aca="false">IF($A5="","",SUMIFS(approvals!$AD$2:$AD$251,approvals!$A$2:$A$251,$A5))</f>
        <v>0</v>
      </c>
      <c r="CG5" s="30" t="str">
        <f aca="false">IF($A5="","",IF(COUNTIFS(approvals!$A$2:$A$251,$A5,approvals!$Q$2:$Q$251,"Y",approvals!$AG$2:$AG$251,"")&gt;0,"",SUMIFS(approvals!$AG$2:$AG$251,approvals!$A$2:$A$251,$A5,approvals!$Q$2:$Q$251,"Y")))</f>
        <v/>
      </c>
      <c r="CH5" s="30" t="n">
        <f aca="false">IF($A5="","",SUMIFS(approvals!$AL$2:$AL$251,approvals!$A$2:$A$251,$A5))</f>
        <v>0</v>
      </c>
      <c r="CI5" s="30" t="n">
        <f aca="false">IF($A5="","",IF(N($BP5)=0,"",SUMPRODUCT(MIN(approvals!$BB$2:$BB$251+(approvals!$A$2:$A$251&lt;&gt;$A5)*1000000))))</f>
        <v>0</v>
      </c>
      <c r="CJ5" s="30" t="n">
        <f aca="false">IF($A5="","",COUNTIFS(approvals!$A$2:$A$251,$A5,approvals!$Q$2:$Q$251,"Y",approvals!$AL$2:$AL$251,"&lt;"&amp;config!$B$30))</f>
        <v>9</v>
      </c>
      <c r="CK5" s="30" t="n">
        <f aca="false">IF($A5="","",SUMIFS(approvals!$AM$2:$AM$251,approvals!$A$2:$A$251,$A5))</f>
        <v>0</v>
      </c>
      <c r="CL5" s="30" t="n">
        <f aca="false">IF($A5="","",SUMIFS(approvals!$AQ$2:$AQ$251,approvals!$A$2:$A$251,$A5))</f>
        <v>0</v>
      </c>
      <c r="CM5" s="30" t="n">
        <f aca="false">IF($A5="","",SUMIFS(approvals!$AR$2:$AR$251,approvals!$A$2:$A$251,$A5))</f>
        <v>0</v>
      </c>
      <c r="CN5" s="30" t="n">
        <f aca="false">IF($A5="","",SUMIFS(approvals!$AS$2:$AS$251,approvals!$A$2:$A$251,$A5))</f>
        <v>0</v>
      </c>
      <c r="CO5" s="30" t="n">
        <f aca="false">IF($A5="","",SUMIFS(approvals!$AT$2:$AT$251,approvals!$A$2:$A$251,$A5))</f>
        <v>0</v>
      </c>
      <c r="CP5" s="33" t="str">
        <f aca="false">IF($A5="","",IF(N($CO5)=0,"",ROUND(SUMIFS(approvals!$AU$2:$AU$251,approvals!$A$2:$A$251,$A5)/$CO5,1)))</f>
        <v/>
      </c>
      <c r="CQ5" s="30" t="n">
        <f aca="false">IF($A5="","",SUMIFS(approvals!$AV$2:$AV$251,approvals!$A$2:$A$251,$A5))</f>
        <v>0</v>
      </c>
      <c r="CR5" s="30" t="n">
        <f aca="false">IF($A5="","",SUMIFS(approvals!$AW$2:$AW$251,approvals!$A$2:$A$251,$A5))</f>
        <v>0</v>
      </c>
      <c r="CS5" s="30" t="n">
        <f aca="false">IF($A5="","",SUMIFS(approvals!$AX$2:$AX$251,approvals!$A$2:$A$251,$A5))</f>
        <v>0</v>
      </c>
      <c r="CT5" s="30" t="n">
        <f aca="false">IF($A5="","",SUMIFS(approvals!$AY$2:$AY$251,approvals!$A$2:$A$251,$A5))</f>
        <v>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f>
        <v>0</v>
      </c>
      <c r="CW5" s="30" t="n">
        <f aca="false">IF($A5="","",SUMIFS(approvals!$AN$2:$AN$251,approvals!$A$2:$A$251,$A5))</f>
        <v>0</v>
      </c>
      <c r="CX5" s="30" t="n">
        <f aca="false">IF($A5="","",SUMIFS(approvals!$AO$2:$AO$251,approvals!$A$2:$A$251,$A5))</f>
        <v>0</v>
      </c>
      <c r="CY5" s="30" t="str">
        <f aca="false">IF($A5="","",IF($CZ5="","",SUMIFS(redemptions!$C$2:$C$121,redemptions!$A$2:$A$121,$A5,redemptions!$B$2:$B$121,$CZ5)))</f>
        <v/>
      </c>
      <c r="CZ5" s="31" t="str">
        <f aca="false">IF($A5="","",IFERROR(1/(1/SUMPRODUCT(MAX((redemptions!$A$2:$A$121=$A5)*redemptions!$B$2:$B$121))),""))</f>
        <v/>
      </c>
      <c r="DA5" s="30" t="str">
        <f aca="false">IF($A5="","",IF(COUNTIFS(redemptions!$A$2:$A$121,$A5,redemptions!$H$2:$H$121,"Y")=0,"",SUMIFS(redemptions!$C$2:$C$121,redemptions!$A$2:$A$121,$A5,redemptions!$B$2:$B$121,SUMPRODUCT(MIN((redemptions!$A$2:$A$121=$A5)*(redemptions!$H$2:$H$121="Y")*redemptions!$B$2:$B$121+((redemptions!$A$2:$A$121&lt;&gt;$A5)+(redemptions!$H$2:$H$121&lt;&gt;"Y")&gt;0)*1000000)))))</f>
        <v/>
      </c>
      <c r="DB5" s="32" t="n">
        <f aca="false">IF($A5="","",SUMIFS(invoices!$E$2:$E$151,invoices!$B$2:$B$151,$A5))</f>
        <v>750</v>
      </c>
      <c r="DC5" s="32" t="n">
        <f aca="false">IF($A5="","",IF(COUNTIFS(invoices!$B$2:$B$151,$A5,invoices!$C$2:$C$151,"standard_deposit",invoices!$H$2:$H$151,"&gt;0")=0,"",SUMIFS(invoices!$I$2:$I$151,invoices!$B$2:$B$151,$A5,invoices!$C$2:$C$151,"standard_deposit")))</f>
        <v>750</v>
      </c>
      <c r="DD5" s="31" t="n">
        <f aca="false">IF($A5="","",IFERROR(1/(1/SUMPRODUCT(MAX((invoices!$B$2:$B$151=$A5)*(invoices!$C$2:$C$151="standard_deposit")*invoices!$H$2:$H$151))),""))</f>
        <v>46398</v>
      </c>
      <c r="DE5" s="31" t="str">
        <f aca="false">IF($A5="","",IFERROR(1/(1/SUMPRODUCT(MAX((invoices!$B$2:$B$151=$A5)*((invoices!$C$2:$C$151="founding_full")+(invoices!$C$2:$C$151="standard_balance"))*invoices!$H$2:$H$151))),""))</f>
        <v/>
      </c>
      <c r="DF5" s="32" t="n">
        <f aca="false">IF($A5="","",SUMIFS(invoices!$L$2:$L$151,invoices!$B$2:$B$151,$A5))</f>
        <v>0</v>
      </c>
      <c r="DG5" s="32" t="n">
        <f aca="false">IF($A5="","",SUMIFS(costs!$E$2:$E$301,costs!$C$2:$C$301,$A5))</f>
        <v>0</v>
      </c>
      <c r="DH5" s="32" t="n">
        <f aca="false">IF($A5="","",ROUND(IF(SUMIFS(campaigns!$BO$2:$BO$51,campaigns!$B$2:$B$51,$B5)=0,0,$BO5/SUMIFS(campaigns!$BO$2:$BO$51,campaigns!$B$2:$B$51,$B5))*(SUMIFS(costs!$E$2:$E$301,costs!$B$2:$B$301,$B5)-SUMPRODUCT((costs!$B$2:$B$301=$B5)*(LEN(costs!$C$2:$C$301)&gt;0)*costs!$E$2:$E$301)),2))</f>
        <v>0</v>
      </c>
      <c r="DI5" s="33" t="n">
        <f aca="false">IF($A5="","",SUMIFS(hours!$E$2:$E$1501,hours!$C$2:$C$1501,$A5))</f>
        <v>6</v>
      </c>
      <c r="DJ5" s="33" t="n">
        <f aca="false">IF($A5="","",ROUND(IF(SUMIFS(campaigns!$BO$2:$BO$51,campaigns!$B$2:$B$51,$B5)=0,0,$BO5/SUMIFS(campaigns!$BO$2:$BO$51,campaigns!$B$2:$B$51,$B5))*(SUMIFS(hours!$E$2:$E$1501,hours!$B$2:$B$1501,$B5)-SUMPRODUCT((hours!$B$2:$B$1501=$B5)*(LEN(hours!$C$2:$C$1501)&gt;0)*hours!$E$2:$E$1501)),2))</f>
        <v>2.64</v>
      </c>
      <c r="DK5" s="32" t="n">
        <f aca="false">IF($A5="","",$DB5-$DF5-$DG5-$DH5)</f>
        <v>750</v>
      </c>
      <c r="DL5" s="32" t="n">
        <f aca="false">IF($A5="","",IF(N($DI5)+N($DJ5)=0,"",ROUND($DK5/($DI5+$DJ5),2)))</f>
        <v>86.81</v>
      </c>
      <c r="DM5" s="34" t="n">
        <f aca="false">IF($A5="","",IF(N($BP5)=0,"",COUNTIFS(approvals!$A$2:$A$251,$A5,approvals!$Q$2:$Q$251,"Y",approvals!$AK$2:$AK$251,"Y")/$BP5))</f>
        <v>0</v>
      </c>
      <c r="DN5" s="33" t="str">
        <f aca="false">IF($A5="","",IF(COUNTIFS(approvals!$A$2:$A$251,$A5,approvals!$AC$2:$AC$251,"&gt;=0")=0,"",ROUND(SUMIFS(approvals!$AC$2:$AC$251,approvals!$A$2:$A$251,$A5)/COUNTIFS(approvals!$A$2:$A$251,$A5,approvals!$AC$2:$AC$251,"&gt;=0"),1)))</f>
        <v/>
      </c>
      <c r="DO5" s="31" t="n">
        <f aca="false">IF($A5="","",IFERROR(IF(INDEX(drops!$T$2:$T$21,MATCH($B5,drops!$A$2:$A$21,0))="","",INDEX(drops!$T$2:$T$21,MATCH($B5,drops!$A$2:$A$21,0))),""))</f>
        <v>46437</v>
      </c>
      <c r="DP5" s="31" t="n">
        <f aca="false">IF($A5="","",IFERROR(IF(INDEX(drops!$U$2:$U$21,MATCH($B5,drops!$A$2:$A$21,0))="","",INDEX(drops!$U$2:$U$21,MATCH($B5,drops!$A$2:$A$21,0))),""))</f>
        <v>46442</v>
      </c>
      <c r="DQ5" s="31" t="n">
        <f aca="false">IF($A5="","",IFERROR(IF(INDEX(drops!$W$2:$W$21,MATCH($B5,drops!$A$2:$A$21,0))="","",INDEX(drops!$W$2:$W$21,MATCH($B5,drops!$A$2:$A$21,0))),""))</f>
        <v>46457</v>
      </c>
      <c r="DR5" s="30" t="str">
        <f aca="false">IF($A5="","",IF($CE5="","",IF($CE5&gt;=config!$B$31,"pass","miss")))</f>
        <v/>
      </c>
      <c r="DS5" s="30" t="str">
        <f aca="false">IF($A5="","",IF($CI5="","",IF($CI5&gt;=config!$B$30,"pass","miss")))</f>
        <v>miss</v>
      </c>
      <c r="DT5" s="30" t="str">
        <f aca="true">IF($A5="","",IF($AT5="",IF($DO5="","",IF(IF(config!$B$37&lt;&gt;"",config!$B$37,TODAY())&gt;$DO5,"late","due")),IF($AT5&lt;=$DO5,"pass","late")))</f>
        <v>due</v>
      </c>
      <c r="DU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","")&amp;IF($BZ5&lt;0,"reserve below zero: check inventory;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","")&amp;IF(AND($DA5="",$DQ5&lt;&gt;"",IF(config!$B$37&lt;&gt;"",config!$B$37,TODAY())&gt;$DQ5),"day-30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","")&amp;IF($DT5="late","report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units changed since the ship-date email of 2027-01-11 (457, now 501): send the brand the revised numbers (template 02) and log them; info: 1 office(s) short of the contract: add a roster office or credit $150 each; </v>
      </c>
    </row>
    <row r="6" customFormat="false" ht="15" hidden="false" customHeight="false" outlineLevel="0" collapsed="false">
      <c r="A6" s="0" t="s">
        <v>507</v>
      </c>
      <c r="B6" s="0" t="s">
        <v>341</v>
      </c>
      <c r="C6" s="0" t="s">
        <v>508</v>
      </c>
      <c r="D6" s="10" t="s">
        <v>492</v>
      </c>
      <c r="F6" s="0" t="n">
        <v>10</v>
      </c>
      <c r="G6" s="12"/>
      <c r="H6" s="11" t="n">
        <v>46395</v>
      </c>
      <c r="I6" s="10" t="s">
        <v>462</v>
      </c>
      <c r="J6" s="10" t="s">
        <v>509</v>
      </c>
      <c r="K6" s="0" t="n">
        <v>24</v>
      </c>
      <c r="L6" s="10" t="s">
        <v>510</v>
      </c>
      <c r="M6" s="10" t="s">
        <v>511</v>
      </c>
      <c r="N6" s="10" t="s">
        <v>512</v>
      </c>
      <c r="U6" s="10" t="s">
        <v>468</v>
      </c>
      <c r="V6" s="10" t="s">
        <v>513</v>
      </c>
      <c r="W6" s="10" t="s">
        <v>470</v>
      </c>
      <c r="Y6" s="10" t="s">
        <v>472</v>
      </c>
      <c r="Z6" s="10" t="s">
        <v>487</v>
      </c>
      <c r="AB6" s="11" t="n">
        <v>46399</v>
      </c>
      <c r="AC6" s="11" t="n">
        <v>46399</v>
      </c>
      <c r="AD6" s="11" t="n">
        <v>46399</v>
      </c>
      <c r="AF6" s="11" t="n">
        <v>46416</v>
      </c>
      <c r="AG6" s="11" t="n">
        <v>46399</v>
      </c>
      <c r="AH6" s="0" t="n">
        <v>523</v>
      </c>
      <c r="AT6" s="11"/>
      <c r="AU6" s="11"/>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0</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0</v>
      </c>
      <c r="CC6" s="30" t="n">
        <f aca="false">IF($A6="","",SUMIFS(approvals!$AA$2:$AA$251,approvals!$A$2:$A$251,$A6))</f>
        <v>0</v>
      </c>
      <c r="CD6" s="30" t="n">
        <f aca="false">IF($A6="","",SUMIFS(approvals!$AA$2:$AA$251,approvals!$A$2:$A$251,$A6,approvals!$AB$2:$AB$251,"Y"))</f>
        <v>0</v>
      </c>
      <c r="CE6" s="34" t="str">
        <f aca="false">IF($A6="","",IF(N($CB6)=0,"",$CD6/$CB6))</f>
        <v/>
      </c>
      <c r="CF6" s="30" t="n">
        <f aca="false">IF($A6="","",SUMIFS(approvals!$AD$2:$AD$251,approvals!$A$2:$A$251,$A6))</f>
        <v>0</v>
      </c>
      <c r="CG6" s="30" t="str">
        <f aca="false">IF($A6="","",IF(COUNTIFS(approvals!$A$2:$A$251,$A6,approvals!$Q$2:$Q$251,"Y",approvals!$AG$2:$AG$251,"")&gt;0,"",SUMIFS(approvals!$AG$2:$AG$251,approvals!$A$2:$A$251,$A6,approvals!$Q$2:$Q$251,"Y")))</f>
        <v/>
      </c>
      <c r="CH6" s="30" t="n">
        <f aca="false">IF($A6="","",SUMIFS(approvals!$AL$2:$AL$251,approvals!$A$2:$A$251,$A6))</f>
        <v>0</v>
      </c>
      <c r="CI6" s="30" t="n">
        <f aca="false">IF($A6="","",IF(N($BP6)=0,"",SUMPRODUCT(MIN(approvals!$BB$2:$BB$251+(approvals!$A$2:$A$251&lt;&gt;$A6)*1000000))))</f>
        <v>0</v>
      </c>
      <c r="CJ6" s="30" t="n">
        <f aca="false">IF($A6="","",COUNTIFS(approvals!$A$2:$A$251,$A6,approvals!$Q$2:$Q$251,"Y",approvals!$AL$2:$AL$251,"&lt;"&amp;config!$B$30))</f>
        <v>10</v>
      </c>
      <c r="CK6" s="30" t="n">
        <f aca="false">IF($A6="","",SUMIFS(approvals!$AM$2:$AM$251,approvals!$A$2:$A$251,$A6))</f>
        <v>0</v>
      </c>
      <c r="CL6" s="30" t="n">
        <f aca="false">IF($A6="","",SUMIFS(approvals!$AQ$2:$AQ$251,approvals!$A$2:$A$251,$A6))</f>
        <v>0</v>
      </c>
      <c r="CM6" s="30" t="n">
        <f aca="false">IF($A6="","",SUMIFS(approvals!$AR$2:$AR$251,approvals!$A$2:$A$251,$A6))</f>
        <v>0</v>
      </c>
      <c r="CN6" s="30" t="n">
        <f aca="false">IF($A6="","",SUMIFS(approvals!$AS$2:$AS$251,approvals!$A$2:$A$251,$A6))</f>
        <v>0</v>
      </c>
      <c r="CO6" s="30" t="n">
        <f aca="false">IF($A6="","",SUMIFS(approvals!$AT$2:$AT$251,approvals!$A$2:$A$251,$A6))</f>
        <v>0</v>
      </c>
      <c r="CP6" s="33" t="str">
        <f aca="false">IF($A6="","",IF(N($CO6)=0,"",ROUND(SUMIFS(approvals!$AU$2:$AU$251,approvals!$A$2:$A$251,$A6)/$CO6,1)))</f>
        <v/>
      </c>
      <c r="CQ6" s="30" t="n">
        <f aca="false">IF($A6="","",SUMIFS(approvals!$AV$2:$AV$251,approvals!$A$2:$A$251,$A6))</f>
        <v>0</v>
      </c>
      <c r="CR6" s="30" t="n">
        <f aca="false">IF($A6="","",SUMIFS(approvals!$AW$2:$AW$251,approvals!$A$2:$A$251,$A6))</f>
        <v>0</v>
      </c>
      <c r="CS6" s="30" t="n">
        <f aca="false">IF($A6="","",SUMIFS(approvals!$AX$2:$AX$251,approvals!$A$2:$A$251,$A6))</f>
        <v>0</v>
      </c>
      <c r="CT6" s="30" t="n">
        <f aca="false">IF($A6="","",SUMIFS(approvals!$AY$2:$AY$251,approvals!$A$2:$A$251,$A6))</f>
        <v>0</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f>
        <v>0</v>
      </c>
      <c r="CW6" s="30" t="n">
        <f aca="false">IF($A6="","",SUMIFS(approvals!$AN$2:$AN$251,approvals!$A$2:$A$251,$A6))</f>
        <v>0</v>
      </c>
      <c r="CX6" s="30" t="n">
        <f aca="false">IF($A6="","",SUMIFS(approvals!$AO$2:$AO$251,approvals!$A$2:$A$251,$A6))</f>
        <v>0</v>
      </c>
      <c r="CY6" s="30" t="str">
        <f aca="false">IF($A6="","",IF($CZ6="","",SUMIFS(redemptions!$C$2:$C$121,redemptions!$A$2:$A$121,$A6,redemptions!$B$2:$B$121,$CZ6)))</f>
        <v/>
      </c>
      <c r="CZ6" s="31" t="str">
        <f aca="false">IF($A6="","",IFERROR(1/(1/SUMPRODUCT(MAX((redemptions!$A$2:$A$121=$A6)*redemptions!$B$2:$B$121))),""))</f>
        <v/>
      </c>
      <c r="DA6" s="30" t="str">
        <f aca="false">IF($A6="","",IF(COUNTIFS(redemptions!$A$2:$A$121,$A6,redemptions!$H$2:$H$121,"Y")=0,"",SUMIFS(redemptions!$C$2:$C$121,redemptions!$A$2:$A$121,$A6,redemptions!$B$2:$B$121,SUMPRODUCT(MIN((redemptions!$A$2:$A$121=$A6)*(redemptions!$H$2:$H$121="Y")*redemptions!$B$2:$B$121+((redemptions!$A$2:$A$121&lt;&gt;$A6)+(redemptions!$H$2:$H$121&lt;&gt;"Y")&gt;0)*1000000)))))</f>
        <v/>
      </c>
      <c r="DB6" s="32" t="n">
        <f aca="false">IF($A6="","",SUMIFS(invoices!$E$2:$E$151,invoices!$B$2:$B$151,$A6))</f>
        <v>750</v>
      </c>
      <c r="DC6" s="32" t="n">
        <f aca="false">IF($A6="","",IF(COUNTIFS(invoices!$B$2:$B$151,$A6,invoices!$C$2:$C$151,"standard_deposit",invoices!$H$2:$H$151,"&gt;0")=0,"",SUMIFS(invoices!$I$2:$I$151,invoices!$B$2:$B$151,$A6,invoices!$C$2:$C$151,"standard_deposit")))</f>
        <v>750</v>
      </c>
      <c r="DD6" s="31" t="n">
        <f aca="false">IF($A6="","",IFERROR(1/(1/SUMPRODUCT(MAX((invoices!$B$2:$B$151=$A6)*(invoices!$C$2:$C$151="standard_deposit")*invoices!$H$2:$H$151))),""))</f>
        <v>46399</v>
      </c>
      <c r="DE6" s="31" t="str">
        <f aca="false">IF($A6="","",IFERROR(1/(1/SUMPRODUCT(MAX((invoices!$B$2:$B$151=$A6)*((invoices!$C$2:$C$151="founding_full")+(invoices!$C$2:$C$151="standard_balance"))*invoices!$H$2:$H$151))),""))</f>
        <v/>
      </c>
      <c r="DF6" s="32" t="n">
        <f aca="false">IF($A6="","",SUMIFS(invoices!$L$2:$L$151,invoices!$B$2:$B$151,$A6))</f>
        <v>0</v>
      </c>
      <c r="DG6" s="32" t="n">
        <f aca="false">IF($A6="","",SUMIFS(costs!$E$2:$E$301,costs!$C$2:$C$301,$A6))</f>
        <v>0</v>
      </c>
      <c r="DH6" s="32" t="n">
        <f aca="false">IF($A6="","",ROUND(IF(SUMIFS(campaigns!$BO$2:$BO$51,campaigns!$B$2:$B$51,$B6)=0,0,$BO6/SUMIFS(campaigns!$BO$2:$BO$51,campaigns!$B$2:$B$51,$B6))*(SUMIFS(costs!$E$2:$E$301,costs!$B$2:$B$301,$B6)-SUMPRODUCT((costs!$B$2:$B$301=$B6)*(LEN(costs!$C$2:$C$301)&gt;0)*costs!$E$2:$E$301)),2))</f>
        <v>0</v>
      </c>
      <c r="DI6" s="33" t="n">
        <f aca="false">IF($A6="","",SUMIFS(hours!$E$2:$E$1501,hours!$C$2:$C$1501,$A6))</f>
        <v>6</v>
      </c>
      <c r="DJ6" s="33" t="n">
        <f aca="false">IF($A6="","",ROUND(IF(SUMIFS(campaigns!$BO$2:$BO$51,campaigns!$B$2:$B$51,$B6)=0,0,$BO6/SUMIFS(campaigns!$BO$2:$BO$51,campaigns!$B$2:$B$51,$B6))*(SUMIFS(hours!$E$2:$E$1501,hours!$B$2:$B$1501,$B6)-SUMPRODUCT((hours!$B$2:$B$1501=$B6)*(LEN(hours!$C$2:$C$1501)&gt;0)*hours!$E$2:$E$1501)),2))</f>
        <v>2.93</v>
      </c>
      <c r="DK6" s="32" t="n">
        <f aca="false">IF($A6="","",$DB6-$DF6-$DG6-$DH6)</f>
        <v>750</v>
      </c>
      <c r="DL6" s="32" t="n">
        <f aca="false">IF($A6="","",IF(N($DI6)+N($DJ6)=0,"",ROUND($DK6/($DI6+$DJ6),2)))</f>
        <v>83.99</v>
      </c>
      <c r="DM6" s="34" t="n">
        <f aca="false">IF($A6="","",IF(N($BP6)=0,"",COUNTIFS(approvals!$A$2:$A$251,$A6,approvals!$Q$2:$Q$251,"Y",approvals!$AK$2:$AK$251,"Y")/$BP6))</f>
        <v>0</v>
      </c>
      <c r="DN6" s="33" t="str">
        <f aca="false">IF($A6="","",IF(COUNTIFS(approvals!$A$2:$A$251,$A6,approvals!$AC$2:$AC$251,"&gt;=0")=0,"",ROUND(SUMIFS(approvals!$AC$2:$AC$251,approvals!$A$2:$A$251,$A6)/COUNTIFS(approvals!$A$2:$A$251,$A6,approvals!$AC$2:$AC$251,"&gt;=0"),1)))</f>
        <v/>
      </c>
      <c r="DO6" s="31" t="n">
        <f aca="false">IF($A6="","",IFERROR(IF(INDEX(drops!$T$2:$T$21,MATCH($B6,drops!$A$2:$A$21,0))="","",INDEX(drops!$T$2:$T$21,MATCH($B6,drops!$A$2:$A$21,0))),""))</f>
        <v>46437</v>
      </c>
      <c r="DP6" s="31" t="n">
        <f aca="false">IF($A6="","",IFERROR(IF(INDEX(drops!$U$2:$U$21,MATCH($B6,drops!$A$2:$A$21,0))="","",INDEX(drops!$U$2:$U$21,MATCH($B6,drops!$A$2:$A$21,0))),""))</f>
        <v>46442</v>
      </c>
      <c r="DQ6" s="31" t="n">
        <f aca="false">IF($A6="","",IFERROR(IF(INDEX(drops!$W$2:$W$21,MATCH($B6,drops!$A$2:$A$21,0))="","",INDEX(drops!$W$2:$W$21,MATCH($B6,drops!$A$2:$A$21,0))),""))</f>
        <v>46457</v>
      </c>
      <c r="DR6" s="30" t="str">
        <f aca="false">IF($A6="","",IF($CE6="","",IF($CE6&gt;=config!$B$31,"pass","miss")))</f>
        <v/>
      </c>
      <c r="DS6" s="30" t="str">
        <f aca="false">IF($A6="","",IF($CI6="","",IF($CI6&gt;=config!$B$30,"pass","miss")))</f>
        <v>miss</v>
      </c>
      <c r="DT6" s="30" t="str">
        <f aca="true">IF($A6="","",IF($AT6="",IF($DO6="","",IF(IF(config!$B$37&lt;&gt;"",config!$B$37,TODAY())&gt;$DO6,"late","due")),IF($AT6&lt;=$DO6,"pass","late")))</f>
        <v>due</v>
      </c>
      <c r="DU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","")&amp;IF($BZ6&lt;0,"reserve below zero: check inventory;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","")&amp;IF(AND($DA6="",$DQ6&lt;&gt;"",IF(config!$B$37&lt;&gt;"",config!$B$37,TODAY())&gt;$DQ6),"day-30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","")&amp;IF($DT6="late","report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units changed since the ship-date email of 2027-01-12 (523, now 567): send the brand the revised numbers (template 02) and log them; </v>
      </c>
    </row>
    <row r="7" customFormat="false" ht="15" hidden="false" customHeight="false" outlineLevel="0" collapsed="false">
      <c r="D7" s="10"/>
      <c r="G7" s="12"/>
      <c r="H7" s="11"/>
      <c r="M7" s="10"/>
      <c r="Y7" s="10"/>
      <c r="Z7" s="10"/>
      <c r="AB7" s="11"/>
      <c r="AC7" s="11"/>
      <c r="AD7" s="11"/>
      <c r="AF7" s="11"/>
      <c r="AG7" s="11"/>
      <c r="AT7" s="11"/>
      <c r="AU7" s="11"/>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f>
        <v/>
      </c>
      <c r="CL7" s="30" t="str">
        <f aca="false">IF($A7="","",SUMIFS(approvals!$AQ$2:$AQ$251,approvals!$A$2:$A$251,$A7))</f>
        <v/>
      </c>
      <c r="CM7" s="30" t="str">
        <f aca="false">IF($A7="","",SUMIFS(approvals!$AR$2:$AR$251,approvals!$A$2:$A$251,$A7))</f>
        <v/>
      </c>
      <c r="CN7" s="30" t="str">
        <f aca="false">IF($A7="","",SUMIFS(approvals!$AS$2:$AS$251,approvals!$A$2:$A$251,$A7))</f>
        <v/>
      </c>
      <c r="CO7" s="30" t="str">
        <f aca="false">IF($A7="","",SUMIFS(approvals!$AT$2:$AT$251,approvals!$A$2:$A$251,$A7))</f>
        <v/>
      </c>
      <c r="CP7" s="33" t="str">
        <f aca="false">IF($A7="","",IF(N($CO7)=0,"",ROUND(SUMIFS(approvals!$AU$2:$AU$251,approvals!$A$2:$A$251,$A7)/$CO7,1)))</f>
        <v/>
      </c>
      <c r="CQ7" s="30" t="str">
        <f aca="false">IF($A7="","",SUMIFS(approvals!$AV$2:$AV$251,approvals!$A$2:$A$251,$A7))</f>
        <v/>
      </c>
      <c r="CR7" s="30" t="str">
        <f aca="false">IF($A7="","",SUMIFS(approvals!$AW$2:$AW$251,approvals!$A$2:$A$251,$A7))</f>
        <v/>
      </c>
      <c r="CS7" s="30" t="str">
        <f aca="false">IF($A7="","",SUMIFS(approvals!$AX$2:$AX$251,approvals!$A$2:$A$251,$A7))</f>
        <v/>
      </c>
      <c r="CT7" s="30" t="str">
        <f aca="false">IF($A7="","",SUMIFS(approvals!$AY$2:$AY$251,approvals!$A$2:$A$251,$A7))</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f>
        <v/>
      </c>
      <c r="CW7" s="30" t="str">
        <f aca="false">IF($A7="","",SUMIFS(approvals!$AN$2:$AN$251,approvals!$A$2:$A$251,$A7))</f>
        <v/>
      </c>
      <c r="CX7" s="30" t="str">
        <f aca="false">IF($A7="","",SUMIFS(approvals!$AO$2:$AO$251,approvals!$A$2:$A$251,$A7))</f>
        <v/>
      </c>
      <c r="CY7" s="30" t="str">
        <f aca="false">IF($A7="","",IF($CZ7="","",SUMIFS(redemptions!$C$2:$C$121,redemptions!$A$2:$A$121,$A7,redemptions!$B$2:$B$121,$CZ7)))</f>
        <v/>
      </c>
      <c r="CZ7" s="31" t="str">
        <f aca="false">IF($A7="","",IFERROR(1/(1/SUMPRODUCT(MAX((redemptions!$A$2:$A$121=$A7)*redemptions!$B$2:$B$121))),""))</f>
        <v/>
      </c>
      <c r="DA7" s="30" t="str">
        <f aca="false">IF($A7="","",IF(COUNTIFS(redemptions!$A$2:$A$121,$A7,redemptions!$H$2:$H$121,"Y")=0,"",SUMIFS(redemptions!$C$2:$C$121,redemptions!$A$2:$A$121,$A7,redemptions!$B$2:$B$121,SUMPRODUCT(MIN((redemptions!$A$2:$A$121=$A7)*(redemptions!$H$2:$H$121="Y")*redemptions!$B$2:$B$121+((redemptions!$A$2:$A$121&lt;&gt;$A7)+(redemptions!$H$2:$H$121&lt;&gt;"Y")&gt;0)*1000000)))))</f>
        <v/>
      </c>
      <c r="DB7" s="32" t="str">
        <f aca="false">IF($A7="","",SUMIFS(invoices!$E$2:$E$151,invoices!$B$2:$B$151,$A7))</f>
        <v/>
      </c>
      <c r="DC7" s="32" t="str">
        <f aca="false">IF($A7="","",IF(COUNTIFS(invoices!$B$2:$B$151,$A7,invoices!$C$2:$C$151,"standard_deposit",invoices!$H$2:$H$151,"&gt;0")=0,"",SUMIFS(invoices!$I$2:$I$151,invoices!$B$2:$B$151,$A7,invoices!$C$2:$C$151,"standard_deposit")))</f>
        <v/>
      </c>
      <c r="DD7" s="31" t="str">
        <f aca="false">IF($A7="","",IFERROR(1/(1/SUMPRODUCT(MAX((invoices!$B$2:$B$151=$A7)*(invoices!$C$2:$C$151="standard_deposit")*invoices!$H$2:$H$151))),""))</f>
        <v/>
      </c>
      <c r="DE7" s="31" t="str">
        <f aca="false">IF($A7="","",IFERROR(1/(1/SUMPRODUCT(MAX((invoices!$B$2:$B$151=$A7)*((invoices!$C$2:$C$151="founding_full")+(invoices!$C$2:$C$151="standard_balance"))*invoices!$H$2:$H$151))),""))</f>
        <v/>
      </c>
      <c r="DF7" s="32" t="str">
        <f aca="false">IF($A7="","",SUMIFS(invoices!$L$2:$L$151,invoices!$B$2:$B$151,$A7))</f>
        <v/>
      </c>
      <c r="DG7" s="32" t="str">
        <f aca="false">IF($A7="","",SUMIFS(costs!$E$2:$E$301,costs!$C$2:$C$301,$A7))</f>
        <v/>
      </c>
      <c r="DH7" s="32" t="str">
        <f aca="false">IF($A7="","",ROUND(IF(SUMIFS(campaigns!$BO$2:$BO$51,campaigns!$B$2:$B$51,$B7)=0,0,$BO7/SUMIFS(campaigns!$BO$2:$BO$51,campaigns!$B$2:$B$51,$B7))*(SUMIFS(costs!$E$2:$E$301,costs!$B$2:$B$301,$B7)-SUMPRODUCT((costs!$B$2:$B$301=$B7)*(LEN(costs!$C$2:$C$301)&gt;0)*costs!$E$2:$E$301)),2))</f>
        <v/>
      </c>
      <c r="DI7" s="33" t="str">
        <f aca="false">IF($A7="","",SUMIFS(hours!$E$2:$E$1501,hours!$C$2:$C$1501,$A7))</f>
        <v/>
      </c>
      <c r="DJ7" s="33" t="str">
        <f aca="false">IF($A7="","",ROUND(IF(SUMIFS(campaigns!$BO$2:$BO$51,campaigns!$B$2:$B$51,$B7)=0,0,$BO7/SUMIFS(campaigns!$BO$2:$BO$51,campaigns!$B$2:$B$51,$B7))*(SUMIFS(hours!$E$2:$E$1501,hours!$B$2:$B$1501,$B7)-SUMPRODUCT((hours!$B$2:$B$1501=$B7)*(LEN(hours!$C$2:$C$1501)&gt;0)*hours!$E$2:$E$1501)),2))</f>
        <v/>
      </c>
      <c r="DK7" s="32" t="str">
        <f aca="false">IF($A7="","",$DB7-$DF7-$DG7-$DH7)</f>
        <v/>
      </c>
      <c r="DL7" s="32" t="str">
        <f aca="false">IF($A7="","",IF(N($DI7)+N($DJ7)=0,"",ROUND($DK7/($DI7+$DJ7),2)))</f>
        <v/>
      </c>
      <c r="DM7" s="34" t="str">
        <f aca="false">IF($A7="","",IF(N($BP7)=0,"",COUNTIFS(approvals!$A$2:$A$251,$A7,approvals!$Q$2:$Q$251,"Y",approvals!$AK$2:$AK$251,"Y")/$BP7))</f>
        <v/>
      </c>
      <c r="DN7" s="33" t="str">
        <f aca="false">IF($A7="","",IF(COUNTIFS(approvals!$A$2:$A$251,$A7,approvals!$AC$2:$AC$251,"&gt;=0")=0,"",ROUND(SUMIFS(approvals!$AC$2:$AC$251,approvals!$A$2:$A$251,$A7)/COUNTIFS(approvals!$A$2:$A$251,$A7,approvals!$AC$2:$AC$251,"&gt;=0"),1)))</f>
        <v/>
      </c>
      <c r="DO7" s="31" t="str">
        <f aca="false">IF($A7="","",IFERROR(IF(INDEX(drops!$T$2:$T$21,MATCH($B7,drops!$A$2:$A$21,0))="","",INDEX(drops!$T$2:$T$21,MATCH($B7,drops!$A$2:$A$21,0))),""))</f>
        <v/>
      </c>
      <c r="DP7" s="31" t="str">
        <f aca="false">IF($A7="","",IFERROR(IF(INDEX(drops!$U$2:$U$21,MATCH($B7,drops!$A$2:$A$21,0))="","",INDEX(drops!$U$2:$U$21,MATCH($B7,drops!$A$2:$A$21,0))),""))</f>
        <v/>
      </c>
      <c r="DQ7" s="31" t="str">
        <f aca="false">IF($A7="","",IFERROR(IF(INDEX(drops!$W$2:$W$21,MATCH($B7,drops!$A$2:$A$21,0))="","",INDEX(drops!$W$2:$W$21,MATCH($B7,drops!$A$2:$A$21,0))),""))</f>
        <v/>
      </c>
      <c r="DR7" s="30" t="str">
        <f aca="false">IF($A7="","",IF($CE7="","",IF($CE7&gt;=config!$B$31,"pass","miss")))</f>
        <v/>
      </c>
      <c r="DS7" s="30" t="str">
        <f aca="false">IF($A7="","",IF($CI7="","",IF($CI7&gt;=config!$B$30,"pass","miss")))</f>
        <v/>
      </c>
      <c r="DT7" s="30" t="str">
        <f aca="true">IF($A7="","",IF($AT7="",IF($DO7="","",IF(IF(config!$B$37&lt;&gt;"",config!$B$37,TODAY())&gt;$DO7,"late","due")),IF($AT7&lt;=$DO7,"pass","late")))</f>
        <v/>
      </c>
      <c r="DU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","")&amp;IF($BZ7&lt;0,"reserve below zero: check inventory;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","")&amp;IF(AND($DA7="",$DQ7&lt;&gt;"",IF(config!$B$37&lt;&gt;"",config!$B$37,TODAY())&gt;$DQ7),"day-30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","")&amp;IF($DT7="late","report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f>
        <v/>
      </c>
      <c r="CL8" s="30" t="str">
        <f aca="false">IF($A8="","",SUMIFS(approvals!$AQ$2:$AQ$251,approvals!$A$2:$A$251,$A8))</f>
        <v/>
      </c>
      <c r="CM8" s="30" t="str">
        <f aca="false">IF($A8="","",SUMIFS(approvals!$AR$2:$AR$251,approvals!$A$2:$A$251,$A8))</f>
        <v/>
      </c>
      <c r="CN8" s="30" t="str">
        <f aca="false">IF($A8="","",SUMIFS(approvals!$AS$2:$AS$251,approvals!$A$2:$A$251,$A8))</f>
        <v/>
      </c>
      <c r="CO8" s="30" t="str">
        <f aca="false">IF($A8="","",SUMIFS(approvals!$AT$2:$AT$251,approvals!$A$2:$A$251,$A8))</f>
        <v/>
      </c>
      <c r="CP8" s="33" t="str">
        <f aca="false">IF($A8="","",IF(N($CO8)=0,"",ROUND(SUMIFS(approvals!$AU$2:$AU$251,approvals!$A$2:$A$251,$A8)/$CO8,1)))</f>
        <v/>
      </c>
      <c r="CQ8" s="30" t="str">
        <f aca="false">IF($A8="","",SUMIFS(approvals!$AV$2:$AV$251,approvals!$A$2:$A$251,$A8))</f>
        <v/>
      </c>
      <c r="CR8" s="30" t="str">
        <f aca="false">IF($A8="","",SUMIFS(approvals!$AW$2:$AW$251,approvals!$A$2:$A$251,$A8))</f>
        <v/>
      </c>
      <c r="CS8" s="30" t="str">
        <f aca="false">IF($A8="","",SUMIFS(approvals!$AX$2:$AX$251,approvals!$A$2:$A$251,$A8))</f>
        <v/>
      </c>
      <c r="CT8" s="30" t="str">
        <f aca="false">IF($A8="","",SUMIFS(approvals!$AY$2:$AY$251,approvals!$A$2:$A$251,$A8))</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f>
        <v/>
      </c>
      <c r="CW8" s="30" t="str">
        <f aca="false">IF($A8="","",SUMIFS(approvals!$AN$2:$AN$251,approvals!$A$2:$A$251,$A8))</f>
        <v/>
      </c>
      <c r="CX8" s="30" t="str">
        <f aca="false">IF($A8="","",SUMIFS(approvals!$AO$2:$AO$251,approvals!$A$2:$A$251,$A8))</f>
        <v/>
      </c>
      <c r="CY8" s="30" t="str">
        <f aca="false">IF($A8="","",IF($CZ8="","",SUMIFS(redemptions!$C$2:$C$121,redemptions!$A$2:$A$121,$A8,redemptions!$B$2:$B$121,$CZ8)))</f>
        <v/>
      </c>
      <c r="CZ8" s="31" t="str">
        <f aca="false">IF($A8="","",IFERROR(1/(1/SUMPRODUCT(MAX((redemptions!$A$2:$A$121=$A8)*redemptions!$B$2:$B$121))),""))</f>
        <v/>
      </c>
      <c r="DA8" s="30" t="str">
        <f aca="false">IF($A8="","",IF(COUNTIFS(redemptions!$A$2:$A$121,$A8,redemptions!$H$2:$H$121,"Y")=0,"",SUMIFS(redemptions!$C$2:$C$121,redemptions!$A$2:$A$121,$A8,redemptions!$B$2:$B$121,SUMPRODUCT(MIN((redemptions!$A$2:$A$121=$A8)*(redemptions!$H$2:$H$121="Y")*redemptions!$B$2:$B$121+((redemptions!$A$2:$A$121&lt;&gt;$A8)+(redemptions!$H$2:$H$121&lt;&gt;"Y")&gt;0)*1000000)))))</f>
        <v/>
      </c>
      <c r="DB8" s="32" t="str">
        <f aca="false">IF($A8="","",SUMIFS(invoices!$E$2:$E$151,invoices!$B$2:$B$151,$A8))</f>
        <v/>
      </c>
      <c r="DC8" s="32" t="str">
        <f aca="false">IF($A8="","",IF(COUNTIFS(invoices!$B$2:$B$151,$A8,invoices!$C$2:$C$151,"standard_deposit",invoices!$H$2:$H$151,"&gt;0")=0,"",SUMIFS(invoices!$I$2:$I$151,invoices!$B$2:$B$151,$A8,invoices!$C$2:$C$151,"standard_deposit")))</f>
        <v/>
      </c>
      <c r="DD8" s="31" t="str">
        <f aca="false">IF($A8="","",IFERROR(1/(1/SUMPRODUCT(MAX((invoices!$B$2:$B$151=$A8)*(invoices!$C$2:$C$151="standard_deposit")*invoices!$H$2:$H$151))),""))</f>
        <v/>
      </c>
      <c r="DE8" s="31" t="str">
        <f aca="false">IF($A8="","",IFERROR(1/(1/SUMPRODUCT(MAX((invoices!$B$2:$B$151=$A8)*((invoices!$C$2:$C$151="founding_full")+(invoices!$C$2:$C$151="standard_balance"))*invoices!$H$2:$H$151))),""))</f>
        <v/>
      </c>
      <c r="DF8" s="32" t="str">
        <f aca="false">IF($A8="","",SUMIFS(invoices!$L$2:$L$151,invoices!$B$2:$B$151,$A8))</f>
        <v/>
      </c>
      <c r="DG8" s="32" t="str">
        <f aca="false">IF($A8="","",SUMIFS(costs!$E$2:$E$301,costs!$C$2:$C$301,$A8))</f>
        <v/>
      </c>
      <c r="DH8" s="32" t="str">
        <f aca="false">IF($A8="","",ROUND(IF(SUMIFS(campaigns!$BO$2:$BO$51,campaigns!$B$2:$B$51,$B8)=0,0,$BO8/SUMIFS(campaigns!$BO$2:$BO$51,campaigns!$B$2:$B$51,$B8))*(SUMIFS(costs!$E$2:$E$301,costs!$B$2:$B$301,$B8)-SUMPRODUCT((costs!$B$2:$B$301=$B8)*(LEN(costs!$C$2:$C$301)&gt;0)*costs!$E$2:$E$301)),2))</f>
        <v/>
      </c>
      <c r="DI8" s="33" t="str">
        <f aca="false">IF($A8="","",SUMIFS(hours!$E$2:$E$1501,hours!$C$2:$C$1501,$A8))</f>
        <v/>
      </c>
      <c r="DJ8" s="33" t="str">
        <f aca="false">IF($A8="","",ROUND(IF(SUMIFS(campaigns!$BO$2:$BO$51,campaigns!$B$2:$B$51,$B8)=0,0,$BO8/SUMIFS(campaigns!$BO$2:$BO$51,campaigns!$B$2:$B$51,$B8))*(SUMIFS(hours!$E$2:$E$1501,hours!$B$2:$B$1501,$B8)-SUMPRODUCT((hours!$B$2:$B$1501=$B8)*(LEN(hours!$C$2:$C$1501)&gt;0)*hours!$E$2:$E$1501)),2))</f>
        <v/>
      </c>
      <c r="DK8" s="32" t="str">
        <f aca="false">IF($A8="","",$DB8-$DF8-$DG8-$DH8)</f>
        <v/>
      </c>
      <c r="DL8" s="32" t="str">
        <f aca="false">IF($A8="","",IF(N($DI8)+N($DJ8)=0,"",ROUND($DK8/($DI8+$DJ8),2)))</f>
        <v/>
      </c>
      <c r="DM8" s="34" t="str">
        <f aca="false">IF($A8="","",IF(N($BP8)=0,"",COUNTIFS(approvals!$A$2:$A$251,$A8,approvals!$Q$2:$Q$251,"Y",approvals!$AK$2:$AK$251,"Y")/$BP8))</f>
        <v/>
      </c>
      <c r="DN8" s="33" t="str">
        <f aca="false">IF($A8="","",IF(COUNTIFS(approvals!$A$2:$A$251,$A8,approvals!$AC$2:$AC$251,"&gt;=0")=0,"",ROUND(SUMIFS(approvals!$AC$2:$AC$251,approvals!$A$2:$A$251,$A8)/COUNTIFS(approvals!$A$2:$A$251,$A8,approvals!$AC$2:$AC$251,"&gt;=0"),1)))</f>
        <v/>
      </c>
      <c r="DO8" s="31" t="str">
        <f aca="false">IF($A8="","",IFERROR(IF(INDEX(drops!$T$2:$T$21,MATCH($B8,drops!$A$2:$A$21,0))="","",INDEX(drops!$T$2:$T$21,MATCH($B8,drops!$A$2:$A$21,0))),""))</f>
        <v/>
      </c>
      <c r="DP8" s="31" t="str">
        <f aca="false">IF($A8="","",IFERROR(IF(INDEX(drops!$U$2:$U$21,MATCH($B8,drops!$A$2:$A$21,0))="","",INDEX(drops!$U$2:$U$21,MATCH($B8,drops!$A$2:$A$21,0))),""))</f>
        <v/>
      </c>
      <c r="DQ8" s="31" t="str">
        <f aca="false">IF($A8="","",IFERROR(IF(INDEX(drops!$W$2:$W$21,MATCH($B8,drops!$A$2:$A$21,0))="","",INDEX(drops!$W$2:$W$21,MATCH($B8,drops!$A$2:$A$21,0))),""))</f>
        <v/>
      </c>
      <c r="DR8" s="30" t="str">
        <f aca="false">IF($A8="","",IF($CE8="","",IF($CE8&gt;=config!$B$31,"pass","miss")))</f>
        <v/>
      </c>
      <c r="DS8" s="30" t="str">
        <f aca="false">IF($A8="","",IF($CI8="","",IF($CI8&gt;=config!$B$30,"pass","miss")))</f>
        <v/>
      </c>
      <c r="DT8" s="30" t="str">
        <f aca="true">IF($A8="","",IF($AT8="",IF($DO8="","",IF(IF(config!$B$37&lt;&gt;"",config!$B$37,TODAY())&gt;$DO8,"late","due")),IF($AT8&lt;=$DO8,"pass","late")))</f>
        <v/>
      </c>
      <c r="DU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","")&amp;IF($BZ8&lt;0,"reserve below zero: check inventory;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","")&amp;IF(AND($DA8="",$DQ8&lt;&gt;"",IF(config!$B$37&lt;&gt;"",config!$B$37,TODAY())&gt;$DQ8),"day-30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","")&amp;IF($DT8="late","report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f>
        <v/>
      </c>
      <c r="CL9" s="30" t="str">
        <f aca="false">IF($A9="","",SUMIFS(approvals!$AQ$2:$AQ$251,approvals!$A$2:$A$251,$A9))</f>
        <v/>
      </c>
      <c r="CM9" s="30" t="str">
        <f aca="false">IF($A9="","",SUMIFS(approvals!$AR$2:$AR$251,approvals!$A$2:$A$251,$A9))</f>
        <v/>
      </c>
      <c r="CN9" s="30" t="str">
        <f aca="false">IF($A9="","",SUMIFS(approvals!$AS$2:$AS$251,approvals!$A$2:$A$251,$A9))</f>
        <v/>
      </c>
      <c r="CO9" s="30" t="str">
        <f aca="false">IF($A9="","",SUMIFS(approvals!$AT$2:$AT$251,approvals!$A$2:$A$251,$A9))</f>
        <v/>
      </c>
      <c r="CP9" s="33" t="str">
        <f aca="false">IF($A9="","",IF(N($CO9)=0,"",ROUND(SUMIFS(approvals!$AU$2:$AU$251,approvals!$A$2:$A$251,$A9)/$CO9,1)))</f>
        <v/>
      </c>
      <c r="CQ9" s="30" t="str">
        <f aca="false">IF($A9="","",SUMIFS(approvals!$AV$2:$AV$251,approvals!$A$2:$A$251,$A9))</f>
        <v/>
      </c>
      <c r="CR9" s="30" t="str">
        <f aca="false">IF($A9="","",SUMIFS(approvals!$AW$2:$AW$251,approvals!$A$2:$A$251,$A9))</f>
        <v/>
      </c>
      <c r="CS9" s="30" t="str">
        <f aca="false">IF($A9="","",SUMIFS(approvals!$AX$2:$AX$251,approvals!$A$2:$A$251,$A9))</f>
        <v/>
      </c>
      <c r="CT9" s="30" t="str">
        <f aca="false">IF($A9="","",SUMIFS(approvals!$AY$2:$AY$251,approvals!$A$2:$A$251,$A9))</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f>
        <v/>
      </c>
      <c r="CW9" s="30" t="str">
        <f aca="false">IF($A9="","",SUMIFS(approvals!$AN$2:$AN$251,approvals!$A$2:$A$251,$A9))</f>
        <v/>
      </c>
      <c r="CX9" s="30" t="str">
        <f aca="false">IF($A9="","",SUMIFS(approvals!$AO$2:$AO$251,approvals!$A$2:$A$251,$A9))</f>
        <v/>
      </c>
      <c r="CY9" s="30" t="str">
        <f aca="false">IF($A9="","",IF($CZ9="","",SUMIFS(redemptions!$C$2:$C$121,redemptions!$A$2:$A$121,$A9,redemptions!$B$2:$B$121,$CZ9)))</f>
        <v/>
      </c>
      <c r="CZ9" s="31" t="str">
        <f aca="false">IF($A9="","",IFERROR(1/(1/SUMPRODUCT(MAX((redemptions!$A$2:$A$121=$A9)*redemptions!$B$2:$B$121))),""))</f>
        <v/>
      </c>
      <c r="DA9" s="30" t="str">
        <f aca="false">IF($A9="","",IF(COUNTIFS(redemptions!$A$2:$A$121,$A9,redemptions!$H$2:$H$121,"Y")=0,"",SUMIFS(redemptions!$C$2:$C$121,redemptions!$A$2:$A$121,$A9,redemptions!$B$2:$B$121,SUMPRODUCT(MIN((redemptions!$A$2:$A$121=$A9)*(redemptions!$H$2:$H$121="Y")*redemptions!$B$2:$B$121+((redemptions!$A$2:$A$121&lt;&gt;$A9)+(redemptions!$H$2:$H$121&lt;&gt;"Y")&gt;0)*1000000)))))</f>
        <v/>
      </c>
      <c r="DB9" s="32" t="str">
        <f aca="false">IF($A9="","",SUMIFS(invoices!$E$2:$E$151,invoices!$B$2:$B$151,$A9))</f>
        <v/>
      </c>
      <c r="DC9" s="32" t="str">
        <f aca="false">IF($A9="","",IF(COUNTIFS(invoices!$B$2:$B$151,$A9,invoices!$C$2:$C$151,"standard_deposit",invoices!$H$2:$H$151,"&gt;0")=0,"",SUMIFS(invoices!$I$2:$I$151,invoices!$B$2:$B$151,$A9,invoices!$C$2:$C$151,"standard_deposit")))</f>
        <v/>
      </c>
      <c r="DD9" s="31" t="str">
        <f aca="false">IF($A9="","",IFERROR(1/(1/SUMPRODUCT(MAX((invoices!$B$2:$B$151=$A9)*(invoices!$C$2:$C$151="standard_deposit")*invoices!$H$2:$H$151))),""))</f>
        <v/>
      </c>
      <c r="DE9" s="31" t="str">
        <f aca="false">IF($A9="","",IFERROR(1/(1/SUMPRODUCT(MAX((invoices!$B$2:$B$151=$A9)*((invoices!$C$2:$C$151="founding_full")+(invoices!$C$2:$C$151="standard_balance"))*invoices!$H$2:$H$151))),""))</f>
        <v/>
      </c>
      <c r="DF9" s="32" t="str">
        <f aca="false">IF($A9="","",SUMIFS(invoices!$L$2:$L$151,invoices!$B$2:$B$151,$A9))</f>
        <v/>
      </c>
      <c r="DG9" s="32" t="str">
        <f aca="false">IF($A9="","",SUMIFS(costs!$E$2:$E$301,costs!$C$2:$C$301,$A9))</f>
        <v/>
      </c>
      <c r="DH9" s="32" t="str">
        <f aca="false">IF($A9="","",ROUND(IF(SUMIFS(campaigns!$BO$2:$BO$51,campaigns!$B$2:$B$51,$B9)=0,0,$BO9/SUMIFS(campaigns!$BO$2:$BO$51,campaigns!$B$2:$B$51,$B9))*(SUMIFS(costs!$E$2:$E$301,costs!$B$2:$B$301,$B9)-SUMPRODUCT((costs!$B$2:$B$301=$B9)*(LEN(costs!$C$2:$C$301)&gt;0)*costs!$E$2:$E$301)),2))</f>
        <v/>
      </c>
      <c r="DI9" s="33" t="str">
        <f aca="false">IF($A9="","",SUMIFS(hours!$E$2:$E$1501,hours!$C$2:$C$1501,$A9))</f>
        <v/>
      </c>
      <c r="DJ9" s="33" t="str">
        <f aca="false">IF($A9="","",ROUND(IF(SUMIFS(campaigns!$BO$2:$BO$51,campaigns!$B$2:$B$51,$B9)=0,0,$BO9/SUMIFS(campaigns!$BO$2:$BO$51,campaigns!$B$2:$B$51,$B9))*(SUMIFS(hours!$E$2:$E$1501,hours!$B$2:$B$1501,$B9)-SUMPRODUCT((hours!$B$2:$B$1501=$B9)*(LEN(hours!$C$2:$C$1501)&gt;0)*hours!$E$2:$E$1501)),2))</f>
        <v/>
      </c>
      <c r="DK9" s="32" t="str">
        <f aca="false">IF($A9="","",$DB9-$DF9-$DG9-$DH9)</f>
        <v/>
      </c>
      <c r="DL9" s="32" t="str">
        <f aca="false">IF($A9="","",IF(N($DI9)+N($DJ9)=0,"",ROUND($DK9/($DI9+$DJ9),2)))</f>
        <v/>
      </c>
      <c r="DM9" s="34" t="str">
        <f aca="false">IF($A9="","",IF(N($BP9)=0,"",COUNTIFS(approvals!$A$2:$A$251,$A9,approvals!$Q$2:$Q$251,"Y",approvals!$AK$2:$AK$251,"Y")/$BP9))</f>
        <v/>
      </c>
      <c r="DN9" s="33" t="str">
        <f aca="false">IF($A9="","",IF(COUNTIFS(approvals!$A$2:$A$251,$A9,approvals!$AC$2:$AC$251,"&gt;=0")=0,"",ROUND(SUMIFS(approvals!$AC$2:$AC$251,approvals!$A$2:$A$251,$A9)/COUNTIFS(approvals!$A$2:$A$251,$A9,approvals!$AC$2:$AC$251,"&gt;=0"),1)))</f>
        <v/>
      </c>
      <c r="DO9" s="31" t="str">
        <f aca="false">IF($A9="","",IFERROR(IF(INDEX(drops!$T$2:$T$21,MATCH($B9,drops!$A$2:$A$21,0))="","",INDEX(drops!$T$2:$T$21,MATCH($B9,drops!$A$2:$A$21,0))),""))</f>
        <v/>
      </c>
      <c r="DP9" s="31" t="str">
        <f aca="false">IF($A9="","",IFERROR(IF(INDEX(drops!$U$2:$U$21,MATCH($B9,drops!$A$2:$A$21,0))="","",INDEX(drops!$U$2:$U$21,MATCH($B9,drops!$A$2:$A$21,0))),""))</f>
        <v/>
      </c>
      <c r="DQ9" s="31" t="str">
        <f aca="false">IF($A9="","",IFERROR(IF(INDEX(drops!$W$2:$W$21,MATCH($B9,drops!$A$2:$A$21,0))="","",INDEX(drops!$W$2:$W$21,MATCH($B9,drops!$A$2:$A$21,0))),""))</f>
        <v/>
      </c>
      <c r="DR9" s="30" t="str">
        <f aca="false">IF($A9="","",IF($CE9="","",IF($CE9&gt;=config!$B$31,"pass","miss")))</f>
        <v/>
      </c>
      <c r="DS9" s="30" t="str">
        <f aca="false">IF($A9="","",IF($CI9="","",IF($CI9&gt;=config!$B$30,"pass","miss")))</f>
        <v/>
      </c>
      <c r="DT9" s="30" t="str">
        <f aca="true">IF($A9="","",IF($AT9="",IF($DO9="","",IF(IF(config!$B$37&lt;&gt;"",config!$B$37,TODAY())&gt;$DO9,"late","due")),IF($AT9&lt;=$DO9,"pass","late")))</f>
        <v/>
      </c>
      <c r="DU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","")&amp;IF($BZ9&lt;0,"reserve below zero: check inventory;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","")&amp;IF(AND($DA9="",$DQ9&lt;&gt;"",IF(config!$B$37&lt;&gt;"",config!$B$37,TODAY())&gt;$DQ9),"day-30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","")&amp;IF($DT9="late","report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f>
        <v/>
      </c>
      <c r="CL10" s="30" t="str">
        <f aca="false">IF($A10="","",SUMIFS(approvals!$AQ$2:$AQ$251,approvals!$A$2:$A$251,$A10))</f>
        <v/>
      </c>
      <c r="CM10" s="30" t="str">
        <f aca="false">IF($A10="","",SUMIFS(approvals!$AR$2:$AR$251,approvals!$A$2:$A$251,$A10))</f>
        <v/>
      </c>
      <c r="CN10" s="30" t="str">
        <f aca="false">IF($A10="","",SUMIFS(approvals!$AS$2:$AS$251,approvals!$A$2:$A$251,$A10))</f>
        <v/>
      </c>
      <c r="CO10" s="30" t="str">
        <f aca="false">IF($A10="","",SUMIFS(approvals!$AT$2:$AT$251,approvals!$A$2:$A$251,$A10))</f>
        <v/>
      </c>
      <c r="CP10" s="33" t="str">
        <f aca="false">IF($A10="","",IF(N($CO10)=0,"",ROUND(SUMIFS(approvals!$AU$2:$AU$251,approvals!$A$2:$A$251,$A10)/$CO10,1)))</f>
        <v/>
      </c>
      <c r="CQ10" s="30" t="str">
        <f aca="false">IF($A10="","",SUMIFS(approvals!$AV$2:$AV$251,approvals!$A$2:$A$251,$A10))</f>
        <v/>
      </c>
      <c r="CR10" s="30" t="str">
        <f aca="false">IF($A10="","",SUMIFS(approvals!$AW$2:$AW$251,approvals!$A$2:$A$251,$A10))</f>
        <v/>
      </c>
      <c r="CS10" s="30" t="str">
        <f aca="false">IF($A10="","",SUMIFS(approvals!$AX$2:$AX$251,approvals!$A$2:$A$251,$A10))</f>
        <v/>
      </c>
      <c r="CT10" s="30" t="str">
        <f aca="false">IF($A10="","",SUMIFS(approvals!$AY$2:$AY$251,approvals!$A$2:$A$251,$A10))</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f>
        <v/>
      </c>
      <c r="CW10" s="30" t="str">
        <f aca="false">IF($A10="","",SUMIFS(approvals!$AN$2:$AN$251,approvals!$A$2:$A$251,$A10))</f>
        <v/>
      </c>
      <c r="CX10" s="30" t="str">
        <f aca="false">IF($A10="","",SUMIFS(approvals!$AO$2:$AO$251,approvals!$A$2:$A$251,$A10))</f>
        <v/>
      </c>
      <c r="CY10" s="30" t="str">
        <f aca="false">IF($A10="","",IF($CZ10="","",SUMIFS(redemptions!$C$2:$C$121,redemptions!$A$2:$A$121,$A10,redemptions!$B$2:$B$121,$CZ10)))</f>
        <v/>
      </c>
      <c r="CZ10" s="31" t="str">
        <f aca="false">IF($A10="","",IFERROR(1/(1/SUMPRODUCT(MAX((redemptions!$A$2:$A$121=$A10)*redemptions!$B$2:$B$121))),""))</f>
        <v/>
      </c>
      <c r="DA10" s="30" t="str">
        <f aca="false">IF($A10="","",IF(COUNTIFS(redemptions!$A$2:$A$121,$A10,redemptions!$H$2:$H$121,"Y")=0,"",SUMIFS(redemptions!$C$2:$C$121,redemptions!$A$2:$A$121,$A10,redemptions!$B$2:$B$121,SUMPRODUCT(MIN((redemptions!$A$2:$A$121=$A10)*(redemptions!$H$2:$H$121="Y")*redemptions!$B$2:$B$121+((redemptions!$A$2:$A$121&lt;&gt;$A10)+(redemptions!$H$2:$H$121&lt;&gt;"Y")&gt;0)*1000000)))))</f>
        <v/>
      </c>
      <c r="DB10" s="32" t="str">
        <f aca="false">IF($A10="","",SUMIFS(invoices!$E$2:$E$151,invoices!$B$2:$B$151,$A10))</f>
        <v/>
      </c>
      <c r="DC10" s="32" t="str">
        <f aca="false">IF($A10="","",IF(COUNTIFS(invoices!$B$2:$B$151,$A10,invoices!$C$2:$C$151,"standard_deposit",invoices!$H$2:$H$151,"&gt;0")=0,"",SUMIFS(invoices!$I$2:$I$151,invoices!$B$2:$B$151,$A10,invoices!$C$2:$C$151,"standard_deposit")))</f>
        <v/>
      </c>
      <c r="DD10" s="31" t="str">
        <f aca="false">IF($A10="","",IFERROR(1/(1/SUMPRODUCT(MAX((invoices!$B$2:$B$151=$A10)*(invoices!$C$2:$C$151="standard_deposit")*invoices!$H$2:$H$151))),""))</f>
        <v/>
      </c>
      <c r="DE10" s="31" t="str">
        <f aca="false">IF($A10="","",IFERROR(1/(1/SUMPRODUCT(MAX((invoices!$B$2:$B$151=$A10)*((invoices!$C$2:$C$151="founding_full")+(invoices!$C$2:$C$151="standard_balance"))*invoices!$H$2:$H$151))),""))</f>
        <v/>
      </c>
      <c r="DF10" s="32" t="str">
        <f aca="false">IF($A10="","",SUMIFS(invoices!$L$2:$L$151,invoices!$B$2:$B$151,$A10))</f>
        <v/>
      </c>
      <c r="DG10" s="32" t="str">
        <f aca="false">IF($A10="","",SUMIFS(costs!$E$2:$E$301,costs!$C$2:$C$301,$A10))</f>
        <v/>
      </c>
      <c r="DH10" s="32" t="str">
        <f aca="false">IF($A10="","",ROUND(IF(SUMIFS(campaigns!$BO$2:$BO$51,campaigns!$B$2:$B$51,$B10)=0,0,$BO10/SUMIFS(campaigns!$BO$2:$BO$51,campaigns!$B$2:$B$51,$B10))*(SUMIFS(costs!$E$2:$E$301,costs!$B$2:$B$301,$B10)-SUMPRODUCT((costs!$B$2:$B$301=$B10)*(LEN(costs!$C$2:$C$301)&gt;0)*costs!$E$2:$E$301)),2))</f>
        <v/>
      </c>
      <c r="DI10" s="33" t="str">
        <f aca="false">IF($A10="","",SUMIFS(hours!$E$2:$E$1501,hours!$C$2:$C$1501,$A10))</f>
        <v/>
      </c>
      <c r="DJ10" s="33" t="str">
        <f aca="false">IF($A10="","",ROUND(IF(SUMIFS(campaigns!$BO$2:$BO$51,campaigns!$B$2:$B$51,$B10)=0,0,$BO10/SUMIFS(campaigns!$BO$2:$BO$51,campaigns!$B$2:$B$51,$B10))*(SUMIFS(hours!$E$2:$E$1501,hours!$B$2:$B$1501,$B10)-SUMPRODUCT((hours!$B$2:$B$1501=$B10)*(LEN(hours!$C$2:$C$1501)&gt;0)*hours!$E$2:$E$1501)),2))</f>
        <v/>
      </c>
      <c r="DK10" s="32" t="str">
        <f aca="false">IF($A10="","",$DB10-$DF10-$DG10-$DH10)</f>
        <v/>
      </c>
      <c r="DL10" s="32" t="str">
        <f aca="false">IF($A10="","",IF(N($DI10)+N($DJ10)=0,"",ROUND($DK10/($DI10+$DJ10),2)))</f>
        <v/>
      </c>
      <c r="DM10" s="34" t="str">
        <f aca="false">IF($A10="","",IF(N($BP10)=0,"",COUNTIFS(approvals!$A$2:$A$251,$A10,approvals!$Q$2:$Q$251,"Y",approvals!$AK$2:$AK$251,"Y")/$BP10))</f>
        <v/>
      </c>
      <c r="DN10" s="33" t="str">
        <f aca="false">IF($A10="","",IF(COUNTIFS(approvals!$A$2:$A$251,$A10,approvals!$AC$2:$AC$251,"&gt;=0")=0,"",ROUND(SUMIFS(approvals!$AC$2:$AC$251,approvals!$A$2:$A$251,$A10)/COUNTIFS(approvals!$A$2:$A$251,$A10,approvals!$AC$2:$AC$251,"&gt;=0"),1)))</f>
        <v/>
      </c>
      <c r="DO10" s="31" t="str">
        <f aca="false">IF($A10="","",IFERROR(IF(INDEX(drops!$T$2:$T$21,MATCH($B10,drops!$A$2:$A$21,0))="","",INDEX(drops!$T$2:$T$21,MATCH($B10,drops!$A$2:$A$21,0))),""))</f>
        <v/>
      </c>
      <c r="DP10" s="31" t="str">
        <f aca="false">IF($A10="","",IFERROR(IF(INDEX(drops!$U$2:$U$21,MATCH($B10,drops!$A$2:$A$21,0))="","",INDEX(drops!$U$2:$U$21,MATCH($B10,drops!$A$2:$A$21,0))),""))</f>
        <v/>
      </c>
      <c r="DQ10" s="31" t="str">
        <f aca="false">IF($A10="","",IFERROR(IF(INDEX(drops!$W$2:$W$21,MATCH($B10,drops!$A$2:$A$21,0))="","",INDEX(drops!$W$2:$W$21,MATCH($B10,drops!$A$2:$A$21,0))),""))</f>
        <v/>
      </c>
      <c r="DR10" s="30" t="str">
        <f aca="false">IF($A10="","",IF($CE10="","",IF($CE10&gt;=config!$B$31,"pass","miss")))</f>
        <v/>
      </c>
      <c r="DS10" s="30" t="str">
        <f aca="false">IF($A10="","",IF($CI10="","",IF($CI10&gt;=config!$B$30,"pass","miss")))</f>
        <v/>
      </c>
      <c r="DT10" s="30" t="str">
        <f aca="true">IF($A10="","",IF($AT10="",IF($DO10="","",IF(IF(config!$B$37&lt;&gt;"",config!$B$37,TODAY())&gt;$DO10,"late","due")),IF($AT10&lt;=$DO10,"pass","late")))</f>
        <v/>
      </c>
      <c r="DU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","")&amp;IF($BZ10&lt;0,"reserve below zero: check inventory;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","")&amp;IF(AND($DA10="",$DQ10&lt;&gt;"",IF(config!$B$37&lt;&gt;"",config!$B$37,TODAY())&gt;$DQ10),"day-30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","")&amp;IF($DT10="late","report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f>
        <v/>
      </c>
      <c r="CL11" s="30" t="str">
        <f aca="false">IF($A11="","",SUMIFS(approvals!$AQ$2:$AQ$251,approvals!$A$2:$A$251,$A11))</f>
        <v/>
      </c>
      <c r="CM11" s="30" t="str">
        <f aca="false">IF($A11="","",SUMIFS(approvals!$AR$2:$AR$251,approvals!$A$2:$A$251,$A11))</f>
        <v/>
      </c>
      <c r="CN11" s="30" t="str">
        <f aca="false">IF($A11="","",SUMIFS(approvals!$AS$2:$AS$251,approvals!$A$2:$A$251,$A11))</f>
        <v/>
      </c>
      <c r="CO11" s="30" t="str">
        <f aca="false">IF($A11="","",SUMIFS(approvals!$AT$2:$AT$251,approvals!$A$2:$A$251,$A11))</f>
        <v/>
      </c>
      <c r="CP11" s="33" t="str">
        <f aca="false">IF($A11="","",IF(N($CO11)=0,"",ROUND(SUMIFS(approvals!$AU$2:$AU$251,approvals!$A$2:$A$251,$A11)/$CO11,1)))</f>
        <v/>
      </c>
      <c r="CQ11" s="30" t="str">
        <f aca="false">IF($A11="","",SUMIFS(approvals!$AV$2:$AV$251,approvals!$A$2:$A$251,$A11))</f>
        <v/>
      </c>
      <c r="CR11" s="30" t="str">
        <f aca="false">IF($A11="","",SUMIFS(approvals!$AW$2:$AW$251,approvals!$A$2:$A$251,$A11))</f>
        <v/>
      </c>
      <c r="CS11" s="30" t="str">
        <f aca="false">IF($A11="","",SUMIFS(approvals!$AX$2:$AX$251,approvals!$A$2:$A$251,$A11))</f>
        <v/>
      </c>
      <c r="CT11" s="30" t="str">
        <f aca="false">IF($A11="","",SUMIFS(approvals!$AY$2:$AY$251,approvals!$A$2:$A$251,$A11))</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f>
        <v/>
      </c>
      <c r="CW11" s="30" t="str">
        <f aca="false">IF($A11="","",SUMIFS(approvals!$AN$2:$AN$251,approvals!$A$2:$A$251,$A11))</f>
        <v/>
      </c>
      <c r="CX11" s="30" t="str">
        <f aca="false">IF($A11="","",SUMIFS(approvals!$AO$2:$AO$251,approvals!$A$2:$A$251,$A11))</f>
        <v/>
      </c>
      <c r="CY11" s="30" t="str">
        <f aca="false">IF($A11="","",IF($CZ11="","",SUMIFS(redemptions!$C$2:$C$121,redemptions!$A$2:$A$121,$A11,redemptions!$B$2:$B$121,$CZ11)))</f>
        <v/>
      </c>
      <c r="CZ11" s="31" t="str">
        <f aca="false">IF($A11="","",IFERROR(1/(1/SUMPRODUCT(MAX((redemptions!$A$2:$A$121=$A11)*redemptions!$B$2:$B$121))),""))</f>
        <v/>
      </c>
      <c r="DA11" s="30" t="str">
        <f aca="false">IF($A11="","",IF(COUNTIFS(redemptions!$A$2:$A$121,$A11,redemptions!$H$2:$H$121,"Y")=0,"",SUMIFS(redemptions!$C$2:$C$121,redemptions!$A$2:$A$121,$A11,redemptions!$B$2:$B$121,SUMPRODUCT(MIN((redemptions!$A$2:$A$121=$A11)*(redemptions!$H$2:$H$121="Y")*redemptions!$B$2:$B$121+((redemptions!$A$2:$A$121&lt;&gt;$A11)+(redemptions!$H$2:$H$121&lt;&gt;"Y")&gt;0)*1000000)))))</f>
        <v/>
      </c>
      <c r="DB11" s="32" t="str">
        <f aca="false">IF($A11="","",SUMIFS(invoices!$E$2:$E$151,invoices!$B$2:$B$151,$A11))</f>
        <v/>
      </c>
      <c r="DC11" s="32" t="str">
        <f aca="false">IF($A11="","",IF(COUNTIFS(invoices!$B$2:$B$151,$A11,invoices!$C$2:$C$151,"standard_deposit",invoices!$H$2:$H$151,"&gt;0")=0,"",SUMIFS(invoices!$I$2:$I$151,invoices!$B$2:$B$151,$A11,invoices!$C$2:$C$151,"standard_deposit")))</f>
        <v/>
      </c>
      <c r="DD11" s="31" t="str">
        <f aca="false">IF($A11="","",IFERROR(1/(1/SUMPRODUCT(MAX((invoices!$B$2:$B$151=$A11)*(invoices!$C$2:$C$151="standard_deposit")*invoices!$H$2:$H$151))),""))</f>
        <v/>
      </c>
      <c r="DE11" s="31" t="str">
        <f aca="false">IF($A11="","",IFERROR(1/(1/SUMPRODUCT(MAX((invoices!$B$2:$B$151=$A11)*((invoices!$C$2:$C$151="founding_full")+(invoices!$C$2:$C$151="standard_balance"))*invoices!$H$2:$H$151))),""))</f>
        <v/>
      </c>
      <c r="DF11" s="32" t="str">
        <f aca="false">IF($A11="","",SUMIFS(invoices!$L$2:$L$151,invoices!$B$2:$B$151,$A11))</f>
        <v/>
      </c>
      <c r="DG11" s="32" t="str">
        <f aca="false">IF($A11="","",SUMIFS(costs!$E$2:$E$301,costs!$C$2:$C$301,$A11))</f>
        <v/>
      </c>
      <c r="DH11" s="32" t="str">
        <f aca="false">IF($A11="","",ROUND(IF(SUMIFS(campaigns!$BO$2:$BO$51,campaigns!$B$2:$B$51,$B11)=0,0,$BO11/SUMIFS(campaigns!$BO$2:$BO$51,campaigns!$B$2:$B$51,$B11))*(SUMIFS(costs!$E$2:$E$301,costs!$B$2:$B$301,$B11)-SUMPRODUCT((costs!$B$2:$B$301=$B11)*(LEN(costs!$C$2:$C$301)&gt;0)*costs!$E$2:$E$301)),2))</f>
        <v/>
      </c>
      <c r="DI11" s="33" t="str">
        <f aca="false">IF($A11="","",SUMIFS(hours!$E$2:$E$1501,hours!$C$2:$C$1501,$A11))</f>
        <v/>
      </c>
      <c r="DJ11" s="33" t="str">
        <f aca="false">IF($A11="","",ROUND(IF(SUMIFS(campaigns!$BO$2:$BO$51,campaigns!$B$2:$B$51,$B11)=0,0,$BO11/SUMIFS(campaigns!$BO$2:$BO$51,campaigns!$B$2:$B$51,$B11))*(SUMIFS(hours!$E$2:$E$1501,hours!$B$2:$B$1501,$B11)-SUMPRODUCT((hours!$B$2:$B$1501=$B11)*(LEN(hours!$C$2:$C$1501)&gt;0)*hours!$E$2:$E$1501)),2))</f>
        <v/>
      </c>
      <c r="DK11" s="32" t="str">
        <f aca="false">IF($A11="","",$DB11-$DF11-$DG11-$DH11)</f>
        <v/>
      </c>
      <c r="DL11" s="32" t="str">
        <f aca="false">IF($A11="","",IF(N($DI11)+N($DJ11)=0,"",ROUND($DK11/($DI11+$DJ11),2)))</f>
        <v/>
      </c>
      <c r="DM11" s="34" t="str">
        <f aca="false">IF($A11="","",IF(N($BP11)=0,"",COUNTIFS(approvals!$A$2:$A$251,$A11,approvals!$Q$2:$Q$251,"Y",approvals!$AK$2:$AK$251,"Y")/$BP11))</f>
        <v/>
      </c>
      <c r="DN11" s="33" t="str">
        <f aca="false">IF($A11="","",IF(COUNTIFS(approvals!$A$2:$A$251,$A11,approvals!$AC$2:$AC$251,"&gt;=0")=0,"",ROUND(SUMIFS(approvals!$AC$2:$AC$251,approvals!$A$2:$A$251,$A11)/COUNTIFS(approvals!$A$2:$A$251,$A11,approvals!$AC$2:$AC$251,"&gt;=0"),1)))</f>
        <v/>
      </c>
      <c r="DO11" s="31" t="str">
        <f aca="false">IF($A11="","",IFERROR(IF(INDEX(drops!$T$2:$T$21,MATCH($B11,drops!$A$2:$A$21,0))="","",INDEX(drops!$T$2:$T$21,MATCH($B11,drops!$A$2:$A$21,0))),""))</f>
        <v/>
      </c>
      <c r="DP11" s="31" t="str">
        <f aca="false">IF($A11="","",IFERROR(IF(INDEX(drops!$U$2:$U$21,MATCH($B11,drops!$A$2:$A$21,0))="","",INDEX(drops!$U$2:$U$21,MATCH($B11,drops!$A$2:$A$21,0))),""))</f>
        <v/>
      </c>
      <c r="DQ11" s="31" t="str">
        <f aca="false">IF($A11="","",IFERROR(IF(INDEX(drops!$W$2:$W$21,MATCH($B11,drops!$A$2:$A$21,0))="","",INDEX(drops!$W$2:$W$21,MATCH($B11,drops!$A$2:$A$21,0))),""))</f>
        <v/>
      </c>
      <c r="DR11" s="30" t="str">
        <f aca="false">IF($A11="","",IF($CE11="","",IF($CE11&gt;=config!$B$31,"pass","miss")))</f>
        <v/>
      </c>
      <c r="DS11" s="30" t="str">
        <f aca="false">IF($A11="","",IF($CI11="","",IF($CI11&gt;=config!$B$30,"pass","miss")))</f>
        <v/>
      </c>
      <c r="DT11" s="30" t="str">
        <f aca="true">IF($A11="","",IF($AT11="",IF($DO11="","",IF(IF(config!$B$37&lt;&gt;"",config!$B$37,TODAY())&gt;$DO11,"late","due")),IF($AT11&lt;=$DO11,"pass","late")))</f>
        <v/>
      </c>
      <c r="DU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","")&amp;IF($BZ11&lt;0,"reserve below zero: check inventory;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","")&amp;IF(AND($DA11="",$DQ11&lt;&gt;"",IF(config!$B$37&lt;&gt;"",config!$B$37,TODAY())&gt;$DQ11),"day-30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","")&amp;IF($DT11="late","report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f>
        <v/>
      </c>
      <c r="CL12" s="30" t="str">
        <f aca="false">IF($A12="","",SUMIFS(approvals!$AQ$2:$AQ$251,approvals!$A$2:$A$251,$A12))</f>
        <v/>
      </c>
      <c r="CM12" s="30" t="str">
        <f aca="false">IF($A12="","",SUMIFS(approvals!$AR$2:$AR$251,approvals!$A$2:$A$251,$A12))</f>
        <v/>
      </c>
      <c r="CN12" s="30" t="str">
        <f aca="false">IF($A12="","",SUMIFS(approvals!$AS$2:$AS$251,approvals!$A$2:$A$251,$A12))</f>
        <v/>
      </c>
      <c r="CO12" s="30" t="str">
        <f aca="false">IF($A12="","",SUMIFS(approvals!$AT$2:$AT$251,approvals!$A$2:$A$251,$A12))</f>
        <v/>
      </c>
      <c r="CP12" s="33" t="str">
        <f aca="false">IF($A12="","",IF(N($CO12)=0,"",ROUND(SUMIFS(approvals!$AU$2:$AU$251,approvals!$A$2:$A$251,$A12)/$CO12,1)))</f>
        <v/>
      </c>
      <c r="CQ12" s="30" t="str">
        <f aca="false">IF($A12="","",SUMIFS(approvals!$AV$2:$AV$251,approvals!$A$2:$A$251,$A12))</f>
        <v/>
      </c>
      <c r="CR12" s="30" t="str">
        <f aca="false">IF($A12="","",SUMIFS(approvals!$AW$2:$AW$251,approvals!$A$2:$A$251,$A12))</f>
        <v/>
      </c>
      <c r="CS12" s="30" t="str">
        <f aca="false">IF($A12="","",SUMIFS(approvals!$AX$2:$AX$251,approvals!$A$2:$A$251,$A12))</f>
        <v/>
      </c>
      <c r="CT12" s="30" t="str">
        <f aca="false">IF($A12="","",SUMIFS(approvals!$AY$2:$AY$251,approvals!$A$2:$A$251,$A12))</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f>
        <v/>
      </c>
      <c r="CW12" s="30" t="str">
        <f aca="false">IF($A12="","",SUMIFS(approvals!$AN$2:$AN$251,approvals!$A$2:$A$251,$A12))</f>
        <v/>
      </c>
      <c r="CX12" s="30" t="str">
        <f aca="false">IF($A12="","",SUMIFS(approvals!$AO$2:$AO$251,approvals!$A$2:$A$251,$A12))</f>
        <v/>
      </c>
      <c r="CY12" s="30" t="str">
        <f aca="false">IF($A12="","",IF($CZ12="","",SUMIFS(redemptions!$C$2:$C$121,redemptions!$A$2:$A$121,$A12,redemptions!$B$2:$B$121,$CZ12)))</f>
        <v/>
      </c>
      <c r="CZ12" s="31" t="str">
        <f aca="false">IF($A12="","",IFERROR(1/(1/SUMPRODUCT(MAX((redemptions!$A$2:$A$121=$A12)*redemptions!$B$2:$B$121))),""))</f>
        <v/>
      </c>
      <c r="DA12" s="30" t="str">
        <f aca="false">IF($A12="","",IF(COUNTIFS(redemptions!$A$2:$A$121,$A12,redemptions!$H$2:$H$121,"Y")=0,"",SUMIFS(redemptions!$C$2:$C$121,redemptions!$A$2:$A$121,$A12,redemptions!$B$2:$B$121,SUMPRODUCT(MIN((redemptions!$A$2:$A$121=$A12)*(redemptions!$H$2:$H$121="Y")*redemptions!$B$2:$B$121+((redemptions!$A$2:$A$121&lt;&gt;$A12)+(redemptions!$H$2:$H$121&lt;&gt;"Y")&gt;0)*1000000)))))</f>
        <v/>
      </c>
      <c r="DB12" s="32" t="str">
        <f aca="false">IF($A12="","",SUMIFS(invoices!$E$2:$E$151,invoices!$B$2:$B$151,$A12))</f>
        <v/>
      </c>
      <c r="DC12" s="32" t="str">
        <f aca="false">IF($A12="","",IF(COUNTIFS(invoices!$B$2:$B$151,$A12,invoices!$C$2:$C$151,"standard_deposit",invoices!$H$2:$H$151,"&gt;0")=0,"",SUMIFS(invoices!$I$2:$I$151,invoices!$B$2:$B$151,$A12,invoices!$C$2:$C$151,"standard_deposit")))</f>
        <v/>
      </c>
      <c r="DD12" s="31" t="str">
        <f aca="false">IF($A12="","",IFERROR(1/(1/SUMPRODUCT(MAX((invoices!$B$2:$B$151=$A12)*(invoices!$C$2:$C$151="standard_deposit")*invoices!$H$2:$H$151))),""))</f>
        <v/>
      </c>
      <c r="DE12" s="31" t="str">
        <f aca="false">IF($A12="","",IFERROR(1/(1/SUMPRODUCT(MAX((invoices!$B$2:$B$151=$A12)*((invoices!$C$2:$C$151="founding_full")+(invoices!$C$2:$C$151="standard_balance"))*invoices!$H$2:$H$151))),""))</f>
        <v/>
      </c>
      <c r="DF12" s="32" t="str">
        <f aca="false">IF($A12="","",SUMIFS(invoices!$L$2:$L$151,invoices!$B$2:$B$151,$A12))</f>
        <v/>
      </c>
      <c r="DG12" s="32" t="str">
        <f aca="false">IF($A12="","",SUMIFS(costs!$E$2:$E$301,costs!$C$2:$C$301,$A12))</f>
        <v/>
      </c>
      <c r="DH12" s="32" t="str">
        <f aca="false">IF($A12="","",ROUND(IF(SUMIFS(campaigns!$BO$2:$BO$51,campaigns!$B$2:$B$51,$B12)=0,0,$BO12/SUMIFS(campaigns!$BO$2:$BO$51,campaigns!$B$2:$B$51,$B12))*(SUMIFS(costs!$E$2:$E$301,costs!$B$2:$B$301,$B12)-SUMPRODUCT((costs!$B$2:$B$301=$B12)*(LEN(costs!$C$2:$C$301)&gt;0)*costs!$E$2:$E$301)),2))</f>
        <v/>
      </c>
      <c r="DI12" s="33" t="str">
        <f aca="false">IF($A12="","",SUMIFS(hours!$E$2:$E$1501,hours!$C$2:$C$1501,$A12))</f>
        <v/>
      </c>
      <c r="DJ12" s="33" t="str">
        <f aca="false">IF($A12="","",ROUND(IF(SUMIFS(campaigns!$BO$2:$BO$51,campaigns!$B$2:$B$51,$B12)=0,0,$BO12/SUMIFS(campaigns!$BO$2:$BO$51,campaigns!$B$2:$B$51,$B12))*(SUMIFS(hours!$E$2:$E$1501,hours!$B$2:$B$1501,$B12)-SUMPRODUCT((hours!$B$2:$B$1501=$B12)*(LEN(hours!$C$2:$C$1501)&gt;0)*hours!$E$2:$E$1501)),2))</f>
        <v/>
      </c>
      <c r="DK12" s="32" t="str">
        <f aca="false">IF($A12="","",$DB12-$DF12-$DG12-$DH12)</f>
        <v/>
      </c>
      <c r="DL12" s="32" t="str">
        <f aca="false">IF($A12="","",IF(N($DI12)+N($DJ12)=0,"",ROUND($DK12/($DI12+$DJ12),2)))</f>
        <v/>
      </c>
      <c r="DM12" s="34" t="str">
        <f aca="false">IF($A12="","",IF(N($BP12)=0,"",COUNTIFS(approvals!$A$2:$A$251,$A12,approvals!$Q$2:$Q$251,"Y",approvals!$AK$2:$AK$251,"Y")/$BP12))</f>
        <v/>
      </c>
      <c r="DN12" s="33" t="str">
        <f aca="false">IF($A12="","",IF(COUNTIFS(approvals!$A$2:$A$251,$A12,approvals!$AC$2:$AC$251,"&gt;=0")=0,"",ROUND(SUMIFS(approvals!$AC$2:$AC$251,approvals!$A$2:$A$251,$A12)/COUNTIFS(approvals!$A$2:$A$251,$A12,approvals!$AC$2:$AC$251,"&gt;=0"),1)))</f>
        <v/>
      </c>
      <c r="DO12" s="31" t="str">
        <f aca="false">IF($A12="","",IFERROR(IF(INDEX(drops!$T$2:$T$21,MATCH($B12,drops!$A$2:$A$21,0))="","",INDEX(drops!$T$2:$T$21,MATCH($B12,drops!$A$2:$A$21,0))),""))</f>
        <v/>
      </c>
      <c r="DP12" s="31" t="str">
        <f aca="false">IF($A12="","",IFERROR(IF(INDEX(drops!$U$2:$U$21,MATCH($B12,drops!$A$2:$A$21,0))="","",INDEX(drops!$U$2:$U$21,MATCH($B12,drops!$A$2:$A$21,0))),""))</f>
        <v/>
      </c>
      <c r="DQ12" s="31" t="str">
        <f aca="false">IF($A12="","",IFERROR(IF(INDEX(drops!$W$2:$W$21,MATCH($B12,drops!$A$2:$A$21,0))="","",INDEX(drops!$W$2:$W$21,MATCH($B12,drops!$A$2:$A$21,0))),""))</f>
        <v/>
      </c>
      <c r="DR12" s="30" t="str">
        <f aca="false">IF($A12="","",IF($CE12="","",IF($CE12&gt;=config!$B$31,"pass","miss")))</f>
        <v/>
      </c>
      <c r="DS12" s="30" t="str">
        <f aca="false">IF($A12="","",IF($CI12="","",IF($CI12&gt;=config!$B$30,"pass","miss")))</f>
        <v/>
      </c>
      <c r="DT12" s="30" t="str">
        <f aca="true">IF($A12="","",IF($AT12="",IF($DO12="","",IF(IF(config!$B$37&lt;&gt;"",config!$B$37,TODAY())&gt;$DO12,"late","due")),IF($AT12&lt;=$DO12,"pass","late")))</f>
        <v/>
      </c>
      <c r="DU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","")&amp;IF($BZ12&lt;0,"reserve below zero: check inventory;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","")&amp;IF(AND($DA12="",$DQ12&lt;&gt;"",IF(config!$B$37&lt;&gt;"",config!$B$37,TODAY())&gt;$DQ12),"day-30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","")&amp;IF($DT12="late","report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f>
        <v/>
      </c>
      <c r="CL13" s="30" t="str">
        <f aca="false">IF($A13="","",SUMIFS(approvals!$AQ$2:$AQ$251,approvals!$A$2:$A$251,$A13))</f>
        <v/>
      </c>
      <c r="CM13" s="30" t="str">
        <f aca="false">IF($A13="","",SUMIFS(approvals!$AR$2:$AR$251,approvals!$A$2:$A$251,$A13))</f>
        <v/>
      </c>
      <c r="CN13" s="30" t="str">
        <f aca="false">IF($A13="","",SUMIFS(approvals!$AS$2:$AS$251,approvals!$A$2:$A$251,$A13))</f>
        <v/>
      </c>
      <c r="CO13" s="30" t="str">
        <f aca="false">IF($A13="","",SUMIFS(approvals!$AT$2:$AT$251,approvals!$A$2:$A$251,$A13))</f>
        <v/>
      </c>
      <c r="CP13" s="33" t="str">
        <f aca="false">IF($A13="","",IF(N($CO13)=0,"",ROUND(SUMIFS(approvals!$AU$2:$AU$251,approvals!$A$2:$A$251,$A13)/$CO13,1)))</f>
        <v/>
      </c>
      <c r="CQ13" s="30" t="str">
        <f aca="false">IF($A13="","",SUMIFS(approvals!$AV$2:$AV$251,approvals!$A$2:$A$251,$A13))</f>
        <v/>
      </c>
      <c r="CR13" s="30" t="str">
        <f aca="false">IF($A13="","",SUMIFS(approvals!$AW$2:$AW$251,approvals!$A$2:$A$251,$A13))</f>
        <v/>
      </c>
      <c r="CS13" s="30" t="str">
        <f aca="false">IF($A13="","",SUMIFS(approvals!$AX$2:$AX$251,approvals!$A$2:$A$251,$A13))</f>
        <v/>
      </c>
      <c r="CT13" s="30" t="str">
        <f aca="false">IF($A13="","",SUMIFS(approvals!$AY$2:$AY$251,approvals!$A$2:$A$251,$A13))</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f>
        <v/>
      </c>
      <c r="CW13" s="30" t="str">
        <f aca="false">IF($A13="","",SUMIFS(approvals!$AN$2:$AN$251,approvals!$A$2:$A$251,$A13))</f>
        <v/>
      </c>
      <c r="CX13" s="30" t="str">
        <f aca="false">IF($A13="","",SUMIFS(approvals!$AO$2:$AO$251,approvals!$A$2:$A$251,$A13))</f>
        <v/>
      </c>
      <c r="CY13" s="30" t="str">
        <f aca="false">IF($A13="","",IF($CZ13="","",SUMIFS(redemptions!$C$2:$C$121,redemptions!$A$2:$A$121,$A13,redemptions!$B$2:$B$121,$CZ13)))</f>
        <v/>
      </c>
      <c r="CZ13" s="31" t="str">
        <f aca="false">IF($A13="","",IFERROR(1/(1/SUMPRODUCT(MAX((redemptions!$A$2:$A$121=$A13)*redemptions!$B$2:$B$121))),""))</f>
        <v/>
      </c>
      <c r="DA13" s="30" t="str">
        <f aca="false">IF($A13="","",IF(COUNTIFS(redemptions!$A$2:$A$121,$A13,redemptions!$H$2:$H$121,"Y")=0,"",SUMIFS(redemptions!$C$2:$C$121,redemptions!$A$2:$A$121,$A13,redemptions!$B$2:$B$121,SUMPRODUCT(MIN((redemptions!$A$2:$A$121=$A13)*(redemptions!$H$2:$H$121="Y")*redemptions!$B$2:$B$121+((redemptions!$A$2:$A$121&lt;&gt;$A13)+(redemptions!$H$2:$H$121&lt;&gt;"Y")&gt;0)*1000000)))))</f>
        <v/>
      </c>
      <c r="DB13" s="32" t="str">
        <f aca="false">IF($A13="","",SUMIFS(invoices!$E$2:$E$151,invoices!$B$2:$B$151,$A13))</f>
        <v/>
      </c>
      <c r="DC13" s="32" t="str">
        <f aca="false">IF($A13="","",IF(COUNTIFS(invoices!$B$2:$B$151,$A13,invoices!$C$2:$C$151,"standard_deposit",invoices!$H$2:$H$151,"&gt;0")=0,"",SUMIFS(invoices!$I$2:$I$151,invoices!$B$2:$B$151,$A13,invoices!$C$2:$C$151,"standard_deposit")))</f>
        <v/>
      </c>
      <c r="DD13" s="31" t="str">
        <f aca="false">IF($A13="","",IFERROR(1/(1/SUMPRODUCT(MAX((invoices!$B$2:$B$151=$A13)*(invoices!$C$2:$C$151="standard_deposit")*invoices!$H$2:$H$151))),""))</f>
        <v/>
      </c>
      <c r="DE13" s="31" t="str">
        <f aca="false">IF($A13="","",IFERROR(1/(1/SUMPRODUCT(MAX((invoices!$B$2:$B$151=$A13)*((invoices!$C$2:$C$151="founding_full")+(invoices!$C$2:$C$151="standard_balance"))*invoices!$H$2:$H$151))),""))</f>
        <v/>
      </c>
      <c r="DF13" s="32" t="str">
        <f aca="false">IF($A13="","",SUMIFS(invoices!$L$2:$L$151,invoices!$B$2:$B$151,$A13))</f>
        <v/>
      </c>
      <c r="DG13" s="32" t="str">
        <f aca="false">IF($A13="","",SUMIFS(costs!$E$2:$E$301,costs!$C$2:$C$301,$A13))</f>
        <v/>
      </c>
      <c r="DH13" s="32" t="str">
        <f aca="false">IF($A13="","",ROUND(IF(SUMIFS(campaigns!$BO$2:$BO$51,campaigns!$B$2:$B$51,$B13)=0,0,$BO13/SUMIFS(campaigns!$BO$2:$BO$51,campaigns!$B$2:$B$51,$B13))*(SUMIFS(costs!$E$2:$E$301,costs!$B$2:$B$301,$B13)-SUMPRODUCT((costs!$B$2:$B$301=$B13)*(LEN(costs!$C$2:$C$301)&gt;0)*costs!$E$2:$E$301)),2))</f>
        <v/>
      </c>
      <c r="DI13" s="33" t="str">
        <f aca="false">IF($A13="","",SUMIFS(hours!$E$2:$E$1501,hours!$C$2:$C$1501,$A13))</f>
        <v/>
      </c>
      <c r="DJ13" s="33" t="str">
        <f aca="false">IF($A13="","",ROUND(IF(SUMIFS(campaigns!$BO$2:$BO$51,campaigns!$B$2:$B$51,$B13)=0,0,$BO13/SUMIFS(campaigns!$BO$2:$BO$51,campaigns!$B$2:$B$51,$B13))*(SUMIFS(hours!$E$2:$E$1501,hours!$B$2:$B$1501,$B13)-SUMPRODUCT((hours!$B$2:$B$1501=$B13)*(LEN(hours!$C$2:$C$1501)&gt;0)*hours!$E$2:$E$1501)),2))</f>
        <v/>
      </c>
      <c r="DK13" s="32" t="str">
        <f aca="false">IF($A13="","",$DB13-$DF13-$DG13-$DH13)</f>
        <v/>
      </c>
      <c r="DL13" s="32" t="str">
        <f aca="false">IF($A13="","",IF(N($DI13)+N($DJ13)=0,"",ROUND($DK13/($DI13+$DJ13),2)))</f>
        <v/>
      </c>
      <c r="DM13" s="34" t="str">
        <f aca="false">IF($A13="","",IF(N($BP13)=0,"",COUNTIFS(approvals!$A$2:$A$251,$A13,approvals!$Q$2:$Q$251,"Y",approvals!$AK$2:$AK$251,"Y")/$BP13))</f>
        <v/>
      </c>
      <c r="DN13" s="33" t="str">
        <f aca="false">IF($A13="","",IF(COUNTIFS(approvals!$A$2:$A$251,$A13,approvals!$AC$2:$AC$251,"&gt;=0")=0,"",ROUND(SUMIFS(approvals!$AC$2:$AC$251,approvals!$A$2:$A$251,$A13)/COUNTIFS(approvals!$A$2:$A$251,$A13,approvals!$AC$2:$AC$251,"&gt;=0"),1)))</f>
        <v/>
      </c>
      <c r="DO13" s="31" t="str">
        <f aca="false">IF($A13="","",IFERROR(IF(INDEX(drops!$T$2:$T$21,MATCH($B13,drops!$A$2:$A$21,0))="","",INDEX(drops!$T$2:$T$21,MATCH($B13,drops!$A$2:$A$21,0))),""))</f>
        <v/>
      </c>
      <c r="DP13" s="31" t="str">
        <f aca="false">IF($A13="","",IFERROR(IF(INDEX(drops!$U$2:$U$21,MATCH($B13,drops!$A$2:$A$21,0))="","",INDEX(drops!$U$2:$U$21,MATCH($B13,drops!$A$2:$A$21,0))),""))</f>
        <v/>
      </c>
      <c r="DQ13" s="31" t="str">
        <f aca="false">IF($A13="","",IFERROR(IF(INDEX(drops!$W$2:$W$21,MATCH($B13,drops!$A$2:$A$21,0))="","",INDEX(drops!$W$2:$W$21,MATCH($B13,drops!$A$2:$A$21,0))),""))</f>
        <v/>
      </c>
      <c r="DR13" s="30" t="str">
        <f aca="false">IF($A13="","",IF($CE13="","",IF($CE13&gt;=config!$B$31,"pass","miss")))</f>
        <v/>
      </c>
      <c r="DS13" s="30" t="str">
        <f aca="false">IF($A13="","",IF($CI13="","",IF($CI13&gt;=config!$B$30,"pass","miss")))</f>
        <v/>
      </c>
      <c r="DT13" s="30" t="str">
        <f aca="true">IF($A13="","",IF($AT13="",IF($DO13="","",IF(IF(config!$B$37&lt;&gt;"",config!$B$37,TODAY())&gt;$DO13,"late","due")),IF($AT13&lt;=$DO13,"pass","late")))</f>
        <v/>
      </c>
      <c r="DU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","")&amp;IF($BZ13&lt;0,"reserve below zero: check inventory;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","")&amp;IF(AND($DA13="",$DQ13&lt;&gt;"",IF(config!$B$37&lt;&gt;"",config!$B$37,TODAY())&gt;$DQ13),"day-30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","")&amp;IF($DT13="late","report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f>
        <v/>
      </c>
      <c r="CL14" s="30" t="str">
        <f aca="false">IF($A14="","",SUMIFS(approvals!$AQ$2:$AQ$251,approvals!$A$2:$A$251,$A14))</f>
        <v/>
      </c>
      <c r="CM14" s="30" t="str">
        <f aca="false">IF($A14="","",SUMIFS(approvals!$AR$2:$AR$251,approvals!$A$2:$A$251,$A14))</f>
        <v/>
      </c>
      <c r="CN14" s="30" t="str">
        <f aca="false">IF($A14="","",SUMIFS(approvals!$AS$2:$AS$251,approvals!$A$2:$A$251,$A14))</f>
        <v/>
      </c>
      <c r="CO14" s="30" t="str">
        <f aca="false">IF($A14="","",SUMIFS(approvals!$AT$2:$AT$251,approvals!$A$2:$A$251,$A14))</f>
        <v/>
      </c>
      <c r="CP14" s="33" t="str">
        <f aca="false">IF($A14="","",IF(N($CO14)=0,"",ROUND(SUMIFS(approvals!$AU$2:$AU$251,approvals!$A$2:$A$251,$A14)/$CO14,1)))</f>
        <v/>
      </c>
      <c r="CQ14" s="30" t="str">
        <f aca="false">IF($A14="","",SUMIFS(approvals!$AV$2:$AV$251,approvals!$A$2:$A$251,$A14))</f>
        <v/>
      </c>
      <c r="CR14" s="30" t="str">
        <f aca="false">IF($A14="","",SUMIFS(approvals!$AW$2:$AW$251,approvals!$A$2:$A$251,$A14))</f>
        <v/>
      </c>
      <c r="CS14" s="30" t="str">
        <f aca="false">IF($A14="","",SUMIFS(approvals!$AX$2:$AX$251,approvals!$A$2:$A$251,$A14))</f>
        <v/>
      </c>
      <c r="CT14" s="30" t="str">
        <f aca="false">IF($A14="","",SUMIFS(approvals!$AY$2:$AY$251,approvals!$A$2:$A$251,$A14))</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f>
        <v/>
      </c>
      <c r="CW14" s="30" t="str">
        <f aca="false">IF($A14="","",SUMIFS(approvals!$AN$2:$AN$251,approvals!$A$2:$A$251,$A14))</f>
        <v/>
      </c>
      <c r="CX14" s="30" t="str">
        <f aca="false">IF($A14="","",SUMIFS(approvals!$AO$2:$AO$251,approvals!$A$2:$A$251,$A14))</f>
        <v/>
      </c>
      <c r="CY14" s="30" t="str">
        <f aca="false">IF($A14="","",IF($CZ14="","",SUMIFS(redemptions!$C$2:$C$121,redemptions!$A$2:$A$121,$A14,redemptions!$B$2:$B$121,$CZ14)))</f>
        <v/>
      </c>
      <c r="CZ14" s="31" t="str">
        <f aca="false">IF($A14="","",IFERROR(1/(1/SUMPRODUCT(MAX((redemptions!$A$2:$A$121=$A14)*redemptions!$B$2:$B$121))),""))</f>
        <v/>
      </c>
      <c r="DA14" s="30" t="str">
        <f aca="false">IF($A14="","",IF(COUNTIFS(redemptions!$A$2:$A$121,$A14,redemptions!$H$2:$H$121,"Y")=0,"",SUMIFS(redemptions!$C$2:$C$121,redemptions!$A$2:$A$121,$A14,redemptions!$B$2:$B$121,SUMPRODUCT(MIN((redemptions!$A$2:$A$121=$A14)*(redemptions!$H$2:$H$121="Y")*redemptions!$B$2:$B$121+((redemptions!$A$2:$A$121&lt;&gt;$A14)+(redemptions!$H$2:$H$121&lt;&gt;"Y")&gt;0)*1000000)))))</f>
        <v/>
      </c>
      <c r="DB14" s="32" t="str">
        <f aca="false">IF($A14="","",SUMIFS(invoices!$E$2:$E$151,invoices!$B$2:$B$151,$A14))</f>
        <v/>
      </c>
      <c r="DC14" s="32" t="str">
        <f aca="false">IF($A14="","",IF(COUNTIFS(invoices!$B$2:$B$151,$A14,invoices!$C$2:$C$151,"standard_deposit",invoices!$H$2:$H$151,"&gt;0")=0,"",SUMIFS(invoices!$I$2:$I$151,invoices!$B$2:$B$151,$A14,invoices!$C$2:$C$151,"standard_deposit")))</f>
        <v/>
      </c>
      <c r="DD14" s="31" t="str">
        <f aca="false">IF($A14="","",IFERROR(1/(1/SUMPRODUCT(MAX((invoices!$B$2:$B$151=$A14)*(invoices!$C$2:$C$151="standard_deposit")*invoices!$H$2:$H$151))),""))</f>
        <v/>
      </c>
      <c r="DE14" s="31" t="str">
        <f aca="false">IF($A14="","",IFERROR(1/(1/SUMPRODUCT(MAX((invoices!$B$2:$B$151=$A14)*((invoices!$C$2:$C$151="founding_full")+(invoices!$C$2:$C$151="standard_balance"))*invoices!$H$2:$H$151))),""))</f>
        <v/>
      </c>
      <c r="DF14" s="32" t="str">
        <f aca="false">IF($A14="","",SUMIFS(invoices!$L$2:$L$151,invoices!$B$2:$B$151,$A14))</f>
        <v/>
      </c>
      <c r="DG14" s="32" t="str">
        <f aca="false">IF($A14="","",SUMIFS(costs!$E$2:$E$301,costs!$C$2:$C$301,$A14))</f>
        <v/>
      </c>
      <c r="DH14" s="32" t="str">
        <f aca="false">IF($A14="","",ROUND(IF(SUMIFS(campaigns!$BO$2:$BO$51,campaigns!$B$2:$B$51,$B14)=0,0,$BO14/SUMIFS(campaigns!$BO$2:$BO$51,campaigns!$B$2:$B$51,$B14))*(SUMIFS(costs!$E$2:$E$301,costs!$B$2:$B$301,$B14)-SUMPRODUCT((costs!$B$2:$B$301=$B14)*(LEN(costs!$C$2:$C$301)&gt;0)*costs!$E$2:$E$301)),2))</f>
        <v/>
      </c>
      <c r="DI14" s="33" t="str">
        <f aca="false">IF($A14="","",SUMIFS(hours!$E$2:$E$1501,hours!$C$2:$C$1501,$A14))</f>
        <v/>
      </c>
      <c r="DJ14" s="33" t="str">
        <f aca="false">IF($A14="","",ROUND(IF(SUMIFS(campaigns!$BO$2:$BO$51,campaigns!$B$2:$B$51,$B14)=0,0,$BO14/SUMIFS(campaigns!$BO$2:$BO$51,campaigns!$B$2:$B$51,$B14))*(SUMIFS(hours!$E$2:$E$1501,hours!$B$2:$B$1501,$B14)-SUMPRODUCT((hours!$B$2:$B$1501=$B14)*(LEN(hours!$C$2:$C$1501)&gt;0)*hours!$E$2:$E$1501)),2))</f>
        <v/>
      </c>
      <c r="DK14" s="32" t="str">
        <f aca="false">IF($A14="","",$DB14-$DF14-$DG14-$DH14)</f>
        <v/>
      </c>
      <c r="DL14" s="32" t="str">
        <f aca="false">IF($A14="","",IF(N($DI14)+N($DJ14)=0,"",ROUND($DK14/($DI14+$DJ14),2)))</f>
        <v/>
      </c>
      <c r="DM14" s="34" t="str">
        <f aca="false">IF($A14="","",IF(N($BP14)=0,"",COUNTIFS(approvals!$A$2:$A$251,$A14,approvals!$Q$2:$Q$251,"Y",approvals!$AK$2:$AK$251,"Y")/$BP14))</f>
        <v/>
      </c>
      <c r="DN14" s="33" t="str">
        <f aca="false">IF($A14="","",IF(COUNTIFS(approvals!$A$2:$A$251,$A14,approvals!$AC$2:$AC$251,"&gt;=0")=0,"",ROUND(SUMIFS(approvals!$AC$2:$AC$251,approvals!$A$2:$A$251,$A14)/COUNTIFS(approvals!$A$2:$A$251,$A14,approvals!$AC$2:$AC$251,"&gt;=0"),1)))</f>
        <v/>
      </c>
      <c r="DO14" s="31" t="str">
        <f aca="false">IF($A14="","",IFERROR(IF(INDEX(drops!$T$2:$T$21,MATCH($B14,drops!$A$2:$A$21,0))="","",INDEX(drops!$T$2:$T$21,MATCH($B14,drops!$A$2:$A$21,0))),""))</f>
        <v/>
      </c>
      <c r="DP14" s="31" t="str">
        <f aca="false">IF($A14="","",IFERROR(IF(INDEX(drops!$U$2:$U$21,MATCH($B14,drops!$A$2:$A$21,0))="","",INDEX(drops!$U$2:$U$21,MATCH($B14,drops!$A$2:$A$21,0))),""))</f>
        <v/>
      </c>
      <c r="DQ14" s="31" t="str">
        <f aca="false">IF($A14="","",IFERROR(IF(INDEX(drops!$W$2:$W$21,MATCH($B14,drops!$A$2:$A$21,0))="","",INDEX(drops!$W$2:$W$21,MATCH($B14,drops!$A$2:$A$21,0))),""))</f>
        <v/>
      </c>
      <c r="DR14" s="30" t="str">
        <f aca="false">IF($A14="","",IF($CE14="","",IF($CE14&gt;=config!$B$31,"pass","miss")))</f>
        <v/>
      </c>
      <c r="DS14" s="30" t="str">
        <f aca="false">IF($A14="","",IF($CI14="","",IF($CI14&gt;=config!$B$30,"pass","miss")))</f>
        <v/>
      </c>
      <c r="DT14" s="30" t="str">
        <f aca="true">IF($A14="","",IF($AT14="",IF($DO14="","",IF(IF(config!$B$37&lt;&gt;"",config!$B$37,TODAY())&gt;$DO14,"late","due")),IF($AT14&lt;=$DO14,"pass","late")))</f>
        <v/>
      </c>
      <c r="DU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","")&amp;IF($BZ14&lt;0,"reserve below zero: check inventory;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","")&amp;IF(AND($DA14="",$DQ14&lt;&gt;"",IF(config!$B$37&lt;&gt;"",config!$B$37,TODAY())&gt;$DQ14),"day-30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","")&amp;IF($DT14="late","report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f>
        <v/>
      </c>
      <c r="CL15" s="30" t="str">
        <f aca="false">IF($A15="","",SUMIFS(approvals!$AQ$2:$AQ$251,approvals!$A$2:$A$251,$A15))</f>
        <v/>
      </c>
      <c r="CM15" s="30" t="str">
        <f aca="false">IF($A15="","",SUMIFS(approvals!$AR$2:$AR$251,approvals!$A$2:$A$251,$A15))</f>
        <v/>
      </c>
      <c r="CN15" s="30" t="str">
        <f aca="false">IF($A15="","",SUMIFS(approvals!$AS$2:$AS$251,approvals!$A$2:$A$251,$A15))</f>
        <v/>
      </c>
      <c r="CO15" s="30" t="str">
        <f aca="false">IF($A15="","",SUMIFS(approvals!$AT$2:$AT$251,approvals!$A$2:$A$251,$A15))</f>
        <v/>
      </c>
      <c r="CP15" s="33" t="str">
        <f aca="false">IF($A15="","",IF(N($CO15)=0,"",ROUND(SUMIFS(approvals!$AU$2:$AU$251,approvals!$A$2:$A$251,$A15)/$CO15,1)))</f>
        <v/>
      </c>
      <c r="CQ15" s="30" t="str">
        <f aca="false">IF($A15="","",SUMIFS(approvals!$AV$2:$AV$251,approvals!$A$2:$A$251,$A15))</f>
        <v/>
      </c>
      <c r="CR15" s="30" t="str">
        <f aca="false">IF($A15="","",SUMIFS(approvals!$AW$2:$AW$251,approvals!$A$2:$A$251,$A15))</f>
        <v/>
      </c>
      <c r="CS15" s="30" t="str">
        <f aca="false">IF($A15="","",SUMIFS(approvals!$AX$2:$AX$251,approvals!$A$2:$A$251,$A15))</f>
        <v/>
      </c>
      <c r="CT15" s="30" t="str">
        <f aca="false">IF($A15="","",SUMIFS(approvals!$AY$2:$AY$251,approvals!$A$2:$A$251,$A15))</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f>
        <v/>
      </c>
      <c r="CW15" s="30" t="str">
        <f aca="false">IF($A15="","",SUMIFS(approvals!$AN$2:$AN$251,approvals!$A$2:$A$251,$A15))</f>
        <v/>
      </c>
      <c r="CX15" s="30" t="str">
        <f aca="false">IF($A15="","",SUMIFS(approvals!$AO$2:$AO$251,approvals!$A$2:$A$251,$A15))</f>
        <v/>
      </c>
      <c r="CY15" s="30" t="str">
        <f aca="false">IF($A15="","",IF($CZ15="","",SUMIFS(redemptions!$C$2:$C$121,redemptions!$A$2:$A$121,$A15,redemptions!$B$2:$B$121,$CZ15)))</f>
        <v/>
      </c>
      <c r="CZ15" s="31" t="str">
        <f aca="false">IF($A15="","",IFERROR(1/(1/SUMPRODUCT(MAX((redemptions!$A$2:$A$121=$A15)*redemptions!$B$2:$B$121))),""))</f>
        <v/>
      </c>
      <c r="DA15" s="30" t="str">
        <f aca="false">IF($A15="","",IF(COUNTIFS(redemptions!$A$2:$A$121,$A15,redemptions!$H$2:$H$121,"Y")=0,"",SUMIFS(redemptions!$C$2:$C$121,redemptions!$A$2:$A$121,$A15,redemptions!$B$2:$B$121,SUMPRODUCT(MIN((redemptions!$A$2:$A$121=$A15)*(redemptions!$H$2:$H$121="Y")*redemptions!$B$2:$B$121+((redemptions!$A$2:$A$121&lt;&gt;$A15)+(redemptions!$H$2:$H$121&lt;&gt;"Y")&gt;0)*1000000)))))</f>
        <v/>
      </c>
      <c r="DB15" s="32" t="str">
        <f aca="false">IF($A15="","",SUMIFS(invoices!$E$2:$E$151,invoices!$B$2:$B$151,$A15))</f>
        <v/>
      </c>
      <c r="DC15" s="32" t="str">
        <f aca="false">IF($A15="","",IF(COUNTIFS(invoices!$B$2:$B$151,$A15,invoices!$C$2:$C$151,"standard_deposit",invoices!$H$2:$H$151,"&gt;0")=0,"",SUMIFS(invoices!$I$2:$I$151,invoices!$B$2:$B$151,$A15,invoices!$C$2:$C$151,"standard_deposit")))</f>
        <v/>
      </c>
      <c r="DD15" s="31" t="str">
        <f aca="false">IF($A15="","",IFERROR(1/(1/SUMPRODUCT(MAX((invoices!$B$2:$B$151=$A15)*(invoices!$C$2:$C$151="standard_deposit")*invoices!$H$2:$H$151))),""))</f>
        <v/>
      </c>
      <c r="DE15" s="31" t="str">
        <f aca="false">IF($A15="","",IFERROR(1/(1/SUMPRODUCT(MAX((invoices!$B$2:$B$151=$A15)*((invoices!$C$2:$C$151="founding_full")+(invoices!$C$2:$C$151="standard_balance"))*invoices!$H$2:$H$151))),""))</f>
        <v/>
      </c>
      <c r="DF15" s="32" t="str">
        <f aca="false">IF($A15="","",SUMIFS(invoices!$L$2:$L$151,invoices!$B$2:$B$151,$A15))</f>
        <v/>
      </c>
      <c r="DG15" s="32" t="str">
        <f aca="false">IF($A15="","",SUMIFS(costs!$E$2:$E$301,costs!$C$2:$C$301,$A15))</f>
        <v/>
      </c>
      <c r="DH15" s="32" t="str">
        <f aca="false">IF($A15="","",ROUND(IF(SUMIFS(campaigns!$BO$2:$BO$51,campaigns!$B$2:$B$51,$B15)=0,0,$BO15/SUMIFS(campaigns!$BO$2:$BO$51,campaigns!$B$2:$B$51,$B15))*(SUMIFS(costs!$E$2:$E$301,costs!$B$2:$B$301,$B15)-SUMPRODUCT((costs!$B$2:$B$301=$B15)*(LEN(costs!$C$2:$C$301)&gt;0)*costs!$E$2:$E$301)),2))</f>
        <v/>
      </c>
      <c r="DI15" s="33" t="str">
        <f aca="false">IF($A15="","",SUMIFS(hours!$E$2:$E$1501,hours!$C$2:$C$1501,$A15))</f>
        <v/>
      </c>
      <c r="DJ15" s="33" t="str">
        <f aca="false">IF($A15="","",ROUND(IF(SUMIFS(campaigns!$BO$2:$BO$51,campaigns!$B$2:$B$51,$B15)=0,0,$BO15/SUMIFS(campaigns!$BO$2:$BO$51,campaigns!$B$2:$B$51,$B15))*(SUMIFS(hours!$E$2:$E$1501,hours!$B$2:$B$1501,$B15)-SUMPRODUCT((hours!$B$2:$B$1501=$B15)*(LEN(hours!$C$2:$C$1501)&gt;0)*hours!$E$2:$E$1501)),2))</f>
        <v/>
      </c>
      <c r="DK15" s="32" t="str">
        <f aca="false">IF($A15="","",$DB15-$DF15-$DG15-$DH15)</f>
        <v/>
      </c>
      <c r="DL15" s="32" t="str">
        <f aca="false">IF($A15="","",IF(N($DI15)+N($DJ15)=0,"",ROUND($DK15/($DI15+$DJ15),2)))</f>
        <v/>
      </c>
      <c r="DM15" s="34" t="str">
        <f aca="false">IF($A15="","",IF(N($BP15)=0,"",COUNTIFS(approvals!$A$2:$A$251,$A15,approvals!$Q$2:$Q$251,"Y",approvals!$AK$2:$AK$251,"Y")/$BP15))</f>
        <v/>
      </c>
      <c r="DN15" s="33" t="str">
        <f aca="false">IF($A15="","",IF(COUNTIFS(approvals!$A$2:$A$251,$A15,approvals!$AC$2:$AC$251,"&gt;=0")=0,"",ROUND(SUMIFS(approvals!$AC$2:$AC$251,approvals!$A$2:$A$251,$A15)/COUNTIFS(approvals!$A$2:$A$251,$A15,approvals!$AC$2:$AC$251,"&gt;=0"),1)))</f>
        <v/>
      </c>
      <c r="DO15" s="31" t="str">
        <f aca="false">IF($A15="","",IFERROR(IF(INDEX(drops!$T$2:$T$21,MATCH($B15,drops!$A$2:$A$21,0))="","",INDEX(drops!$T$2:$T$21,MATCH($B15,drops!$A$2:$A$21,0))),""))</f>
        <v/>
      </c>
      <c r="DP15" s="31" t="str">
        <f aca="false">IF($A15="","",IFERROR(IF(INDEX(drops!$U$2:$U$21,MATCH($B15,drops!$A$2:$A$21,0))="","",INDEX(drops!$U$2:$U$21,MATCH($B15,drops!$A$2:$A$21,0))),""))</f>
        <v/>
      </c>
      <c r="DQ15" s="31" t="str">
        <f aca="false">IF($A15="","",IFERROR(IF(INDEX(drops!$W$2:$W$21,MATCH($B15,drops!$A$2:$A$21,0))="","",INDEX(drops!$W$2:$W$21,MATCH($B15,drops!$A$2:$A$21,0))),""))</f>
        <v/>
      </c>
      <c r="DR15" s="30" t="str">
        <f aca="false">IF($A15="","",IF($CE15="","",IF($CE15&gt;=config!$B$31,"pass","miss")))</f>
        <v/>
      </c>
      <c r="DS15" s="30" t="str">
        <f aca="false">IF($A15="","",IF($CI15="","",IF($CI15&gt;=config!$B$30,"pass","miss")))</f>
        <v/>
      </c>
      <c r="DT15" s="30" t="str">
        <f aca="true">IF($A15="","",IF($AT15="",IF($DO15="","",IF(IF(config!$B$37&lt;&gt;"",config!$B$37,TODAY())&gt;$DO15,"late","due")),IF($AT15&lt;=$DO15,"pass","late")))</f>
        <v/>
      </c>
      <c r="DU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","")&amp;IF($BZ15&lt;0,"reserve below zero: check inventory;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","")&amp;IF(AND($DA15="",$DQ15&lt;&gt;"",IF(config!$B$37&lt;&gt;"",config!$B$37,TODAY())&gt;$DQ15),"day-30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","")&amp;IF($DT15="late","report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f>
        <v/>
      </c>
      <c r="CL16" s="30" t="str">
        <f aca="false">IF($A16="","",SUMIFS(approvals!$AQ$2:$AQ$251,approvals!$A$2:$A$251,$A16))</f>
        <v/>
      </c>
      <c r="CM16" s="30" t="str">
        <f aca="false">IF($A16="","",SUMIFS(approvals!$AR$2:$AR$251,approvals!$A$2:$A$251,$A16))</f>
        <v/>
      </c>
      <c r="CN16" s="30" t="str">
        <f aca="false">IF($A16="","",SUMIFS(approvals!$AS$2:$AS$251,approvals!$A$2:$A$251,$A16))</f>
        <v/>
      </c>
      <c r="CO16" s="30" t="str">
        <f aca="false">IF($A16="","",SUMIFS(approvals!$AT$2:$AT$251,approvals!$A$2:$A$251,$A16))</f>
        <v/>
      </c>
      <c r="CP16" s="33" t="str">
        <f aca="false">IF($A16="","",IF(N($CO16)=0,"",ROUND(SUMIFS(approvals!$AU$2:$AU$251,approvals!$A$2:$A$251,$A16)/$CO16,1)))</f>
        <v/>
      </c>
      <c r="CQ16" s="30" t="str">
        <f aca="false">IF($A16="","",SUMIFS(approvals!$AV$2:$AV$251,approvals!$A$2:$A$251,$A16))</f>
        <v/>
      </c>
      <c r="CR16" s="30" t="str">
        <f aca="false">IF($A16="","",SUMIFS(approvals!$AW$2:$AW$251,approvals!$A$2:$A$251,$A16))</f>
        <v/>
      </c>
      <c r="CS16" s="30" t="str">
        <f aca="false">IF($A16="","",SUMIFS(approvals!$AX$2:$AX$251,approvals!$A$2:$A$251,$A16))</f>
        <v/>
      </c>
      <c r="CT16" s="30" t="str">
        <f aca="false">IF($A16="","",SUMIFS(approvals!$AY$2:$AY$251,approvals!$A$2:$A$251,$A16))</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f>
        <v/>
      </c>
      <c r="CW16" s="30" t="str">
        <f aca="false">IF($A16="","",SUMIFS(approvals!$AN$2:$AN$251,approvals!$A$2:$A$251,$A16))</f>
        <v/>
      </c>
      <c r="CX16" s="30" t="str">
        <f aca="false">IF($A16="","",SUMIFS(approvals!$AO$2:$AO$251,approvals!$A$2:$A$251,$A16))</f>
        <v/>
      </c>
      <c r="CY16" s="30" t="str">
        <f aca="false">IF($A16="","",IF($CZ16="","",SUMIFS(redemptions!$C$2:$C$121,redemptions!$A$2:$A$121,$A16,redemptions!$B$2:$B$121,$CZ16)))</f>
        <v/>
      </c>
      <c r="CZ16" s="31" t="str">
        <f aca="false">IF($A16="","",IFERROR(1/(1/SUMPRODUCT(MAX((redemptions!$A$2:$A$121=$A16)*redemptions!$B$2:$B$121))),""))</f>
        <v/>
      </c>
      <c r="DA16" s="30" t="str">
        <f aca="false">IF($A16="","",IF(COUNTIFS(redemptions!$A$2:$A$121,$A16,redemptions!$H$2:$H$121,"Y")=0,"",SUMIFS(redemptions!$C$2:$C$121,redemptions!$A$2:$A$121,$A16,redemptions!$B$2:$B$121,SUMPRODUCT(MIN((redemptions!$A$2:$A$121=$A16)*(redemptions!$H$2:$H$121="Y")*redemptions!$B$2:$B$121+((redemptions!$A$2:$A$121&lt;&gt;$A16)+(redemptions!$H$2:$H$121&lt;&gt;"Y")&gt;0)*1000000)))))</f>
        <v/>
      </c>
      <c r="DB16" s="32" t="str">
        <f aca="false">IF($A16="","",SUMIFS(invoices!$E$2:$E$151,invoices!$B$2:$B$151,$A16))</f>
        <v/>
      </c>
      <c r="DC16" s="32" t="str">
        <f aca="false">IF($A16="","",IF(COUNTIFS(invoices!$B$2:$B$151,$A16,invoices!$C$2:$C$151,"standard_deposit",invoices!$H$2:$H$151,"&gt;0")=0,"",SUMIFS(invoices!$I$2:$I$151,invoices!$B$2:$B$151,$A16,invoices!$C$2:$C$151,"standard_deposit")))</f>
        <v/>
      </c>
      <c r="DD16" s="31" t="str">
        <f aca="false">IF($A16="","",IFERROR(1/(1/SUMPRODUCT(MAX((invoices!$B$2:$B$151=$A16)*(invoices!$C$2:$C$151="standard_deposit")*invoices!$H$2:$H$151))),""))</f>
        <v/>
      </c>
      <c r="DE16" s="31" t="str">
        <f aca="false">IF($A16="","",IFERROR(1/(1/SUMPRODUCT(MAX((invoices!$B$2:$B$151=$A16)*((invoices!$C$2:$C$151="founding_full")+(invoices!$C$2:$C$151="standard_balance"))*invoices!$H$2:$H$151))),""))</f>
        <v/>
      </c>
      <c r="DF16" s="32" t="str">
        <f aca="false">IF($A16="","",SUMIFS(invoices!$L$2:$L$151,invoices!$B$2:$B$151,$A16))</f>
        <v/>
      </c>
      <c r="DG16" s="32" t="str">
        <f aca="false">IF($A16="","",SUMIFS(costs!$E$2:$E$301,costs!$C$2:$C$301,$A16))</f>
        <v/>
      </c>
      <c r="DH16" s="32" t="str">
        <f aca="false">IF($A16="","",ROUND(IF(SUMIFS(campaigns!$BO$2:$BO$51,campaigns!$B$2:$B$51,$B16)=0,0,$BO16/SUMIFS(campaigns!$BO$2:$BO$51,campaigns!$B$2:$B$51,$B16))*(SUMIFS(costs!$E$2:$E$301,costs!$B$2:$B$301,$B16)-SUMPRODUCT((costs!$B$2:$B$301=$B16)*(LEN(costs!$C$2:$C$301)&gt;0)*costs!$E$2:$E$301)),2))</f>
        <v/>
      </c>
      <c r="DI16" s="33" t="str">
        <f aca="false">IF($A16="","",SUMIFS(hours!$E$2:$E$1501,hours!$C$2:$C$1501,$A16))</f>
        <v/>
      </c>
      <c r="DJ16" s="33" t="str">
        <f aca="false">IF($A16="","",ROUND(IF(SUMIFS(campaigns!$BO$2:$BO$51,campaigns!$B$2:$B$51,$B16)=0,0,$BO16/SUMIFS(campaigns!$BO$2:$BO$51,campaigns!$B$2:$B$51,$B16))*(SUMIFS(hours!$E$2:$E$1501,hours!$B$2:$B$1501,$B16)-SUMPRODUCT((hours!$B$2:$B$1501=$B16)*(LEN(hours!$C$2:$C$1501)&gt;0)*hours!$E$2:$E$1501)),2))</f>
        <v/>
      </c>
      <c r="DK16" s="32" t="str">
        <f aca="false">IF($A16="","",$DB16-$DF16-$DG16-$DH16)</f>
        <v/>
      </c>
      <c r="DL16" s="32" t="str">
        <f aca="false">IF($A16="","",IF(N($DI16)+N($DJ16)=0,"",ROUND($DK16/($DI16+$DJ16),2)))</f>
        <v/>
      </c>
      <c r="DM16" s="34" t="str">
        <f aca="false">IF($A16="","",IF(N($BP16)=0,"",COUNTIFS(approvals!$A$2:$A$251,$A16,approvals!$Q$2:$Q$251,"Y",approvals!$AK$2:$AK$251,"Y")/$BP16))</f>
        <v/>
      </c>
      <c r="DN16" s="33" t="str">
        <f aca="false">IF($A16="","",IF(COUNTIFS(approvals!$A$2:$A$251,$A16,approvals!$AC$2:$AC$251,"&gt;=0")=0,"",ROUND(SUMIFS(approvals!$AC$2:$AC$251,approvals!$A$2:$A$251,$A16)/COUNTIFS(approvals!$A$2:$A$251,$A16,approvals!$AC$2:$AC$251,"&gt;=0"),1)))</f>
        <v/>
      </c>
      <c r="DO16" s="31" t="str">
        <f aca="false">IF($A16="","",IFERROR(IF(INDEX(drops!$T$2:$T$21,MATCH($B16,drops!$A$2:$A$21,0))="","",INDEX(drops!$T$2:$T$21,MATCH($B16,drops!$A$2:$A$21,0))),""))</f>
        <v/>
      </c>
      <c r="DP16" s="31" t="str">
        <f aca="false">IF($A16="","",IFERROR(IF(INDEX(drops!$U$2:$U$21,MATCH($B16,drops!$A$2:$A$21,0))="","",INDEX(drops!$U$2:$U$21,MATCH($B16,drops!$A$2:$A$21,0))),""))</f>
        <v/>
      </c>
      <c r="DQ16" s="31" t="str">
        <f aca="false">IF($A16="","",IFERROR(IF(INDEX(drops!$W$2:$W$21,MATCH($B16,drops!$A$2:$A$21,0))="","",INDEX(drops!$W$2:$W$21,MATCH($B16,drops!$A$2:$A$21,0))),""))</f>
        <v/>
      </c>
      <c r="DR16" s="30" t="str">
        <f aca="false">IF($A16="","",IF($CE16="","",IF($CE16&gt;=config!$B$31,"pass","miss")))</f>
        <v/>
      </c>
      <c r="DS16" s="30" t="str">
        <f aca="false">IF($A16="","",IF($CI16="","",IF($CI16&gt;=config!$B$30,"pass","miss")))</f>
        <v/>
      </c>
      <c r="DT16" s="30" t="str">
        <f aca="true">IF($A16="","",IF($AT16="",IF($DO16="","",IF(IF(config!$B$37&lt;&gt;"",config!$B$37,TODAY())&gt;$DO16,"late","due")),IF($AT16&lt;=$DO16,"pass","late")))</f>
        <v/>
      </c>
      <c r="DU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","")&amp;IF($BZ16&lt;0,"reserve below zero: check inventory;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","")&amp;IF(AND($DA16="",$DQ16&lt;&gt;"",IF(config!$B$37&lt;&gt;"",config!$B$37,TODAY())&gt;$DQ16),"day-30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","")&amp;IF($DT16="late","report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f>
        <v/>
      </c>
      <c r="CL17" s="30" t="str">
        <f aca="false">IF($A17="","",SUMIFS(approvals!$AQ$2:$AQ$251,approvals!$A$2:$A$251,$A17))</f>
        <v/>
      </c>
      <c r="CM17" s="30" t="str">
        <f aca="false">IF($A17="","",SUMIFS(approvals!$AR$2:$AR$251,approvals!$A$2:$A$251,$A17))</f>
        <v/>
      </c>
      <c r="CN17" s="30" t="str">
        <f aca="false">IF($A17="","",SUMIFS(approvals!$AS$2:$AS$251,approvals!$A$2:$A$251,$A17))</f>
        <v/>
      </c>
      <c r="CO17" s="30" t="str">
        <f aca="false">IF($A17="","",SUMIFS(approvals!$AT$2:$AT$251,approvals!$A$2:$A$251,$A17))</f>
        <v/>
      </c>
      <c r="CP17" s="33" t="str">
        <f aca="false">IF($A17="","",IF(N($CO17)=0,"",ROUND(SUMIFS(approvals!$AU$2:$AU$251,approvals!$A$2:$A$251,$A17)/$CO17,1)))</f>
        <v/>
      </c>
      <c r="CQ17" s="30" t="str">
        <f aca="false">IF($A17="","",SUMIFS(approvals!$AV$2:$AV$251,approvals!$A$2:$A$251,$A17))</f>
        <v/>
      </c>
      <c r="CR17" s="30" t="str">
        <f aca="false">IF($A17="","",SUMIFS(approvals!$AW$2:$AW$251,approvals!$A$2:$A$251,$A17))</f>
        <v/>
      </c>
      <c r="CS17" s="30" t="str">
        <f aca="false">IF($A17="","",SUMIFS(approvals!$AX$2:$AX$251,approvals!$A$2:$A$251,$A17))</f>
        <v/>
      </c>
      <c r="CT17" s="30" t="str">
        <f aca="false">IF($A17="","",SUMIFS(approvals!$AY$2:$AY$251,approvals!$A$2:$A$251,$A17))</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f>
        <v/>
      </c>
      <c r="CW17" s="30" t="str">
        <f aca="false">IF($A17="","",SUMIFS(approvals!$AN$2:$AN$251,approvals!$A$2:$A$251,$A17))</f>
        <v/>
      </c>
      <c r="CX17" s="30" t="str">
        <f aca="false">IF($A17="","",SUMIFS(approvals!$AO$2:$AO$251,approvals!$A$2:$A$251,$A17))</f>
        <v/>
      </c>
      <c r="CY17" s="30" t="str">
        <f aca="false">IF($A17="","",IF($CZ17="","",SUMIFS(redemptions!$C$2:$C$121,redemptions!$A$2:$A$121,$A17,redemptions!$B$2:$B$121,$CZ17)))</f>
        <v/>
      </c>
      <c r="CZ17" s="31" t="str">
        <f aca="false">IF($A17="","",IFERROR(1/(1/SUMPRODUCT(MAX((redemptions!$A$2:$A$121=$A17)*redemptions!$B$2:$B$121))),""))</f>
        <v/>
      </c>
      <c r="DA17" s="30" t="str">
        <f aca="false">IF($A17="","",IF(COUNTIFS(redemptions!$A$2:$A$121,$A17,redemptions!$H$2:$H$121,"Y")=0,"",SUMIFS(redemptions!$C$2:$C$121,redemptions!$A$2:$A$121,$A17,redemptions!$B$2:$B$121,SUMPRODUCT(MIN((redemptions!$A$2:$A$121=$A17)*(redemptions!$H$2:$H$121="Y")*redemptions!$B$2:$B$121+((redemptions!$A$2:$A$121&lt;&gt;$A17)+(redemptions!$H$2:$H$121&lt;&gt;"Y")&gt;0)*1000000)))))</f>
        <v/>
      </c>
      <c r="DB17" s="32" t="str">
        <f aca="false">IF($A17="","",SUMIFS(invoices!$E$2:$E$151,invoices!$B$2:$B$151,$A17))</f>
        <v/>
      </c>
      <c r="DC17" s="32" t="str">
        <f aca="false">IF($A17="","",IF(COUNTIFS(invoices!$B$2:$B$151,$A17,invoices!$C$2:$C$151,"standard_deposit",invoices!$H$2:$H$151,"&gt;0")=0,"",SUMIFS(invoices!$I$2:$I$151,invoices!$B$2:$B$151,$A17,invoices!$C$2:$C$151,"standard_deposit")))</f>
        <v/>
      </c>
      <c r="DD17" s="31" t="str">
        <f aca="false">IF($A17="","",IFERROR(1/(1/SUMPRODUCT(MAX((invoices!$B$2:$B$151=$A17)*(invoices!$C$2:$C$151="standard_deposit")*invoices!$H$2:$H$151))),""))</f>
        <v/>
      </c>
      <c r="DE17" s="31" t="str">
        <f aca="false">IF($A17="","",IFERROR(1/(1/SUMPRODUCT(MAX((invoices!$B$2:$B$151=$A17)*((invoices!$C$2:$C$151="founding_full")+(invoices!$C$2:$C$151="standard_balance"))*invoices!$H$2:$H$151))),""))</f>
        <v/>
      </c>
      <c r="DF17" s="32" t="str">
        <f aca="false">IF($A17="","",SUMIFS(invoices!$L$2:$L$151,invoices!$B$2:$B$151,$A17))</f>
        <v/>
      </c>
      <c r="DG17" s="32" t="str">
        <f aca="false">IF($A17="","",SUMIFS(costs!$E$2:$E$301,costs!$C$2:$C$301,$A17))</f>
        <v/>
      </c>
      <c r="DH17" s="32" t="str">
        <f aca="false">IF($A17="","",ROUND(IF(SUMIFS(campaigns!$BO$2:$BO$51,campaigns!$B$2:$B$51,$B17)=0,0,$BO17/SUMIFS(campaigns!$BO$2:$BO$51,campaigns!$B$2:$B$51,$B17))*(SUMIFS(costs!$E$2:$E$301,costs!$B$2:$B$301,$B17)-SUMPRODUCT((costs!$B$2:$B$301=$B17)*(LEN(costs!$C$2:$C$301)&gt;0)*costs!$E$2:$E$301)),2))</f>
        <v/>
      </c>
      <c r="DI17" s="33" t="str">
        <f aca="false">IF($A17="","",SUMIFS(hours!$E$2:$E$1501,hours!$C$2:$C$1501,$A17))</f>
        <v/>
      </c>
      <c r="DJ17" s="33" t="str">
        <f aca="false">IF($A17="","",ROUND(IF(SUMIFS(campaigns!$BO$2:$BO$51,campaigns!$B$2:$B$51,$B17)=0,0,$BO17/SUMIFS(campaigns!$BO$2:$BO$51,campaigns!$B$2:$B$51,$B17))*(SUMIFS(hours!$E$2:$E$1501,hours!$B$2:$B$1501,$B17)-SUMPRODUCT((hours!$B$2:$B$1501=$B17)*(LEN(hours!$C$2:$C$1501)&gt;0)*hours!$E$2:$E$1501)),2))</f>
        <v/>
      </c>
      <c r="DK17" s="32" t="str">
        <f aca="false">IF($A17="","",$DB17-$DF17-$DG17-$DH17)</f>
        <v/>
      </c>
      <c r="DL17" s="32" t="str">
        <f aca="false">IF($A17="","",IF(N($DI17)+N($DJ17)=0,"",ROUND($DK17/($DI17+$DJ17),2)))</f>
        <v/>
      </c>
      <c r="DM17" s="34" t="str">
        <f aca="false">IF($A17="","",IF(N($BP17)=0,"",COUNTIFS(approvals!$A$2:$A$251,$A17,approvals!$Q$2:$Q$251,"Y",approvals!$AK$2:$AK$251,"Y")/$BP17))</f>
        <v/>
      </c>
      <c r="DN17" s="33" t="str">
        <f aca="false">IF($A17="","",IF(COUNTIFS(approvals!$A$2:$A$251,$A17,approvals!$AC$2:$AC$251,"&gt;=0")=0,"",ROUND(SUMIFS(approvals!$AC$2:$AC$251,approvals!$A$2:$A$251,$A17)/COUNTIFS(approvals!$A$2:$A$251,$A17,approvals!$AC$2:$AC$251,"&gt;=0"),1)))</f>
        <v/>
      </c>
      <c r="DO17" s="31" t="str">
        <f aca="false">IF($A17="","",IFERROR(IF(INDEX(drops!$T$2:$T$21,MATCH($B17,drops!$A$2:$A$21,0))="","",INDEX(drops!$T$2:$T$21,MATCH($B17,drops!$A$2:$A$21,0))),""))</f>
        <v/>
      </c>
      <c r="DP17" s="31" t="str">
        <f aca="false">IF($A17="","",IFERROR(IF(INDEX(drops!$U$2:$U$21,MATCH($B17,drops!$A$2:$A$21,0))="","",INDEX(drops!$U$2:$U$21,MATCH($B17,drops!$A$2:$A$21,0))),""))</f>
        <v/>
      </c>
      <c r="DQ17" s="31" t="str">
        <f aca="false">IF($A17="","",IFERROR(IF(INDEX(drops!$W$2:$W$21,MATCH($B17,drops!$A$2:$A$21,0))="","",INDEX(drops!$W$2:$W$21,MATCH($B17,drops!$A$2:$A$21,0))),""))</f>
        <v/>
      </c>
      <c r="DR17" s="30" t="str">
        <f aca="false">IF($A17="","",IF($CE17="","",IF($CE17&gt;=config!$B$31,"pass","miss")))</f>
        <v/>
      </c>
      <c r="DS17" s="30" t="str">
        <f aca="false">IF($A17="","",IF($CI17="","",IF($CI17&gt;=config!$B$30,"pass","miss")))</f>
        <v/>
      </c>
      <c r="DT17" s="30" t="str">
        <f aca="true">IF($A17="","",IF($AT17="",IF($DO17="","",IF(IF(config!$B$37&lt;&gt;"",config!$B$37,TODAY())&gt;$DO17,"late","due")),IF($AT17&lt;=$DO17,"pass","late")))</f>
        <v/>
      </c>
      <c r="DU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","")&amp;IF($BZ17&lt;0,"reserve below zero: check inventory;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","")&amp;IF(AND($DA17="",$DQ17&lt;&gt;"",IF(config!$B$37&lt;&gt;"",config!$B$37,TODAY())&gt;$DQ17),"day-30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","")&amp;IF($DT17="late","report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f>
        <v/>
      </c>
      <c r="CL18" s="30" t="str">
        <f aca="false">IF($A18="","",SUMIFS(approvals!$AQ$2:$AQ$251,approvals!$A$2:$A$251,$A18))</f>
        <v/>
      </c>
      <c r="CM18" s="30" t="str">
        <f aca="false">IF($A18="","",SUMIFS(approvals!$AR$2:$AR$251,approvals!$A$2:$A$251,$A18))</f>
        <v/>
      </c>
      <c r="CN18" s="30" t="str">
        <f aca="false">IF($A18="","",SUMIFS(approvals!$AS$2:$AS$251,approvals!$A$2:$A$251,$A18))</f>
        <v/>
      </c>
      <c r="CO18" s="30" t="str">
        <f aca="false">IF($A18="","",SUMIFS(approvals!$AT$2:$AT$251,approvals!$A$2:$A$251,$A18))</f>
        <v/>
      </c>
      <c r="CP18" s="33" t="str">
        <f aca="false">IF($A18="","",IF(N($CO18)=0,"",ROUND(SUMIFS(approvals!$AU$2:$AU$251,approvals!$A$2:$A$251,$A18)/$CO18,1)))</f>
        <v/>
      </c>
      <c r="CQ18" s="30" t="str">
        <f aca="false">IF($A18="","",SUMIFS(approvals!$AV$2:$AV$251,approvals!$A$2:$A$251,$A18))</f>
        <v/>
      </c>
      <c r="CR18" s="30" t="str">
        <f aca="false">IF($A18="","",SUMIFS(approvals!$AW$2:$AW$251,approvals!$A$2:$A$251,$A18))</f>
        <v/>
      </c>
      <c r="CS18" s="30" t="str">
        <f aca="false">IF($A18="","",SUMIFS(approvals!$AX$2:$AX$251,approvals!$A$2:$A$251,$A18))</f>
        <v/>
      </c>
      <c r="CT18" s="30" t="str">
        <f aca="false">IF($A18="","",SUMIFS(approvals!$AY$2:$AY$251,approvals!$A$2:$A$251,$A18))</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f>
        <v/>
      </c>
      <c r="CW18" s="30" t="str">
        <f aca="false">IF($A18="","",SUMIFS(approvals!$AN$2:$AN$251,approvals!$A$2:$A$251,$A18))</f>
        <v/>
      </c>
      <c r="CX18" s="30" t="str">
        <f aca="false">IF($A18="","",SUMIFS(approvals!$AO$2:$AO$251,approvals!$A$2:$A$251,$A18))</f>
        <v/>
      </c>
      <c r="CY18" s="30" t="str">
        <f aca="false">IF($A18="","",IF($CZ18="","",SUMIFS(redemptions!$C$2:$C$121,redemptions!$A$2:$A$121,$A18,redemptions!$B$2:$B$121,$CZ18)))</f>
        <v/>
      </c>
      <c r="CZ18" s="31" t="str">
        <f aca="false">IF($A18="","",IFERROR(1/(1/SUMPRODUCT(MAX((redemptions!$A$2:$A$121=$A18)*redemptions!$B$2:$B$121))),""))</f>
        <v/>
      </c>
      <c r="DA18" s="30" t="str">
        <f aca="false">IF($A18="","",IF(COUNTIFS(redemptions!$A$2:$A$121,$A18,redemptions!$H$2:$H$121,"Y")=0,"",SUMIFS(redemptions!$C$2:$C$121,redemptions!$A$2:$A$121,$A18,redemptions!$B$2:$B$121,SUMPRODUCT(MIN((redemptions!$A$2:$A$121=$A18)*(redemptions!$H$2:$H$121="Y")*redemptions!$B$2:$B$121+((redemptions!$A$2:$A$121&lt;&gt;$A18)+(redemptions!$H$2:$H$121&lt;&gt;"Y")&gt;0)*1000000)))))</f>
        <v/>
      </c>
      <c r="DB18" s="32" t="str">
        <f aca="false">IF($A18="","",SUMIFS(invoices!$E$2:$E$151,invoices!$B$2:$B$151,$A18))</f>
        <v/>
      </c>
      <c r="DC18" s="32" t="str">
        <f aca="false">IF($A18="","",IF(COUNTIFS(invoices!$B$2:$B$151,$A18,invoices!$C$2:$C$151,"standard_deposit",invoices!$H$2:$H$151,"&gt;0")=0,"",SUMIFS(invoices!$I$2:$I$151,invoices!$B$2:$B$151,$A18,invoices!$C$2:$C$151,"standard_deposit")))</f>
        <v/>
      </c>
      <c r="DD18" s="31" t="str">
        <f aca="false">IF($A18="","",IFERROR(1/(1/SUMPRODUCT(MAX((invoices!$B$2:$B$151=$A18)*(invoices!$C$2:$C$151="standard_deposit")*invoices!$H$2:$H$151))),""))</f>
        <v/>
      </c>
      <c r="DE18" s="31" t="str">
        <f aca="false">IF($A18="","",IFERROR(1/(1/SUMPRODUCT(MAX((invoices!$B$2:$B$151=$A18)*((invoices!$C$2:$C$151="founding_full")+(invoices!$C$2:$C$151="standard_balance"))*invoices!$H$2:$H$151))),""))</f>
        <v/>
      </c>
      <c r="DF18" s="32" t="str">
        <f aca="false">IF($A18="","",SUMIFS(invoices!$L$2:$L$151,invoices!$B$2:$B$151,$A18))</f>
        <v/>
      </c>
      <c r="DG18" s="32" t="str">
        <f aca="false">IF($A18="","",SUMIFS(costs!$E$2:$E$301,costs!$C$2:$C$301,$A18))</f>
        <v/>
      </c>
      <c r="DH18" s="32" t="str">
        <f aca="false">IF($A18="","",ROUND(IF(SUMIFS(campaigns!$BO$2:$BO$51,campaigns!$B$2:$B$51,$B18)=0,0,$BO18/SUMIFS(campaigns!$BO$2:$BO$51,campaigns!$B$2:$B$51,$B18))*(SUMIFS(costs!$E$2:$E$301,costs!$B$2:$B$301,$B18)-SUMPRODUCT((costs!$B$2:$B$301=$B18)*(LEN(costs!$C$2:$C$301)&gt;0)*costs!$E$2:$E$301)),2))</f>
        <v/>
      </c>
      <c r="DI18" s="33" t="str">
        <f aca="false">IF($A18="","",SUMIFS(hours!$E$2:$E$1501,hours!$C$2:$C$1501,$A18))</f>
        <v/>
      </c>
      <c r="DJ18" s="33" t="str">
        <f aca="false">IF($A18="","",ROUND(IF(SUMIFS(campaigns!$BO$2:$BO$51,campaigns!$B$2:$B$51,$B18)=0,0,$BO18/SUMIFS(campaigns!$BO$2:$BO$51,campaigns!$B$2:$B$51,$B18))*(SUMIFS(hours!$E$2:$E$1501,hours!$B$2:$B$1501,$B18)-SUMPRODUCT((hours!$B$2:$B$1501=$B18)*(LEN(hours!$C$2:$C$1501)&gt;0)*hours!$E$2:$E$1501)),2))</f>
        <v/>
      </c>
      <c r="DK18" s="32" t="str">
        <f aca="false">IF($A18="","",$DB18-$DF18-$DG18-$DH18)</f>
        <v/>
      </c>
      <c r="DL18" s="32" t="str">
        <f aca="false">IF($A18="","",IF(N($DI18)+N($DJ18)=0,"",ROUND($DK18/($DI18+$DJ18),2)))</f>
        <v/>
      </c>
      <c r="DM18" s="34" t="str">
        <f aca="false">IF($A18="","",IF(N($BP18)=0,"",COUNTIFS(approvals!$A$2:$A$251,$A18,approvals!$Q$2:$Q$251,"Y",approvals!$AK$2:$AK$251,"Y")/$BP18))</f>
        <v/>
      </c>
      <c r="DN18" s="33" t="str">
        <f aca="false">IF($A18="","",IF(COUNTIFS(approvals!$A$2:$A$251,$A18,approvals!$AC$2:$AC$251,"&gt;=0")=0,"",ROUND(SUMIFS(approvals!$AC$2:$AC$251,approvals!$A$2:$A$251,$A18)/COUNTIFS(approvals!$A$2:$A$251,$A18,approvals!$AC$2:$AC$251,"&gt;=0"),1)))</f>
        <v/>
      </c>
      <c r="DO18" s="31" t="str">
        <f aca="false">IF($A18="","",IFERROR(IF(INDEX(drops!$T$2:$T$21,MATCH($B18,drops!$A$2:$A$21,0))="","",INDEX(drops!$T$2:$T$21,MATCH($B18,drops!$A$2:$A$21,0))),""))</f>
        <v/>
      </c>
      <c r="DP18" s="31" t="str">
        <f aca="false">IF($A18="","",IFERROR(IF(INDEX(drops!$U$2:$U$21,MATCH($B18,drops!$A$2:$A$21,0))="","",INDEX(drops!$U$2:$U$21,MATCH($B18,drops!$A$2:$A$21,0))),""))</f>
        <v/>
      </c>
      <c r="DQ18" s="31" t="str">
        <f aca="false">IF($A18="","",IFERROR(IF(INDEX(drops!$W$2:$W$21,MATCH($B18,drops!$A$2:$A$21,0))="","",INDEX(drops!$W$2:$W$21,MATCH($B18,drops!$A$2:$A$21,0))),""))</f>
        <v/>
      </c>
      <c r="DR18" s="30" t="str">
        <f aca="false">IF($A18="","",IF($CE18="","",IF($CE18&gt;=config!$B$31,"pass","miss")))</f>
        <v/>
      </c>
      <c r="DS18" s="30" t="str">
        <f aca="false">IF($A18="","",IF($CI18="","",IF($CI18&gt;=config!$B$30,"pass","miss")))</f>
        <v/>
      </c>
      <c r="DT18" s="30" t="str">
        <f aca="true">IF($A18="","",IF($AT18="",IF($DO18="","",IF(IF(config!$B$37&lt;&gt;"",config!$B$37,TODAY())&gt;$DO18,"late","due")),IF($AT18&lt;=$DO18,"pass","late")))</f>
        <v/>
      </c>
      <c r="DU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","")&amp;IF($BZ18&lt;0,"reserve below zero: check inventory;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","")&amp;IF(AND($DA18="",$DQ18&lt;&gt;"",IF(config!$B$37&lt;&gt;"",config!$B$37,TODAY())&gt;$DQ18),"day-30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","")&amp;IF($DT18="late","report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f>
        <v/>
      </c>
      <c r="CL19" s="30" t="str">
        <f aca="false">IF($A19="","",SUMIFS(approvals!$AQ$2:$AQ$251,approvals!$A$2:$A$251,$A19))</f>
        <v/>
      </c>
      <c r="CM19" s="30" t="str">
        <f aca="false">IF($A19="","",SUMIFS(approvals!$AR$2:$AR$251,approvals!$A$2:$A$251,$A19))</f>
        <v/>
      </c>
      <c r="CN19" s="30" t="str">
        <f aca="false">IF($A19="","",SUMIFS(approvals!$AS$2:$AS$251,approvals!$A$2:$A$251,$A19))</f>
        <v/>
      </c>
      <c r="CO19" s="30" t="str">
        <f aca="false">IF($A19="","",SUMIFS(approvals!$AT$2:$AT$251,approvals!$A$2:$A$251,$A19))</f>
        <v/>
      </c>
      <c r="CP19" s="33" t="str">
        <f aca="false">IF($A19="","",IF(N($CO19)=0,"",ROUND(SUMIFS(approvals!$AU$2:$AU$251,approvals!$A$2:$A$251,$A19)/$CO19,1)))</f>
        <v/>
      </c>
      <c r="CQ19" s="30" t="str">
        <f aca="false">IF($A19="","",SUMIFS(approvals!$AV$2:$AV$251,approvals!$A$2:$A$251,$A19))</f>
        <v/>
      </c>
      <c r="CR19" s="30" t="str">
        <f aca="false">IF($A19="","",SUMIFS(approvals!$AW$2:$AW$251,approvals!$A$2:$A$251,$A19))</f>
        <v/>
      </c>
      <c r="CS19" s="30" t="str">
        <f aca="false">IF($A19="","",SUMIFS(approvals!$AX$2:$AX$251,approvals!$A$2:$A$251,$A19))</f>
        <v/>
      </c>
      <c r="CT19" s="30" t="str">
        <f aca="false">IF($A19="","",SUMIFS(approvals!$AY$2:$AY$251,approvals!$A$2:$A$251,$A19))</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f>
        <v/>
      </c>
      <c r="CW19" s="30" t="str">
        <f aca="false">IF($A19="","",SUMIFS(approvals!$AN$2:$AN$251,approvals!$A$2:$A$251,$A19))</f>
        <v/>
      </c>
      <c r="CX19" s="30" t="str">
        <f aca="false">IF($A19="","",SUMIFS(approvals!$AO$2:$AO$251,approvals!$A$2:$A$251,$A19))</f>
        <v/>
      </c>
      <c r="CY19" s="30" t="str">
        <f aca="false">IF($A19="","",IF($CZ19="","",SUMIFS(redemptions!$C$2:$C$121,redemptions!$A$2:$A$121,$A19,redemptions!$B$2:$B$121,$CZ19)))</f>
        <v/>
      </c>
      <c r="CZ19" s="31" t="str">
        <f aca="false">IF($A19="","",IFERROR(1/(1/SUMPRODUCT(MAX((redemptions!$A$2:$A$121=$A19)*redemptions!$B$2:$B$121))),""))</f>
        <v/>
      </c>
      <c r="DA19" s="30" t="str">
        <f aca="false">IF($A19="","",IF(COUNTIFS(redemptions!$A$2:$A$121,$A19,redemptions!$H$2:$H$121,"Y")=0,"",SUMIFS(redemptions!$C$2:$C$121,redemptions!$A$2:$A$121,$A19,redemptions!$B$2:$B$121,SUMPRODUCT(MIN((redemptions!$A$2:$A$121=$A19)*(redemptions!$H$2:$H$121="Y")*redemptions!$B$2:$B$121+((redemptions!$A$2:$A$121&lt;&gt;$A19)+(redemptions!$H$2:$H$121&lt;&gt;"Y")&gt;0)*1000000)))))</f>
        <v/>
      </c>
      <c r="DB19" s="32" t="str">
        <f aca="false">IF($A19="","",SUMIFS(invoices!$E$2:$E$151,invoices!$B$2:$B$151,$A19))</f>
        <v/>
      </c>
      <c r="DC19" s="32" t="str">
        <f aca="false">IF($A19="","",IF(COUNTIFS(invoices!$B$2:$B$151,$A19,invoices!$C$2:$C$151,"standard_deposit",invoices!$H$2:$H$151,"&gt;0")=0,"",SUMIFS(invoices!$I$2:$I$151,invoices!$B$2:$B$151,$A19,invoices!$C$2:$C$151,"standard_deposit")))</f>
        <v/>
      </c>
      <c r="DD19" s="31" t="str">
        <f aca="false">IF($A19="","",IFERROR(1/(1/SUMPRODUCT(MAX((invoices!$B$2:$B$151=$A19)*(invoices!$C$2:$C$151="standard_deposit")*invoices!$H$2:$H$151))),""))</f>
        <v/>
      </c>
      <c r="DE19" s="31" t="str">
        <f aca="false">IF($A19="","",IFERROR(1/(1/SUMPRODUCT(MAX((invoices!$B$2:$B$151=$A19)*((invoices!$C$2:$C$151="founding_full")+(invoices!$C$2:$C$151="standard_balance"))*invoices!$H$2:$H$151))),""))</f>
        <v/>
      </c>
      <c r="DF19" s="32" t="str">
        <f aca="false">IF($A19="","",SUMIFS(invoices!$L$2:$L$151,invoices!$B$2:$B$151,$A19))</f>
        <v/>
      </c>
      <c r="DG19" s="32" t="str">
        <f aca="false">IF($A19="","",SUMIFS(costs!$E$2:$E$301,costs!$C$2:$C$301,$A19))</f>
        <v/>
      </c>
      <c r="DH19" s="32" t="str">
        <f aca="false">IF($A19="","",ROUND(IF(SUMIFS(campaigns!$BO$2:$BO$51,campaigns!$B$2:$B$51,$B19)=0,0,$BO19/SUMIFS(campaigns!$BO$2:$BO$51,campaigns!$B$2:$B$51,$B19))*(SUMIFS(costs!$E$2:$E$301,costs!$B$2:$B$301,$B19)-SUMPRODUCT((costs!$B$2:$B$301=$B19)*(LEN(costs!$C$2:$C$301)&gt;0)*costs!$E$2:$E$301)),2))</f>
        <v/>
      </c>
      <c r="DI19" s="33" t="str">
        <f aca="false">IF($A19="","",SUMIFS(hours!$E$2:$E$1501,hours!$C$2:$C$1501,$A19))</f>
        <v/>
      </c>
      <c r="DJ19" s="33" t="str">
        <f aca="false">IF($A19="","",ROUND(IF(SUMIFS(campaigns!$BO$2:$BO$51,campaigns!$B$2:$B$51,$B19)=0,0,$BO19/SUMIFS(campaigns!$BO$2:$BO$51,campaigns!$B$2:$B$51,$B19))*(SUMIFS(hours!$E$2:$E$1501,hours!$B$2:$B$1501,$B19)-SUMPRODUCT((hours!$B$2:$B$1501=$B19)*(LEN(hours!$C$2:$C$1501)&gt;0)*hours!$E$2:$E$1501)),2))</f>
        <v/>
      </c>
      <c r="DK19" s="32" t="str">
        <f aca="false">IF($A19="","",$DB19-$DF19-$DG19-$DH19)</f>
        <v/>
      </c>
      <c r="DL19" s="32" t="str">
        <f aca="false">IF($A19="","",IF(N($DI19)+N($DJ19)=0,"",ROUND($DK19/($DI19+$DJ19),2)))</f>
        <v/>
      </c>
      <c r="DM19" s="34" t="str">
        <f aca="false">IF($A19="","",IF(N($BP19)=0,"",COUNTIFS(approvals!$A$2:$A$251,$A19,approvals!$Q$2:$Q$251,"Y",approvals!$AK$2:$AK$251,"Y")/$BP19))</f>
        <v/>
      </c>
      <c r="DN19" s="33" t="str">
        <f aca="false">IF($A19="","",IF(COUNTIFS(approvals!$A$2:$A$251,$A19,approvals!$AC$2:$AC$251,"&gt;=0")=0,"",ROUND(SUMIFS(approvals!$AC$2:$AC$251,approvals!$A$2:$A$251,$A19)/COUNTIFS(approvals!$A$2:$A$251,$A19,approvals!$AC$2:$AC$251,"&gt;=0"),1)))</f>
        <v/>
      </c>
      <c r="DO19" s="31" t="str">
        <f aca="false">IF($A19="","",IFERROR(IF(INDEX(drops!$T$2:$T$21,MATCH($B19,drops!$A$2:$A$21,0))="","",INDEX(drops!$T$2:$T$21,MATCH($B19,drops!$A$2:$A$21,0))),""))</f>
        <v/>
      </c>
      <c r="DP19" s="31" t="str">
        <f aca="false">IF($A19="","",IFERROR(IF(INDEX(drops!$U$2:$U$21,MATCH($B19,drops!$A$2:$A$21,0))="","",INDEX(drops!$U$2:$U$21,MATCH($B19,drops!$A$2:$A$21,0))),""))</f>
        <v/>
      </c>
      <c r="DQ19" s="31" t="str">
        <f aca="false">IF($A19="","",IFERROR(IF(INDEX(drops!$W$2:$W$21,MATCH($B19,drops!$A$2:$A$21,0))="","",INDEX(drops!$W$2:$W$21,MATCH($B19,drops!$A$2:$A$21,0))),""))</f>
        <v/>
      </c>
      <c r="DR19" s="30" t="str">
        <f aca="false">IF($A19="","",IF($CE19="","",IF($CE19&gt;=config!$B$31,"pass","miss")))</f>
        <v/>
      </c>
      <c r="DS19" s="30" t="str">
        <f aca="false">IF($A19="","",IF($CI19="","",IF($CI19&gt;=config!$B$30,"pass","miss")))</f>
        <v/>
      </c>
      <c r="DT19" s="30" t="str">
        <f aca="true">IF($A19="","",IF($AT19="",IF($DO19="","",IF(IF(config!$B$37&lt;&gt;"",config!$B$37,TODAY())&gt;$DO19,"late","due")),IF($AT19&lt;=$DO19,"pass","late")))</f>
        <v/>
      </c>
      <c r="DU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","")&amp;IF($BZ19&lt;0,"reserve below zero: check inventory;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","")&amp;IF(AND($DA19="",$DQ19&lt;&gt;"",IF(config!$B$37&lt;&gt;"",config!$B$37,TODAY())&gt;$DQ19),"day-30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","")&amp;IF($DT19="late","report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f>
        <v/>
      </c>
      <c r="CL20" s="30" t="str">
        <f aca="false">IF($A20="","",SUMIFS(approvals!$AQ$2:$AQ$251,approvals!$A$2:$A$251,$A20))</f>
        <v/>
      </c>
      <c r="CM20" s="30" t="str">
        <f aca="false">IF($A20="","",SUMIFS(approvals!$AR$2:$AR$251,approvals!$A$2:$A$251,$A20))</f>
        <v/>
      </c>
      <c r="CN20" s="30" t="str">
        <f aca="false">IF($A20="","",SUMIFS(approvals!$AS$2:$AS$251,approvals!$A$2:$A$251,$A20))</f>
        <v/>
      </c>
      <c r="CO20" s="30" t="str">
        <f aca="false">IF($A20="","",SUMIFS(approvals!$AT$2:$AT$251,approvals!$A$2:$A$251,$A20))</f>
        <v/>
      </c>
      <c r="CP20" s="33" t="str">
        <f aca="false">IF($A20="","",IF(N($CO20)=0,"",ROUND(SUMIFS(approvals!$AU$2:$AU$251,approvals!$A$2:$A$251,$A20)/$CO20,1)))</f>
        <v/>
      </c>
      <c r="CQ20" s="30" t="str">
        <f aca="false">IF($A20="","",SUMIFS(approvals!$AV$2:$AV$251,approvals!$A$2:$A$251,$A20))</f>
        <v/>
      </c>
      <c r="CR20" s="30" t="str">
        <f aca="false">IF($A20="","",SUMIFS(approvals!$AW$2:$AW$251,approvals!$A$2:$A$251,$A20))</f>
        <v/>
      </c>
      <c r="CS20" s="30" t="str">
        <f aca="false">IF($A20="","",SUMIFS(approvals!$AX$2:$AX$251,approvals!$A$2:$A$251,$A20))</f>
        <v/>
      </c>
      <c r="CT20" s="30" t="str">
        <f aca="false">IF($A20="","",SUMIFS(approvals!$AY$2:$AY$251,approvals!$A$2:$A$251,$A20))</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f>
        <v/>
      </c>
      <c r="CW20" s="30" t="str">
        <f aca="false">IF($A20="","",SUMIFS(approvals!$AN$2:$AN$251,approvals!$A$2:$A$251,$A20))</f>
        <v/>
      </c>
      <c r="CX20" s="30" t="str">
        <f aca="false">IF($A20="","",SUMIFS(approvals!$AO$2:$AO$251,approvals!$A$2:$A$251,$A20))</f>
        <v/>
      </c>
      <c r="CY20" s="30" t="str">
        <f aca="false">IF($A20="","",IF($CZ20="","",SUMIFS(redemptions!$C$2:$C$121,redemptions!$A$2:$A$121,$A20,redemptions!$B$2:$B$121,$CZ20)))</f>
        <v/>
      </c>
      <c r="CZ20" s="31" t="str">
        <f aca="false">IF($A20="","",IFERROR(1/(1/SUMPRODUCT(MAX((redemptions!$A$2:$A$121=$A20)*redemptions!$B$2:$B$121))),""))</f>
        <v/>
      </c>
      <c r="DA20" s="30" t="str">
        <f aca="false">IF($A20="","",IF(COUNTIFS(redemptions!$A$2:$A$121,$A20,redemptions!$H$2:$H$121,"Y")=0,"",SUMIFS(redemptions!$C$2:$C$121,redemptions!$A$2:$A$121,$A20,redemptions!$B$2:$B$121,SUMPRODUCT(MIN((redemptions!$A$2:$A$121=$A20)*(redemptions!$H$2:$H$121="Y")*redemptions!$B$2:$B$121+((redemptions!$A$2:$A$121&lt;&gt;$A20)+(redemptions!$H$2:$H$121&lt;&gt;"Y")&gt;0)*1000000)))))</f>
        <v/>
      </c>
      <c r="DB20" s="32" t="str">
        <f aca="false">IF($A20="","",SUMIFS(invoices!$E$2:$E$151,invoices!$B$2:$B$151,$A20))</f>
        <v/>
      </c>
      <c r="DC20" s="32" t="str">
        <f aca="false">IF($A20="","",IF(COUNTIFS(invoices!$B$2:$B$151,$A20,invoices!$C$2:$C$151,"standard_deposit",invoices!$H$2:$H$151,"&gt;0")=0,"",SUMIFS(invoices!$I$2:$I$151,invoices!$B$2:$B$151,$A20,invoices!$C$2:$C$151,"standard_deposit")))</f>
        <v/>
      </c>
      <c r="DD20" s="31" t="str">
        <f aca="false">IF($A20="","",IFERROR(1/(1/SUMPRODUCT(MAX((invoices!$B$2:$B$151=$A20)*(invoices!$C$2:$C$151="standard_deposit")*invoices!$H$2:$H$151))),""))</f>
        <v/>
      </c>
      <c r="DE20" s="31" t="str">
        <f aca="false">IF($A20="","",IFERROR(1/(1/SUMPRODUCT(MAX((invoices!$B$2:$B$151=$A20)*((invoices!$C$2:$C$151="founding_full")+(invoices!$C$2:$C$151="standard_balance"))*invoices!$H$2:$H$151))),""))</f>
        <v/>
      </c>
      <c r="DF20" s="32" t="str">
        <f aca="false">IF($A20="","",SUMIFS(invoices!$L$2:$L$151,invoices!$B$2:$B$151,$A20))</f>
        <v/>
      </c>
      <c r="DG20" s="32" t="str">
        <f aca="false">IF($A20="","",SUMIFS(costs!$E$2:$E$301,costs!$C$2:$C$301,$A20))</f>
        <v/>
      </c>
      <c r="DH20" s="32" t="str">
        <f aca="false">IF($A20="","",ROUND(IF(SUMIFS(campaigns!$BO$2:$BO$51,campaigns!$B$2:$B$51,$B20)=0,0,$BO20/SUMIFS(campaigns!$BO$2:$BO$51,campaigns!$B$2:$B$51,$B20))*(SUMIFS(costs!$E$2:$E$301,costs!$B$2:$B$301,$B20)-SUMPRODUCT((costs!$B$2:$B$301=$B20)*(LEN(costs!$C$2:$C$301)&gt;0)*costs!$E$2:$E$301)),2))</f>
        <v/>
      </c>
      <c r="DI20" s="33" t="str">
        <f aca="false">IF($A20="","",SUMIFS(hours!$E$2:$E$1501,hours!$C$2:$C$1501,$A20))</f>
        <v/>
      </c>
      <c r="DJ20" s="33" t="str">
        <f aca="false">IF($A20="","",ROUND(IF(SUMIFS(campaigns!$BO$2:$BO$51,campaigns!$B$2:$B$51,$B20)=0,0,$BO20/SUMIFS(campaigns!$BO$2:$BO$51,campaigns!$B$2:$B$51,$B20))*(SUMIFS(hours!$E$2:$E$1501,hours!$B$2:$B$1501,$B20)-SUMPRODUCT((hours!$B$2:$B$1501=$B20)*(LEN(hours!$C$2:$C$1501)&gt;0)*hours!$E$2:$E$1501)),2))</f>
        <v/>
      </c>
      <c r="DK20" s="32" t="str">
        <f aca="false">IF($A20="","",$DB20-$DF20-$DG20-$DH20)</f>
        <v/>
      </c>
      <c r="DL20" s="32" t="str">
        <f aca="false">IF($A20="","",IF(N($DI20)+N($DJ20)=0,"",ROUND($DK20/($DI20+$DJ20),2)))</f>
        <v/>
      </c>
      <c r="DM20" s="34" t="str">
        <f aca="false">IF($A20="","",IF(N($BP20)=0,"",COUNTIFS(approvals!$A$2:$A$251,$A20,approvals!$Q$2:$Q$251,"Y",approvals!$AK$2:$AK$251,"Y")/$BP20))</f>
        <v/>
      </c>
      <c r="DN20" s="33" t="str">
        <f aca="false">IF($A20="","",IF(COUNTIFS(approvals!$A$2:$A$251,$A20,approvals!$AC$2:$AC$251,"&gt;=0")=0,"",ROUND(SUMIFS(approvals!$AC$2:$AC$251,approvals!$A$2:$A$251,$A20)/COUNTIFS(approvals!$A$2:$A$251,$A20,approvals!$AC$2:$AC$251,"&gt;=0"),1)))</f>
        <v/>
      </c>
      <c r="DO20" s="31" t="str">
        <f aca="false">IF($A20="","",IFERROR(IF(INDEX(drops!$T$2:$T$21,MATCH($B20,drops!$A$2:$A$21,0))="","",INDEX(drops!$T$2:$T$21,MATCH($B20,drops!$A$2:$A$21,0))),""))</f>
        <v/>
      </c>
      <c r="DP20" s="31" t="str">
        <f aca="false">IF($A20="","",IFERROR(IF(INDEX(drops!$U$2:$U$21,MATCH($B20,drops!$A$2:$A$21,0))="","",INDEX(drops!$U$2:$U$21,MATCH($B20,drops!$A$2:$A$21,0))),""))</f>
        <v/>
      </c>
      <c r="DQ20" s="31" t="str">
        <f aca="false">IF($A20="","",IFERROR(IF(INDEX(drops!$W$2:$W$21,MATCH($B20,drops!$A$2:$A$21,0))="","",INDEX(drops!$W$2:$W$21,MATCH($B20,drops!$A$2:$A$21,0))),""))</f>
        <v/>
      </c>
      <c r="DR20" s="30" t="str">
        <f aca="false">IF($A20="","",IF($CE20="","",IF($CE20&gt;=config!$B$31,"pass","miss")))</f>
        <v/>
      </c>
      <c r="DS20" s="30" t="str">
        <f aca="false">IF($A20="","",IF($CI20="","",IF($CI20&gt;=config!$B$30,"pass","miss")))</f>
        <v/>
      </c>
      <c r="DT20" s="30" t="str">
        <f aca="true">IF($A20="","",IF($AT20="",IF($DO20="","",IF(IF(config!$B$37&lt;&gt;"",config!$B$37,TODAY())&gt;$DO20,"late","due")),IF($AT20&lt;=$DO20,"pass","late")))</f>
        <v/>
      </c>
      <c r="DU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","")&amp;IF($BZ20&lt;0,"reserve below zero: check inventory;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","")&amp;IF(AND($DA20="",$DQ20&lt;&gt;"",IF(config!$B$37&lt;&gt;"",config!$B$37,TODAY())&gt;$DQ20),"day-30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","")&amp;IF($DT20="late","report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f>
        <v/>
      </c>
      <c r="CL21" s="30" t="str">
        <f aca="false">IF($A21="","",SUMIFS(approvals!$AQ$2:$AQ$251,approvals!$A$2:$A$251,$A21))</f>
        <v/>
      </c>
      <c r="CM21" s="30" t="str">
        <f aca="false">IF($A21="","",SUMIFS(approvals!$AR$2:$AR$251,approvals!$A$2:$A$251,$A21))</f>
        <v/>
      </c>
      <c r="CN21" s="30" t="str">
        <f aca="false">IF($A21="","",SUMIFS(approvals!$AS$2:$AS$251,approvals!$A$2:$A$251,$A21))</f>
        <v/>
      </c>
      <c r="CO21" s="30" t="str">
        <f aca="false">IF($A21="","",SUMIFS(approvals!$AT$2:$AT$251,approvals!$A$2:$A$251,$A21))</f>
        <v/>
      </c>
      <c r="CP21" s="33" t="str">
        <f aca="false">IF($A21="","",IF(N($CO21)=0,"",ROUND(SUMIFS(approvals!$AU$2:$AU$251,approvals!$A$2:$A$251,$A21)/$CO21,1)))</f>
        <v/>
      </c>
      <c r="CQ21" s="30" t="str">
        <f aca="false">IF($A21="","",SUMIFS(approvals!$AV$2:$AV$251,approvals!$A$2:$A$251,$A21))</f>
        <v/>
      </c>
      <c r="CR21" s="30" t="str">
        <f aca="false">IF($A21="","",SUMIFS(approvals!$AW$2:$AW$251,approvals!$A$2:$A$251,$A21))</f>
        <v/>
      </c>
      <c r="CS21" s="30" t="str">
        <f aca="false">IF($A21="","",SUMIFS(approvals!$AX$2:$AX$251,approvals!$A$2:$A$251,$A21))</f>
        <v/>
      </c>
      <c r="CT21" s="30" t="str">
        <f aca="false">IF($A21="","",SUMIFS(approvals!$AY$2:$AY$251,approvals!$A$2:$A$251,$A21))</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f>
        <v/>
      </c>
      <c r="CW21" s="30" t="str">
        <f aca="false">IF($A21="","",SUMIFS(approvals!$AN$2:$AN$251,approvals!$A$2:$A$251,$A21))</f>
        <v/>
      </c>
      <c r="CX21" s="30" t="str">
        <f aca="false">IF($A21="","",SUMIFS(approvals!$AO$2:$AO$251,approvals!$A$2:$A$251,$A21))</f>
        <v/>
      </c>
      <c r="CY21" s="30" t="str">
        <f aca="false">IF($A21="","",IF($CZ21="","",SUMIFS(redemptions!$C$2:$C$121,redemptions!$A$2:$A$121,$A21,redemptions!$B$2:$B$121,$CZ21)))</f>
        <v/>
      </c>
      <c r="CZ21" s="31" t="str">
        <f aca="false">IF($A21="","",IFERROR(1/(1/SUMPRODUCT(MAX((redemptions!$A$2:$A$121=$A21)*redemptions!$B$2:$B$121))),""))</f>
        <v/>
      </c>
      <c r="DA21" s="30" t="str">
        <f aca="false">IF($A21="","",IF(COUNTIFS(redemptions!$A$2:$A$121,$A21,redemptions!$H$2:$H$121,"Y")=0,"",SUMIFS(redemptions!$C$2:$C$121,redemptions!$A$2:$A$121,$A21,redemptions!$B$2:$B$121,SUMPRODUCT(MIN((redemptions!$A$2:$A$121=$A21)*(redemptions!$H$2:$H$121="Y")*redemptions!$B$2:$B$121+((redemptions!$A$2:$A$121&lt;&gt;$A21)+(redemptions!$H$2:$H$121&lt;&gt;"Y")&gt;0)*1000000)))))</f>
        <v/>
      </c>
      <c r="DB21" s="32" t="str">
        <f aca="false">IF($A21="","",SUMIFS(invoices!$E$2:$E$151,invoices!$B$2:$B$151,$A21))</f>
        <v/>
      </c>
      <c r="DC21" s="32" t="str">
        <f aca="false">IF($A21="","",IF(COUNTIFS(invoices!$B$2:$B$151,$A21,invoices!$C$2:$C$151,"standard_deposit",invoices!$H$2:$H$151,"&gt;0")=0,"",SUMIFS(invoices!$I$2:$I$151,invoices!$B$2:$B$151,$A21,invoices!$C$2:$C$151,"standard_deposit")))</f>
        <v/>
      </c>
      <c r="DD21" s="31" t="str">
        <f aca="false">IF($A21="","",IFERROR(1/(1/SUMPRODUCT(MAX((invoices!$B$2:$B$151=$A21)*(invoices!$C$2:$C$151="standard_deposit")*invoices!$H$2:$H$151))),""))</f>
        <v/>
      </c>
      <c r="DE21" s="31" t="str">
        <f aca="false">IF($A21="","",IFERROR(1/(1/SUMPRODUCT(MAX((invoices!$B$2:$B$151=$A21)*((invoices!$C$2:$C$151="founding_full")+(invoices!$C$2:$C$151="standard_balance"))*invoices!$H$2:$H$151))),""))</f>
        <v/>
      </c>
      <c r="DF21" s="32" t="str">
        <f aca="false">IF($A21="","",SUMIFS(invoices!$L$2:$L$151,invoices!$B$2:$B$151,$A21))</f>
        <v/>
      </c>
      <c r="DG21" s="32" t="str">
        <f aca="false">IF($A21="","",SUMIFS(costs!$E$2:$E$301,costs!$C$2:$C$301,$A21))</f>
        <v/>
      </c>
      <c r="DH21" s="32" t="str">
        <f aca="false">IF($A21="","",ROUND(IF(SUMIFS(campaigns!$BO$2:$BO$51,campaigns!$B$2:$B$51,$B21)=0,0,$BO21/SUMIFS(campaigns!$BO$2:$BO$51,campaigns!$B$2:$B$51,$B21))*(SUMIFS(costs!$E$2:$E$301,costs!$B$2:$B$301,$B21)-SUMPRODUCT((costs!$B$2:$B$301=$B21)*(LEN(costs!$C$2:$C$301)&gt;0)*costs!$E$2:$E$301)),2))</f>
        <v/>
      </c>
      <c r="DI21" s="33" t="str">
        <f aca="false">IF($A21="","",SUMIFS(hours!$E$2:$E$1501,hours!$C$2:$C$1501,$A21))</f>
        <v/>
      </c>
      <c r="DJ21" s="33" t="str">
        <f aca="false">IF($A21="","",ROUND(IF(SUMIFS(campaigns!$BO$2:$BO$51,campaigns!$B$2:$B$51,$B21)=0,0,$BO21/SUMIFS(campaigns!$BO$2:$BO$51,campaigns!$B$2:$B$51,$B21))*(SUMIFS(hours!$E$2:$E$1501,hours!$B$2:$B$1501,$B21)-SUMPRODUCT((hours!$B$2:$B$1501=$B21)*(LEN(hours!$C$2:$C$1501)&gt;0)*hours!$E$2:$E$1501)),2))</f>
        <v/>
      </c>
      <c r="DK21" s="32" t="str">
        <f aca="false">IF($A21="","",$DB21-$DF21-$DG21-$DH21)</f>
        <v/>
      </c>
      <c r="DL21" s="32" t="str">
        <f aca="false">IF($A21="","",IF(N($DI21)+N($DJ21)=0,"",ROUND($DK21/($DI21+$DJ21),2)))</f>
        <v/>
      </c>
      <c r="DM21" s="34" t="str">
        <f aca="false">IF($A21="","",IF(N($BP21)=0,"",COUNTIFS(approvals!$A$2:$A$251,$A21,approvals!$Q$2:$Q$251,"Y",approvals!$AK$2:$AK$251,"Y")/$BP21))</f>
        <v/>
      </c>
      <c r="DN21" s="33" t="str">
        <f aca="false">IF($A21="","",IF(COUNTIFS(approvals!$A$2:$A$251,$A21,approvals!$AC$2:$AC$251,"&gt;=0")=0,"",ROUND(SUMIFS(approvals!$AC$2:$AC$251,approvals!$A$2:$A$251,$A21)/COUNTIFS(approvals!$A$2:$A$251,$A21,approvals!$AC$2:$AC$251,"&gt;=0"),1)))</f>
        <v/>
      </c>
      <c r="DO21" s="31" t="str">
        <f aca="false">IF($A21="","",IFERROR(IF(INDEX(drops!$T$2:$T$21,MATCH($B21,drops!$A$2:$A$21,0))="","",INDEX(drops!$T$2:$T$21,MATCH($B21,drops!$A$2:$A$21,0))),""))</f>
        <v/>
      </c>
      <c r="DP21" s="31" t="str">
        <f aca="false">IF($A21="","",IFERROR(IF(INDEX(drops!$U$2:$U$21,MATCH($B21,drops!$A$2:$A$21,0))="","",INDEX(drops!$U$2:$U$21,MATCH($B21,drops!$A$2:$A$21,0))),""))</f>
        <v/>
      </c>
      <c r="DQ21" s="31" t="str">
        <f aca="false">IF($A21="","",IFERROR(IF(INDEX(drops!$W$2:$W$21,MATCH($B21,drops!$A$2:$A$21,0))="","",INDEX(drops!$W$2:$W$21,MATCH($B21,drops!$A$2:$A$21,0))),""))</f>
        <v/>
      </c>
      <c r="DR21" s="30" t="str">
        <f aca="false">IF($A21="","",IF($CE21="","",IF($CE21&gt;=config!$B$31,"pass","miss")))</f>
        <v/>
      </c>
      <c r="DS21" s="30" t="str">
        <f aca="false">IF($A21="","",IF($CI21="","",IF($CI21&gt;=config!$B$30,"pass","miss")))</f>
        <v/>
      </c>
      <c r="DT21" s="30" t="str">
        <f aca="true">IF($A21="","",IF($AT21="",IF($DO21="","",IF(IF(config!$B$37&lt;&gt;"",config!$B$37,TODAY())&gt;$DO21,"late","due")),IF($AT21&lt;=$DO21,"pass","late")))</f>
        <v/>
      </c>
      <c r="DU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","")&amp;IF($BZ21&lt;0,"reserve below zero: check inventory;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","")&amp;IF(AND($DA21="",$DQ21&lt;&gt;"",IF(config!$B$37&lt;&gt;"",config!$B$37,TODAY())&gt;$DQ21),"day-30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","")&amp;IF($DT21="late","report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f>
        <v/>
      </c>
      <c r="CL22" s="30" t="str">
        <f aca="false">IF($A22="","",SUMIFS(approvals!$AQ$2:$AQ$251,approvals!$A$2:$A$251,$A22))</f>
        <v/>
      </c>
      <c r="CM22" s="30" t="str">
        <f aca="false">IF($A22="","",SUMIFS(approvals!$AR$2:$AR$251,approvals!$A$2:$A$251,$A22))</f>
        <v/>
      </c>
      <c r="CN22" s="30" t="str">
        <f aca="false">IF($A22="","",SUMIFS(approvals!$AS$2:$AS$251,approvals!$A$2:$A$251,$A22))</f>
        <v/>
      </c>
      <c r="CO22" s="30" t="str">
        <f aca="false">IF($A22="","",SUMIFS(approvals!$AT$2:$AT$251,approvals!$A$2:$A$251,$A22))</f>
        <v/>
      </c>
      <c r="CP22" s="33" t="str">
        <f aca="false">IF($A22="","",IF(N($CO22)=0,"",ROUND(SUMIFS(approvals!$AU$2:$AU$251,approvals!$A$2:$A$251,$A22)/$CO22,1)))</f>
        <v/>
      </c>
      <c r="CQ22" s="30" t="str">
        <f aca="false">IF($A22="","",SUMIFS(approvals!$AV$2:$AV$251,approvals!$A$2:$A$251,$A22))</f>
        <v/>
      </c>
      <c r="CR22" s="30" t="str">
        <f aca="false">IF($A22="","",SUMIFS(approvals!$AW$2:$AW$251,approvals!$A$2:$A$251,$A22))</f>
        <v/>
      </c>
      <c r="CS22" s="30" t="str">
        <f aca="false">IF($A22="","",SUMIFS(approvals!$AX$2:$AX$251,approvals!$A$2:$A$251,$A22))</f>
        <v/>
      </c>
      <c r="CT22" s="30" t="str">
        <f aca="false">IF($A22="","",SUMIFS(approvals!$AY$2:$AY$251,approvals!$A$2:$A$251,$A22))</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f>
        <v/>
      </c>
      <c r="CW22" s="30" t="str">
        <f aca="false">IF($A22="","",SUMIFS(approvals!$AN$2:$AN$251,approvals!$A$2:$A$251,$A22))</f>
        <v/>
      </c>
      <c r="CX22" s="30" t="str">
        <f aca="false">IF($A22="","",SUMIFS(approvals!$AO$2:$AO$251,approvals!$A$2:$A$251,$A22))</f>
        <v/>
      </c>
      <c r="CY22" s="30" t="str">
        <f aca="false">IF($A22="","",IF($CZ22="","",SUMIFS(redemptions!$C$2:$C$121,redemptions!$A$2:$A$121,$A22,redemptions!$B$2:$B$121,$CZ22)))</f>
        <v/>
      </c>
      <c r="CZ22" s="31" t="str">
        <f aca="false">IF($A22="","",IFERROR(1/(1/SUMPRODUCT(MAX((redemptions!$A$2:$A$121=$A22)*redemptions!$B$2:$B$121))),""))</f>
        <v/>
      </c>
      <c r="DA22" s="30" t="str">
        <f aca="false">IF($A22="","",IF(COUNTIFS(redemptions!$A$2:$A$121,$A22,redemptions!$H$2:$H$121,"Y")=0,"",SUMIFS(redemptions!$C$2:$C$121,redemptions!$A$2:$A$121,$A22,redemptions!$B$2:$B$121,SUMPRODUCT(MIN((redemptions!$A$2:$A$121=$A22)*(redemptions!$H$2:$H$121="Y")*redemptions!$B$2:$B$121+((redemptions!$A$2:$A$121&lt;&gt;$A22)+(redemptions!$H$2:$H$121&lt;&gt;"Y")&gt;0)*1000000)))))</f>
        <v/>
      </c>
      <c r="DB22" s="32" t="str">
        <f aca="false">IF($A22="","",SUMIFS(invoices!$E$2:$E$151,invoices!$B$2:$B$151,$A22))</f>
        <v/>
      </c>
      <c r="DC22" s="32" t="str">
        <f aca="false">IF($A22="","",IF(COUNTIFS(invoices!$B$2:$B$151,$A22,invoices!$C$2:$C$151,"standard_deposit",invoices!$H$2:$H$151,"&gt;0")=0,"",SUMIFS(invoices!$I$2:$I$151,invoices!$B$2:$B$151,$A22,invoices!$C$2:$C$151,"standard_deposit")))</f>
        <v/>
      </c>
      <c r="DD22" s="31" t="str">
        <f aca="false">IF($A22="","",IFERROR(1/(1/SUMPRODUCT(MAX((invoices!$B$2:$B$151=$A22)*(invoices!$C$2:$C$151="standard_deposit")*invoices!$H$2:$H$151))),""))</f>
        <v/>
      </c>
      <c r="DE22" s="31" t="str">
        <f aca="false">IF($A22="","",IFERROR(1/(1/SUMPRODUCT(MAX((invoices!$B$2:$B$151=$A22)*((invoices!$C$2:$C$151="founding_full")+(invoices!$C$2:$C$151="standard_balance"))*invoices!$H$2:$H$151))),""))</f>
        <v/>
      </c>
      <c r="DF22" s="32" t="str">
        <f aca="false">IF($A22="","",SUMIFS(invoices!$L$2:$L$151,invoices!$B$2:$B$151,$A22))</f>
        <v/>
      </c>
      <c r="DG22" s="32" t="str">
        <f aca="false">IF($A22="","",SUMIFS(costs!$E$2:$E$301,costs!$C$2:$C$301,$A22))</f>
        <v/>
      </c>
      <c r="DH22" s="32" t="str">
        <f aca="false">IF($A22="","",ROUND(IF(SUMIFS(campaigns!$BO$2:$BO$51,campaigns!$B$2:$B$51,$B22)=0,0,$BO22/SUMIFS(campaigns!$BO$2:$BO$51,campaigns!$B$2:$B$51,$B22))*(SUMIFS(costs!$E$2:$E$301,costs!$B$2:$B$301,$B22)-SUMPRODUCT((costs!$B$2:$B$301=$B22)*(LEN(costs!$C$2:$C$301)&gt;0)*costs!$E$2:$E$301)),2))</f>
        <v/>
      </c>
      <c r="DI22" s="33" t="str">
        <f aca="false">IF($A22="","",SUMIFS(hours!$E$2:$E$1501,hours!$C$2:$C$1501,$A22))</f>
        <v/>
      </c>
      <c r="DJ22" s="33" t="str">
        <f aca="false">IF($A22="","",ROUND(IF(SUMIFS(campaigns!$BO$2:$BO$51,campaigns!$B$2:$B$51,$B22)=0,0,$BO22/SUMIFS(campaigns!$BO$2:$BO$51,campaigns!$B$2:$B$51,$B22))*(SUMIFS(hours!$E$2:$E$1501,hours!$B$2:$B$1501,$B22)-SUMPRODUCT((hours!$B$2:$B$1501=$B22)*(LEN(hours!$C$2:$C$1501)&gt;0)*hours!$E$2:$E$1501)),2))</f>
        <v/>
      </c>
      <c r="DK22" s="32" t="str">
        <f aca="false">IF($A22="","",$DB22-$DF22-$DG22-$DH22)</f>
        <v/>
      </c>
      <c r="DL22" s="32" t="str">
        <f aca="false">IF($A22="","",IF(N($DI22)+N($DJ22)=0,"",ROUND($DK22/($DI22+$DJ22),2)))</f>
        <v/>
      </c>
      <c r="DM22" s="34" t="str">
        <f aca="false">IF($A22="","",IF(N($BP22)=0,"",COUNTIFS(approvals!$A$2:$A$251,$A22,approvals!$Q$2:$Q$251,"Y",approvals!$AK$2:$AK$251,"Y")/$BP22))</f>
        <v/>
      </c>
      <c r="DN22" s="33" t="str">
        <f aca="false">IF($A22="","",IF(COUNTIFS(approvals!$A$2:$A$251,$A22,approvals!$AC$2:$AC$251,"&gt;=0")=0,"",ROUND(SUMIFS(approvals!$AC$2:$AC$251,approvals!$A$2:$A$251,$A22)/COUNTIFS(approvals!$A$2:$A$251,$A22,approvals!$AC$2:$AC$251,"&gt;=0"),1)))</f>
        <v/>
      </c>
      <c r="DO22" s="31" t="str">
        <f aca="false">IF($A22="","",IFERROR(IF(INDEX(drops!$T$2:$T$21,MATCH($B22,drops!$A$2:$A$21,0))="","",INDEX(drops!$T$2:$T$21,MATCH($B22,drops!$A$2:$A$21,0))),""))</f>
        <v/>
      </c>
      <c r="DP22" s="31" t="str">
        <f aca="false">IF($A22="","",IFERROR(IF(INDEX(drops!$U$2:$U$21,MATCH($B22,drops!$A$2:$A$21,0))="","",INDEX(drops!$U$2:$U$21,MATCH($B22,drops!$A$2:$A$21,0))),""))</f>
        <v/>
      </c>
      <c r="DQ22" s="31" t="str">
        <f aca="false">IF($A22="","",IFERROR(IF(INDEX(drops!$W$2:$W$21,MATCH($B22,drops!$A$2:$A$21,0))="","",INDEX(drops!$W$2:$W$21,MATCH($B22,drops!$A$2:$A$21,0))),""))</f>
        <v/>
      </c>
      <c r="DR22" s="30" t="str">
        <f aca="false">IF($A22="","",IF($CE22="","",IF($CE22&gt;=config!$B$31,"pass","miss")))</f>
        <v/>
      </c>
      <c r="DS22" s="30" t="str">
        <f aca="false">IF($A22="","",IF($CI22="","",IF($CI22&gt;=config!$B$30,"pass","miss")))</f>
        <v/>
      </c>
      <c r="DT22" s="30" t="str">
        <f aca="true">IF($A22="","",IF($AT22="",IF($DO22="","",IF(IF(config!$B$37&lt;&gt;"",config!$B$37,TODAY())&gt;$DO22,"late","due")),IF($AT22&lt;=$DO22,"pass","late")))</f>
        <v/>
      </c>
      <c r="DU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","")&amp;IF($BZ22&lt;0,"reserve below zero: check inventory;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","")&amp;IF(AND($DA22="",$DQ22&lt;&gt;"",IF(config!$B$37&lt;&gt;"",config!$B$37,TODAY())&gt;$DQ22),"day-30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","")&amp;IF($DT22="late","report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f>
        <v/>
      </c>
      <c r="CL23" s="30" t="str">
        <f aca="false">IF($A23="","",SUMIFS(approvals!$AQ$2:$AQ$251,approvals!$A$2:$A$251,$A23))</f>
        <v/>
      </c>
      <c r="CM23" s="30" t="str">
        <f aca="false">IF($A23="","",SUMIFS(approvals!$AR$2:$AR$251,approvals!$A$2:$A$251,$A23))</f>
        <v/>
      </c>
      <c r="CN23" s="30" t="str">
        <f aca="false">IF($A23="","",SUMIFS(approvals!$AS$2:$AS$251,approvals!$A$2:$A$251,$A23))</f>
        <v/>
      </c>
      <c r="CO23" s="30" t="str">
        <f aca="false">IF($A23="","",SUMIFS(approvals!$AT$2:$AT$251,approvals!$A$2:$A$251,$A23))</f>
        <v/>
      </c>
      <c r="CP23" s="33" t="str">
        <f aca="false">IF($A23="","",IF(N($CO23)=0,"",ROUND(SUMIFS(approvals!$AU$2:$AU$251,approvals!$A$2:$A$251,$A23)/$CO23,1)))</f>
        <v/>
      </c>
      <c r="CQ23" s="30" t="str">
        <f aca="false">IF($A23="","",SUMIFS(approvals!$AV$2:$AV$251,approvals!$A$2:$A$251,$A23))</f>
        <v/>
      </c>
      <c r="CR23" s="30" t="str">
        <f aca="false">IF($A23="","",SUMIFS(approvals!$AW$2:$AW$251,approvals!$A$2:$A$251,$A23))</f>
        <v/>
      </c>
      <c r="CS23" s="30" t="str">
        <f aca="false">IF($A23="","",SUMIFS(approvals!$AX$2:$AX$251,approvals!$A$2:$A$251,$A23))</f>
        <v/>
      </c>
      <c r="CT23" s="30" t="str">
        <f aca="false">IF($A23="","",SUMIFS(approvals!$AY$2:$AY$251,approvals!$A$2:$A$251,$A23))</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f>
        <v/>
      </c>
      <c r="CW23" s="30" t="str">
        <f aca="false">IF($A23="","",SUMIFS(approvals!$AN$2:$AN$251,approvals!$A$2:$A$251,$A23))</f>
        <v/>
      </c>
      <c r="CX23" s="30" t="str">
        <f aca="false">IF($A23="","",SUMIFS(approvals!$AO$2:$AO$251,approvals!$A$2:$A$251,$A23))</f>
        <v/>
      </c>
      <c r="CY23" s="30" t="str">
        <f aca="false">IF($A23="","",IF($CZ23="","",SUMIFS(redemptions!$C$2:$C$121,redemptions!$A$2:$A$121,$A23,redemptions!$B$2:$B$121,$CZ23)))</f>
        <v/>
      </c>
      <c r="CZ23" s="31" t="str">
        <f aca="false">IF($A23="","",IFERROR(1/(1/SUMPRODUCT(MAX((redemptions!$A$2:$A$121=$A23)*redemptions!$B$2:$B$121))),""))</f>
        <v/>
      </c>
      <c r="DA23" s="30" t="str">
        <f aca="false">IF($A23="","",IF(COUNTIFS(redemptions!$A$2:$A$121,$A23,redemptions!$H$2:$H$121,"Y")=0,"",SUMIFS(redemptions!$C$2:$C$121,redemptions!$A$2:$A$121,$A23,redemptions!$B$2:$B$121,SUMPRODUCT(MIN((redemptions!$A$2:$A$121=$A23)*(redemptions!$H$2:$H$121="Y")*redemptions!$B$2:$B$121+((redemptions!$A$2:$A$121&lt;&gt;$A23)+(redemptions!$H$2:$H$121&lt;&gt;"Y")&gt;0)*1000000)))))</f>
        <v/>
      </c>
      <c r="DB23" s="32" t="str">
        <f aca="false">IF($A23="","",SUMIFS(invoices!$E$2:$E$151,invoices!$B$2:$B$151,$A23))</f>
        <v/>
      </c>
      <c r="DC23" s="32" t="str">
        <f aca="false">IF($A23="","",IF(COUNTIFS(invoices!$B$2:$B$151,$A23,invoices!$C$2:$C$151,"standard_deposit",invoices!$H$2:$H$151,"&gt;0")=0,"",SUMIFS(invoices!$I$2:$I$151,invoices!$B$2:$B$151,$A23,invoices!$C$2:$C$151,"standard_deposit")))</f>
        <v/>
      </c>
      <c r="DD23" s="31" t="str">
        <f aca="false">IF($A23="","",IFERROR(1/(1/SUMPRODUCT(MAX((invoices!$B$2:$B$151=$A23)*(invoices!$C$2:$C$151="standard_deposit")*invoices!$H$2:$H$151))),""))</f>
        <v/>
      </c>
      <c r="DE23" s="31" t="str">
        <f aca="false">IF($A23="","",IFERROR(1/(1/SUMPRODUCT(MAX((invoices!$B$2:$B$151=$A23)*((invoices!$C$2:$C$151="founding_full")+(invoices!$C$2:$C$151="standard_balance"))*invoices!$H$2:$H$151))),""))</f>
        <v/>
      </c>
      <c r="DF23" s="32" t="str">
        <f aca="false">IF($A23="","",SUMIFS(invoices!$L$2:$L$151,invoices!$B$2:$B$151,$A23))</f>
        <v/>
      </c>
      <c r="DG23" s="32" t="str">
        <f aca="false">IF($A23="","",SUMIFS(costs!$E$2:$E$301,costs!$C$2:$C$301,$A23))</f>
        <v/>
      </c>
      <c r="DH23" s="32" t="str">
        <f aca="false">IF($A23="","",ROUND(IF(SUMIFS(campaigns!$BO$2:$BO$51,campaigns!$B$2:$B$51,$B23)=0,0,$BO23/SUMIFS(campaigns!$BO$2:$BO$51,campaigns!$B$2:$B$51,$B23))*(SUMIFS(costs!$E$2:$E$301,costs!$B$2:$B$301,$B23)-SUMPRODUCT((costs!$B$2:$B$301=$B23)*(LEN(costs!$C$2:$C$301)&gt;0)*costs!$E$2:$E$301)),2))</f>
        <v/>
      </c>
      <c r="DI23" s="33" t="str">
        <f aca="false">IF($A23="","",SUMIFS(hours!$E$2:$E$1501,hours!$C$2:$C$1501,$A23))</f>
        <v/>
      </c>
      <c r="DJ23" s="33" t="str">
        <f aca="false">IF($A23="","",ROUND(IF(SUMIFS(campaigns!$BO$2:$BO$51,campaigns!$B$2:$B$51,$B23)=0,0,$BO23/SUMIFS(campaigns!$BO$2:$BO$51,campaigns!$B$2:$B$51,$B23))*(SUMIFS(hours!$E$2:$E$1501,hours!$B$2:$B$1501,$B23)-SUMPRODUCT((hours!$B$2:$B$1501=$B23)*(LEN(hours!$C$2:$C$1501)&gt;0)*hours!$E$2:$E$1501)),2))</f>
        <v/>
      </c>
      <c r="DK23" s="32" t="str">
        <f aca="false">IF($A23="","",$DB23-$DF23-$DG23-$DH23)</f>
        <v/>
      </c>
      <c r="DL23" s="32" t="str">
        <f aca="false">IF($A23="","",IF(N($DI23)+N($DJ23)=0,"",ROUND($DK23/($DI23+$DJ23),2)))</f>
        <v/>
      </c>
      <c r="DM23" s="34" t="str">
        <f aca="false">IF($A23="","",IF(N($BP23)=0,"",COUNTIFS(approvals!$A$2:$A$251,$A23,approvals!$Q$2:$Q$251,"Y",approvals!$AK$2:$AK$251,"Y")/$BP23))</f>
        <v/>
      </c>
      <c r="DN23" s="33" t="str">
        <f aca="false">IF($A23="","",IF(COUNTIFS(approvals!$A$2:$A$251,$A23,approvals!$AC$2:$AC$251,"&gt;=0")=0,"",ROUND(SUMIFS(approvals!$AC$2:$AC$251,approvals!$A$2:$A$251,$A23)/COUNTIFS(approvals!$A$2:$A$251,$A23,approvals!$AC$2:$AC$251,"&gt;=0"),1)))</f>
        <v/>
      </c>
      <c r="DO23" s="31" t="str">
        <f aca="false">IF($A23="","",IFERROR(IF(INDEX(drops!$T$2:$T$21,MATCH($B23,drops!$A$2:$A$21,0))="","",INDEX(drops!$T$2:$T$21,MATCH($B23,drops!$A$2:$A$21,0))),""))</f>
        <v/>
      </c>
      <c r="DP23" s="31" t="str">
        <f aca="false">IF($A23="","",IFERROR(IF(INDEX(drops!$U$2:$U$21,MATCH($B23,drops!$A$2:$A$21,0))="","",INDEX(drops!$U$2:$U$21,MATCH($B23,drops!$A$2:$A$21,0))),""))</f>
        <v/>
      </c>
      <c r="DQ23" s="31" t="str">
        <f aca="false">IF($A23="","",IFERROR(IF(INDEX(drops!$W$2:$W$21,MATCH($B23,drops!$A$2:$A$21,0))="","",INDEX(drops!$W$2:$W$21,MATCH($B23,drops!$A$2:$A$21,0))),""))</f>
        <v/>
      </c>
      <c r="DR23" s="30" t="str">
        <f aca="false">IF($A23="","",IF($CE23="","",IF($CE23&gt;=config!$B$31,"pass","miss")))</f>
        <v/>
      </c>
      <c r="DS23" s="30" t="str">
        <f aca="false">IF($A23="","",IF($CI23="","",IF($CI23&gt;=config!$B$30,"pass","miss")))</f>
        <v/>
      </c>
      <c r="DT23" s="30" t="str">
        <f aca="true">IF($A23="","",IF($AT23="",IF($DO23="","",IF(IF(config!$B$37&lt;&gt;"",config!$B$37,TODAY())&gt;$DO23,"late","due")),IF($AT23&lt;=$DO23,"pass","late")))</f>
        <v/>
      </c>
      <c r="DU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","")&amp;IF($BZ23&lt;0,"reserve below zero: check inventory;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","")&amp;IF(AND($DA23="",$DQ23&lt;&gt;"",IF(config!$B$37&lt;&gt;"",config!$B$37,TODAY())&gt;$DQ23),"day-30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","")&amp;IF($DT23="late","report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f>
        <v/>
      </c>
      <c r="CL24" s="30" t="str">
        <f aca="false">IF($A24="","",SUMIFS(approvals!$AQ$2:$AQ$251,approvals!$A$2:$A$251,$A24))</f>
        <v/>
      </c>
      <c r="CM24" s="30" t="str">
        <f aca="false">IF($A24="","",SUMIFS(approvals!$AR$2:$AR$251,approvals!$A$2:$A$251,$A24))</f>
        <v/>
      </c>
      <c r="CN24" s="30" t="str">
        <f aca="false">IF($A24="","",SUMIFS(approvals!$AS$2:$AS$251,approvals!$A$2:$A$251,$A24))</f>
        <v/>
      </c>
      <c r="CO24" s="30" t="str">
        <f aca="false">IF($A24="","",SUMIFS(approvals!$AT$2:$AT$251,approvals!$A$2:$A$251,$A24))</f>
        <v/>
      </c>
      <c r="CP24" s="33" t="str">
        <f aca="false">IF($A24="","",IF(N($CO24)=0,"",ROUND(SUMIFS(approvals!$AU$2:$AU$251,approvals!$A$2:$A$251,$A24)/$CO24,1)))</f>
        <v/>
      </c>
      <c r="CQ24" s="30" t="str">
        <f aca="false">IF($A24="","",SUMIFS(approvals!$AV$2:$AV$251,approvals!$A$2:$A$251,$A24))</f>
        <v/>
      </c>
      <c r="CR24" s="30" t="str">
        <f aca="false">IF($A24="","",SUMIFS(approvals!$AW$2:$AW$251,approvals!$A$2:$A$251,$A24))</f>
        <v/>
      </c>
      <c r="CS24" s="30" t="str">
        <f aca="false">IF($A24="","",SUMIFS(approvals!$AX$2:$AX$251,approvals!$A$2:$A$251,$A24))</f>
        <v/>
      </c>
      <c r="CT24" s="30" t="str">
        <f aca="false">IF($A24="","",SUMIFS(approvals!$AY$2:$AY$251,approvals!$A$2:$A$251,$A24))</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f>
        <v/>
      </c>
      <c r="CW24" s="30" t="str">
        <f aca="false">IF($A24="","",SUMIFS(approvals!$AN$2:$AN$251,approvals!$A$2:$A$251,$A24))</f>
        <v/>
      </c>
      <c r="CX24" s="30" t="str">
        <f aca="false">IF($A24="","",SUMIFS(approvals!$AO$2:$AO$251,approvals!$A$2:$A$251,$A24))</f>
        <v/>
      </c>
      <c r="CY24" s="30" t="str">
        <f aca="false">IF($A24="","",IF($CZ24="","",SUMIFS(redemptions!$C$2:$C$121,redemptions!$A$2:$A$121,$A24,redemptions!$B$2:$B$121,$CZ24)))</f>
        <v/>
      </c>
      <c r="CZ24" s="31" t="str">
        <f aca="false">IF($A24="","",IFERROR(1/(1/SUMPRODUCT(MAX((redemptions!$A$2:$A$121=$A24)*redemptions!$B$2:$B$121))),""))</f>
        <v/>
      </c>
      <c r="DA24" s="30" t="str">
        <f aca="false">IF($A24="","",IF(COUNTIFS(redemptions!$A$2:$A$121,$A24,redemptions!$H$2:$H$121,"Y")=0,"",SUMIFS(redemptions!$C$2:$C$121,redemptions!$A$2:$A$121,$A24,redemptions!$B$2:$B$121,SUMPRODUCT(MIN((redemptions!$A$2:$A$121=$A24)*(redemptions!$H$2:$H$121="Y")*redemptions!$B$2:$B$121+((redemptions!$A$2:$A$121&lt;&gt;$A24)+(redemptions!$H$2:$H$121&lt;&gt;"Y")&gt;0)*1000000)))))</f>
        <v/>
      </c>
      <c r="DB24" s="32" t="str">
        <f aca="false">IF($A24="","",SUMIFS(invoices!$E$2:$E$151,invoices!$B$2:$B$151,$A24))</f>
        <v/>
      </c>
      <c r="DC24" s="32" t="str">
        <f aca="false">IF($A24="","",IF(COUNTIFS(invoices!$B$2:$B$151,$A24,invoices!$C$2:$C$151,"standard_deposit",invoices!$H$2:$H$151,"&gt;0")=0,"",SUMIFS(invoices!$I$2:$I$151,invoices!$B$2:$B$151,$A24,invoices!$C$2:$C$151,"standard_deposit")))</f>
        <v/>
      </c>
      <c r="DD24" s="31" t="str">
        <f aca="false">IF($A24="","",IFERROR(1/(1/SUMPRODUCT(MAX((invoices!$B$2:$B$151=$A24)*(invoices!$C$2:$C$151="standard_deposit")*invoices!$H$2:$H$151))),""))</f>
        <v/>
      </c>
      <c r="DE24" s="31" t="str">
        <f aca="false">IF($A24="","",IFERROR(1/(1/SUMPRODUCT(MAX((invoices!$B$2:$B$151=$A24)*((invoices!$C$2:$C$151="founding_full")+(invoices!$C$2:$C$151="standard_balance"))*invoices!$H$2:$H$151))),""))</f>
        <v/>
      </c>
      <c r="DF24" s="32" t="str">
        <f aca="false">IF($A24="","",SUMIFS(invoices!$L$2:$L$151,invoices!$B$2:$B$151,$A24))</f>
        <v/>
      </c>
      <c r="DG24" s="32" t="str">
        <f aca="false">IF($A24="","",SUMIFS(costs!$E$2:$E$301,costs!$C$2:$C$301,$A24))</f>
        <v/>
      </c>
      <c r="DH24" s="32" t="str">
        <f aca="false">IF($A24="","",ROUND(IF(SUMIFS(campaigns!$BO$2:$BO$51,campaigns!$B$2:$B$51,$B24)=0,0,$BO24/SUMIFS(campaigns!$BO$2:$BO$51,campaigns!$B$2:$B$51,$B24))*(SUMIFS(costs!$E$2:$E$301,costs!$B$2:$B$301,$B24)-SUMPRODUCT((costs!$B$2:$B$301=$B24)*(LEN(costs!$C$2:$C$301)&gt;0)*costs!$E$2:$E$301)),2))</f>
        <v/>
      </c>
      <c r="DI24" s="33" t="str">
        <f aca="false">IF($A24="","",SUMIFS(hours!$E$2:$E$1501,hours!$C$2:$C$1501,$A24))</f>
        <v/>
      </c>
      <c r="DJ24" s="33" t="str">
        <f aca="false">IF($A24="","",ROUND(IF(SUMIFS(campaigns!$BO$2:$BO$51,campaigns!$B$2:$B$51,$B24)=0,0,$BO24/SUMIFS(campaigns!$BO$2:$BO$51,campaigns!$B$2:$B$51,$B24))*(SUMIFS(hours!$E$2:$E$1501,hours!$B$2:$B$1501,$B24)-SUMPRODUCT((hours!$B$2:$B$1501=$B24)*(LEN(hours!$C$2:$C$1501)&gt;0)*hours!$E$2:$E$1501)),2))</f>
        <v/>
      </c>
      <c r="DK24" s="32" t="str">
        <f aca="false">IF($A24="","",$DB24-$DF24-$DG24-$DH24)</f>
        <v/>
      </c>
      <c r="DL24" s="32" t="str">
        <f aca="false">IF($A24="","",IF(N($DI24)+N($DJ24)=0,"",ROUND($DK24/($DI24+$DJ24),2)))</f>
        <v/>
      </c>
      <c r="DM24" s="34" t="str">
        <f aca="false">IF($A24="","",IF(N($BP24)=0,"",COUNTIFS(approvals!$A$2:$A$251,$A24,approvals!$Q$2:$Q$251,"Y",approvals!$AK$2:$AK$251,"Y")/$BP24))</f>
        <v/>
      </c>
      <c r="DN24" s="33" t="str">
        <f aca="false">IF($A24="","",IF(COUNTIFS(approvals!$A$2:$A$251,$A24,approvals!$AC$2:$AC$251,"&gt;=0")=0,"",ROUND(SUMIFS(approvals!$AC$2:$AC$251,approvals!$A$2:$A$251,$A24)/COUNTIFS(approvals!$A$2:$A$251,$A24,approvals!$AC$2:$AC$251,"&gt;=0"),1)))</f>
        <v/>
      </c>
      <c r="DO24" s="31" t="str">
        <f aca="false">IF($A24="","",IFERROR(IF(INDEX(drops!$T$2:$T$21,MATCH($B24,drops!$A$2:$A$21,0))="","",INDEX(drops!$T$2:$T$21,MATCH($B24,drops!$A$2:$A$21,0))),""))</f>
        <v/>
      </c>
      <c r="DP24" s="31" t="str">
        <f aca="false">IF($A24="","",IFERROR(IF(INDEX(drops!$U$2:$U$21,MATCH($B24,drops!$A$2:$A$21,0))="","",INDEX(drops!$U$2:$U$21,MATCH($B24,drops!$A$2:$A$21,0))),""))</f>
        <v/>
      </c>
      <c r="DQ24" s="31" t="str">
        <f aca="false">IF($A24="","",IFERROR(IF(INDEX(drops!$W$2:$W$21,MATCH($B24,drops!$A$2:$A$21,0))="","",INDEX(drops!$W$2:$W$21,MATCH($B24,drops!$A$2:$A$21,0))),""))</f>
        <v/>
      </c>
      <c r="DR24" s="30" t="str">
        <f aca="false">IF($A24="","",IF($CE24="","",IF($CE24&gt;=config!$B$31,"pass","miss")))</f>
        <v/>
      </c>
      <c r="DS24" s="30" t="str">
        <f aca="false">IF($A24="","",IF($CI24="","",IF($CI24&gt;=config!$B$30,"pass","miss")))</f>
        <v/>
      </c>
      <c r="DT24" s="30" t="str">
        <f aca="true">IF($A24="","",IF($AT24="",IF($DO24="","",IF(IF(config!$B$37&lt;&gt;"",config!$B$37,TODAY())&gt;$DO24,"late","due")),IF($AT24&lt;=$DO24,"pass","late")))</f>
        <v/>
      </c>
      <c r="DU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","")&amp;IF($BZ24&lt;0,"reserve below zero: check inventory;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","")&amp;IF(AND($DA24="",$DQ24&lt;&gt;"",IF(config!$B$37&lt;&gt;"",config!$B$37,TODAY())&gt;$DQ24),"day-30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","")&amp;IF($DT24="late","report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f>
        <v/>
      </c>
      <c r="CL25" s="30" t="str">
        <f aca="false">IF($A25="","",SUMIFS(approvals!$AQ$2:$AQ$251,approvals!$A$2:$A$251,$A25))</f>
        <v/>
      </c>
      <c r="CM25" s="30" t="str">
        <f aca="false">IF($A25="","",SUMIFS(approvals!$AR$2:$AR$251,approvals!$A$2:$A$251,$A25))</f>
        <v/>
      </c>
      <c r="CN25" s="30" t="str">
        <f aca="false">IF($A25="","",SUMIFS(approvals!$AS$2:$AS$251,approvals!$A$2:$A$251,$A25))</f>
        <v/>
      </c>
      <c r="CO25" s="30" t="str">
        <f aca="false">IF($A25="","",SUMIFS(approvals!$AT$2:$AT$251,approvals!$A$2:$A$251,$A25))</f>
        <v/>
      </c>
      <c r="CP25" s="33" t="str">
        <f aca="false">IF($A25="","",IF(N($CO25)=0,"",ROUND(SUMIFS(approvals!$AU$2:$AU$251,approvals!$A$2:$A$251,$A25)/$CO25,1)))</f>
        <v/>
      </c>
      <c r="CQ25" s="30" t="str">
        <f aca="false">IF($A25="","",SUMIFS(approvals!$AV$2:$AV$251,approvals!$A$2:$A$251,$A25))</f>
        <v/>
      </c>
      <c r="CR25" s="30" t="str">
        <f aca="false">IF($A25="","",SUMIFS(approvals!$AW$2:$AW$251,approvals!$A$2:$A$251,$A25))</f>
        <v/>
      </c>
      <c r="CS25" s="30" t="str">
        <f aca="false">IF($A25="","",SUMIFS(approvals!$AX$2:$AX$251,approvals!$A$2:$A$251,$A25))</f>
        <v/>
      </c>
      <c r="CT25" s="30" t="str">
        <f aca="false">IF($A25="","",SUMIFS(approvals!$AY$2:$AY$251,approvals!$A$2:$A$251,$A25))</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f>
        <v/>
      </c>
      <c r="CW25" s="30" t="str">
        <f aca="false">IF($A25="","",SUMIFS(approvals!$AN$2:$AN$251,approvals!$A$2:$A$251,$A25))</f>
        <v/>
      </c>
      <c r="CX25" s="30" t="str">
        <f aca="false">IF($A25="","",SUMIFS(approvals!$AO$2:$AO$251,approvals!$A$2:$A$251,$A25))</f>
        <v/>
      </c>
      <c r="CY25" s="30" t="str">
        <f aca="false">IF($A25="","",IF($CZ25="","",SUMIFS(redemptions!$C$2:$C$121,redemptions!$A$2:$A$121,$A25,redemptions!$B$2:$B$121,$CZ25)))</f>
        <v/>
      </c>
      <c r="CZ25" s="31" t="str">
        <f aca="false">IF($A25="","",IFERROR(1/(1/SUMPRODUCT(MAX((redemptions!$A$2:$A$121=$A25)*redemptions!$B$2:$B$121))),""))</f>
        <v/>
      </c>
      <c r="DA25" s="30" t="str">
        <f aca="false">IF($A25="","",IF(COUNTIFS(redemptions!$A$2:$A$121,$A25,redemptions!$H$2:$H$121,"Y")=0,"",SUMIFS(redemptions!$C$2:$C$121,redemptions!$A$2:$A$121,$A25,redemptions!$B$2:$B$121,SUMPRODUCT(MIN((redemptions!$A$2:$A$121=$A25)*(redemptions!$H$2:$H$121="Y")*redemptions!$B$2:$B$121+((redemptions!$A$2:$A$121&lt;&gt;$A25)+(redemptions!$H$2:$H$121&lt;&gt;"Y")&gt;0)*1000000)))))</f>
        <v/>
      </c>
      <c r="DB25" s="32" t="str">
        <f aca="false">IF($A25="","",SUMIFS(invoices!$E$2:$E$151,invoices!$B$2:$B$151,$A25))</f>
        <v/>
      </c>
      <c r="DC25" s="32" t="str">
        <f aca="false">IF($A25="","",IF(COUNTIFS(invoices!$B$2:$B$151,$A25,invoices!$C$2:$C$151,"standard_deposit",invoices!$H$2:$H$151,"&gt;0")=0,"",SUMIFS(invoices!$I$2:$I$151,invoices!$B$2:$B$151,$A25,invoices!$C$2:$C$151,"standard_deposit")))</f>
        <v/>
      </c>
      <c r="DD25" s="31" t="str">
        <f aca="false">IF($A25="","",IFERROR(1/(1/SUMPRODUCT(MAX((invoices!$B$2:$B$151=$A25)*(invoices!$C$2:$C$151="standard_deposit")*invoices!$H$2:$H$151))),""))</f>
        <v/>
      </c>
      <c r="DE25" s="31" t="str">
        <f aca="false">IF($A25="","",IFERROR(1/(1/SUMPRODUCT(MAX((invoices!$B$2:$B$151=$A25)*((invoices!$C$2:$C$151="founding_full")+(invoices!$C$2:$C$151="standard_balance"))*invoices!$H$2:$H$151))),""))</f>
        <v/>
      </c>
      <c r="DF25" s="32" t="str">
        <f aca="false">IF($A25="","",SUMIFS(invoices!$L$2:$L$151,invoices!$B$2:$B$151,$A25))</f>
        <v/>
      </c>
      <c r="DG25" s="32" t="str">
        <f aca="false">IF($A25="","",SUMIFS(costs!$E$2:$E$301,costs!$C$2:$C$301,$A25))</f>
        <v/>
      </c>
      <c r="DH25" s="32" t="str">
        <f aca="false">IF($A25="","",ROUND(IF(SUMIFS(campaigns!$BO$2:$BO$51,campaigns!$B$2:$B$51,$B25)=0,0,$BO25/SUMIFS(campaigns!$BO$2:$BO$51,campaigns!$B$2:$B$51,$B25))*(SUMIFS(costs!$E$2:$E$301,costs!$B$2:$B$301,$B25)-SUMPRODUCT((costs!$B$2:$B$301=$B25)*(LEN(costs!$C$2:$C$301)&gt;0)*costs!$E$2:$E$301)),2))</f>
        <v/>
      </c>
      <c r="DI25" s="33" t="str">
        <f aca="false">IF($A25="","",SUMIFS(hours!$E$2:$E$1501,hours!$C$2:$C$1501,$A25))</f>
        <v/>
      </c>
      <c r="DJ25" s="33" t="str">
        <f aca="false">IF($A25="","",ROUND(IF(SUMIFS(campaigns!$BO$2:$BO$51,campaigns!$B$2:$B$51,$B25)=0,0,$BO25/SUMIFS(campaigns!$BO$2:$BO$51,campaigns!$B$2:$B$51,$B25))*(SUMIFS(hours!$E$2:$E$1501,hours!$B$2:$B$1501,$B25)-SUMPRODUCT((hours!$B$2:$B$1501=$B25)*(LEN(hours!$C$2:$C$1501)&gt;0)*hours!$E$2:$E$1501)),2))</f>
        <v/>
      </c>
      <c r="DK25" s="32" t="str">
        <f aca="false">IF($A25="","",$DB25-$DF25-$DG25-$DH25)</f>
        <v/>
      </c>
      <c r="DL25" s="32" t="str">
        <f aca="false">IF($A25="","",IF(N($DI25)+N($DJ25)=0,"",ROUND($DK25/($DI25+$DJ25),2)))</f>
        <v/>
      </c>
      <c r="DM25" s="34" t="str">
        <f aca="false">IF($A25="","",IF(N($BP25)=0,"",COUNTIFS(approvals!$A$2:$A$251,$A25,approvals!$Q$2:$Q$251,"Y",approvals!$AK$2:$AK$251,"Y")/$BP25))</f>
        <v/>
      </c>
      <c r="DN25" s="33" t="str">
        <f aca="false">IF($A25="","",IF(COUNTIFS(approvals!$A$2:$A$251,$A25,approvals!$AC$2:$AC$251,"&gt;=0")=0,"",ROUND(SUMIFS(approvals!$AC$2:$AC$251,approvals!$A$2:$A$251,$A25)/COUNTIFS(approvals!$A$2:$A$251,$A25,approvals!$AC$2:$AC$251,"&gt;=0"),1)))</f>
        <v/>
      </c>
      <c r="DO25" s="31" t="str">
        <f aca="false">IF($A25="","",IFERROR(IF(INDEX(drops!$T$2:$T$21,MATCH($B25,drops!$A$2:$A$21,0))="","",INDEX(drops!$T$2:$T$21,MATCH($B25,drops!$A$2:$A$21,0))),""))</f>
        <v/>
      </c>
      <c r="DP25" s="31" t="str">
        <f aca="false">IF($A25="","",IFERROR(IF(INDEX(drops!$U$2:$U$21,MATCH($B25,drops!$A$2:$A$21,0))="","",INDEX(drops!$U$2:$U$21,MATCH($B25,drops!$A$2:$A$21,0))),""))</f>
        <v/>
      </c>
      <c r="DQ25" s="31" t="str">
        <f aca="false">IF($A25="","",IFERROR(IF(INDEX(drops!$W$2:$W$21,MATCH($B25,drops!$A$2:$A$21,0))="","",INDEX(drops!$W$2:$W$21,MATCH($B25,drops!$A$2:$A$21,0))),""))</f>
        <v/>
      </c>
      <c r="DR25" s="30" t="str">
        <f aca="false">IF($A25="","",IF($CE25="","",IF($CE25&gt;=config!$B$31,"pass","miss")))</f>
        <v/>
      </c>
      <c r="DS25" s="30" t="str">
        <f aca="false">IF($A25="","",IF($CI25="","",IF($CI25&gt;=config!$B$30,"pass","miss")))</f>
        <v/>
      </c>
      <c r="DT25" s="30" t="str">
        <f aca="true">IF($A25="","",IF($AT25="",IF($DO25="","",IF(IF(config!$B$37&lt;&gt;"",config!$B$37,TODAY())&gt;$DO25,"late","due")),IF($AT25&lt;=$DO25,"pass","late")))</f>
        <v/>
      </c>
      <c r="DU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","")&amp;IF($BZ25&lt;0,"reserve below zero: check inventory;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","")&amp;IF(AND($DA25="",$DQ25&lt;&gt;"",IF(config!$B$37&lt;&gt;"",config!$B$37,TODAY())&gt;$DQ25),"day-30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","")&amp;IF($DT25="late","report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f>
        <v/>
      </c>
      <c r="CL26" s="30" t="str">
        <f aca="false">IF($A26="","",SUMIFS(approvals!$AQ$2:$AQ$251,approvals!$A$2:$A$251,$A26))</f>
        <v/>
      </c>
      <c r="CM26" s="30" t="str">
        <f aca="false">IF($A26="","",SUMIFS(approvals!$AR$2:$AR$251,approvals!$A$2:$A$251,$A26))</f>
        <v/>
      </c>
      <c r="CN26" s="30" t="str">
        <f aca="false">IF($A26="","",SUMIFS(approvals!$AS$2:$AS$251,approvals!$A$2:$A$251,$A26))</f>
        <v/>
      </c>
      <c r="CO26" s="30" t="str">
        <f aca="false">IF($A26="","",SUMIFS(approvals!$AT$2:$AT$251,approvals!$A$2:$A$251,$A26))</f>
        <v/>
      </c>
      <c r="CP26" s="33" t="str">
        <f aca="false">IF($A26="","",IF(N($CO26)=0,"",ROUND(SUMIFS(approvals!$AU$2:$AU$251,approvals!$A$2:$A$251,$A26)/$CO26,1)))</f>
        <v/>
      </c>
      <c r="CQ26" s="30" t="str">
        <f aca="false">IF($A26="","",SUMIFS(approvals!$AV$2:$AV$251,approvals!$A$2:$A$251,$A26))</f>
        <v/>
      </c>
      <c r="CR26" s="30" t="str">
        <f aca="false">IF($A26="","",SUMIFS(approvals!$AW$2:$AW$251,approvals!$A$2:$A$251,$A26))</f>
        <v/>
      </c>
      <c r="CS26" s="30" t="str">
        <f aca="false">IF($A26="","",SUMIFS(approvals!$AX$2:$AX$251,approvals!$A$2:$A$251,$A26))</f>
        <v/>
      </c>
      <c r="CT26" s="30" t="str">
        <f aca="false">IF($A26="","",SUMIFS(approvals!$AY$2:$AY$251,approvals!$A$2:$A$251,$A26))</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f>
        <v/>
      </c>
      <c r="CW26" s="30" t="str">
        <f aca="false">IF($A26="","",SUMIFS(approvals!$AN$2:$AN$251,approvals!$A$2:$A$251,$A26))</f>
        <v/>
      </c>
      <c r="CX26" s="30" t="str">
        <f aca="false">IF($A26="","",SUMIFS(approvals!$AO$2:$AO$251,approvals!$A$2:$A$251,$A26))</f>
        <v/>
      </c>
      <c r="CY26" s="30" t="str">
        <f aca="false">IF($A26="","",IF($CZ26="","",SUMIFS(redemptions!$C$2:$C$121,redemptions!$A$2:$A$121,$A26,redemptions!$B$2:$B$121,$CZ26)))</f>
        <v/>
      </c>
      <c r="CZ26" s="31" t="str">
        <f aca="false">IF($A26="","",IFERROR(1/(1/SUMPRODUCT(MAX((redemptions!$A$2:$A$121=$A26)*redemptions!$B$2:$B$121))),""))</f>
        <v/>
      </c>
      <c r="DA26" s="30" t="str">
        <f aca="false">IF($A26="","",IF(COUNTIFS(redemptions!$A$2:$A$121,$A26,redemptions!$H$2:$H$121,"Y")=0,"",SUMIFS(redemptions!$C$2:$C$121,redemptions!$A$2:$A$121,$A26,redemptions!$B$2:$B$121,SUMPRODUCT(MIN((redemptions!$A$2:$A$121=$A26)*(redemptions!$H$2:$H$121="Y")*redemptions!$B$2:$B$121+((redemptions!$A$2:$A$121&lt;&gt;$A26)+(redemptions!$H$2:$H$121&lt;&gt;"Y")&gt;0)*1000000)))))</f>
        <v/>
      </c>
      <c r="DB26" s="32" t="str">
        <f aca="false">IF($A26="","",SUMIFS(invoices!$E$2:$E$151,invoices!$B$2:$B$151,$A26))</f>
        <v/>
      </c>
      <c r="DC26" s="32" t="str">
        <f aca="false">IF($A26="","",IF(COUNTIFS(invoices!$B$2:$B$151,$A26,invoices!$C$2:$C$151,"standard_deposit",invoices!$H$2:$H$151,"&gt;0")=0,"",SUMIFS(invoices!$I$2:$I$151,invoices!$B$2:$B$151,$A26,invoices!$C$2:$C$151,"standard_deposit")))</f>
        <v/>
      </c>
      <c r="DD26" s="31" t="str">
        <f aca="false">IF($A26="","",IFERROR(1/(1/SUMPRODUCT(MAX((invoices!$B$2:$B$151=$A26)*(invoices!$C$2:$C$151="standard_deposit")*invoices!$H$2:$H$151))),""))</f>
        <v/>
      </c>
      <c r="DE26" s="31" t="str">
        <f aca="false">IF($A26="","",IFERROR(1/(1/SUMPRODUCT(MAX((invoices!$B$2:$B$151=$A26)*((invoices!$C$2:$C$151="founding_full")+(invoices!$C$2:$C$151="standard_balance"))*invoices!$H$2:$H$151))),""))</f>
        <v/>
      </c>
      <c r="DF26" s="32" t="str">
        <f aca="false">IF($A26="","",SUMIFS(invoices!$L$2:$L$151,invoices!$B$2:$B$151,$A26))</f>
        <v/>
      </c>
      <c r="DG26" s="32" t="str">
        <f aca="false">IF($A26="","",SUMIFS(costs!$E$2:$E$301,costs!$C$2:$C$301,$A26))</f>
        <v/>
      </c>
      <c r="DH26" s="32" t="str">
        <f aca="false">IF($A26="","",ROUND(IF(SUMIFS(campaigns!$BO$2:$BO$51,campaigns!$B$2:$B$51,$B26)=0,0,$BO26/SUMIFS(campaigns!$BO$2:$BO$51,campaigns!$B$2:$B$51,$B26))*(SUMIFS(costs!$E$2:$E$301,costs!$B$2:$B$301,$B26)-SUMPRODUCT((costs!$B$2:$B$301=$B26)*(LEN(costs!$C$2:$C$301)&gt;0)*costs!$E$2:$E$301)),2))</f>
        <v/>
      </c>
      <c r="DI26" s="33" t="str">
        <f aca="false">IF($A26="","",SUMIFS(hours!$E$2:$E$1501,hours!$C$2:$C$1501,$A26))</f>
        <v/>
      </c>
      <c r="DJ26" s="33" t="str">
        <f aca="false">IF($A26="","",ROUND(IF(SUMIFS(campaigns!$BO$2:$BO$51,campaigns!$B$2:$B$51,$B26)=0,0,$BO26/SUMIFS(campaigns!$BO$2:$BO$51,campaigns!$B$2:$B$51,$B26))*(SUMIFS(hours!$E$2:$E$1501,hours!$B$2:$B$1501,$B26)-SUMPRODUCT((hours!$B$2:$B$1501=$B26)*(LEN(hours!$C$2:$C$1501)&gt;0)*hours!$E$2:$E$1501)),2))</f>
        <v/>
      </c>
      <c r="DK26" s="32" t="str">
        <f aca="false">IF($A26="","",$DB26-$DF26-$DG26-$DH26)</f>
        <v/>
      </c>
      <c r="DL26" s="32" t="str">
        <f aca="false">IF($A26="","",IF(N($DI26)+N($DJ26)=0,"",ROUND($DK26/($DI26+$DJ26),2)))</f>
        <v/>
      </c>
      <c r="DM26" s="34" t="str">
        <f aca="false">IF($A26="","",IF(N($BP26)=0,"",COUNTIFS(approvals!$A$2:$A$251,$A26,approvals!$Q$2:$Q$251,"Y",approvals!$AK$2:$AK$251,"Y")/$BP26))</f>
        <v/>
      </c>
      <c r="DN26" s="33" t="str">
        <f aca="false">IF($A26="","",IF(COUNTIFS(approvals!$A$2:$A$251,$A26,approvals!$AC$2:$AC$251,"&gt;=0")=0,"",ROUND(SUMIFS(approvals!$AC$2:$AC$251,approvals!$A$2:$A$251,$A26)/COUNTIFS(approvals!$A$2:$A$251,$A26,approvals!$AC$2:$AC$251,"&gt;=0"),1)))</f>
        <v/>
      </c>
      <c r="DO26" s="31" t="str">
        <f aca="false">IF($A26="","",IFERROR(IF(INDEX(drops!$T$2:$T$21,MATCH($B26,drops!$A$2:$A$21,0))="","",INDEX(drops!$T$2:$T$21,MATCH($B26,drops!$A$2:$A$21,0))),""))</f>
        <v/>
      </c>
      <c r="DP26" s="31" t="str">
        <f aca="false">IF($A26="","",IFERROR(IF(INDEX(drops!$U$2:$U$21,MATCH($B26,drops!$A$2:$A$21,0))="","",INDEX(drops!$U$2:$U$21,MATCH($B26,drops!$A$2:$A$21,0))),""))</f>
        <v/>
      </c>
      <c r="DQ26" s="31" t="str">
        <f aca="false">IF($A26="","",IFERROR(IF(INDEX(drops!$W$2:$W$21,MATCH($B26,drops!$A$2:$A$21,0))="","",INDEX(drops!$W$2:$W$21,MATCH($B26,drops!$A$2:$A$21,0))),""))</f>
        <v/>
      </c>
      <c r="DR26" s="30" t="str">
        <f aca="false">IF($A26="","",IF($CE26="","",IF($CE26&gt;=config!$B$31,"pass","miss")))</f>
        <v/>
      </c>
      <c r="DS26" s="30" t="str">
        <f aca="false">IF($A26="","",IF($CI26="","",IF($CI26&gt;=config!$B$30,"pass","miss")))</f>
        <v/>
      </c>
      <c r="DT26" s="30" t="str">
        <f aca="true">IF($A26="","",IF($AT26="",IF($DO26="","",IF(IF(config!$B$37&lt;&gt;"",config!$B$37,TODAY())&gt;$DO26,"late","due")),IF($AT26&lt;=$DO26,"pass","late")))</f>
        <v/>
      </c>
      <c r="DU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","")&amp;IF($BZ26&lt;0,"reserve below zero: check inventory;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","")&amp;IF(AND($DA26="",$DQ26&lt;&gt;"",IF(config!$B$37&lt;&gt;"",config!$B$37,TODAY())&gt;$DQ26),"day-30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","")&amp;IF($DT26="late","report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f>
        <v/>
      </c>
      <c r="CL27" s="30" t="str">
        <f aca="false">IF($A27="","",SUMIFS(approvals!$AQ$2:$AQ$251,approvals!$A$2:$A$251,$A27))</f>
        <v/>
      </c>
      <c r="CM27" s="30" t="str">
        <f aca="false">IF($A27="","",SUMIFS(approvals!$AR$2:$AR$251,approvals!$A$2:$A$251,$A27))</f>
        <v/>
      </c>
      <c r="CN27" s="30" t="str">
        <f aca="false">IF($A27="","",SUMIFS(approvals!$AS$2:$AS$251,approvals!$A$2:$A$251,$A27))</f>
        <v/>
      </c>
      <c r="CO27" s="30" t="str">
        <f aca="false">IF($A27="","",SUMIFS(approvals!$AT$2:$AT$251,approvals!$A$2:$A$251,$A27))</f>
        <v/>
      </c>
      <c r="CP27" s="33" t="str">
        <f aca="false">IF($A27="","",IF(N($CO27)=0,"",ROUND(SUMIFS(approvals!$AU$2:$AU$251,approvals!$A$2:$A$251,$A27)/$CO27,1)))</f>
        <v/>
      </c>
      <c r="CQ27" s="30" t="str">
        <f aca="false">IF($A27="","",SUMIFS(approvals!$AV$2:$AV$251,approvals!$A$2:$A$251,$A27))</f>
        <v/>
      </c>
      <c r="CR27" s="30" t="str">
        <f aca="false">IF($A27="","",SUMIFS(approvals!$AW$2:$AW$251,approvals!$A$2:$A$251,$A27))</f>
        <v/>
      </c>
      <c r="CS27" s="30" t="str">
        <f aca="false">IF($A27="","",SUMIFS(approvals!$AX$2:$AX$251,approvals!$A$2:$A$251,$A27))</f>
        <v/>
      </c>
      <c r="CT27" s="30" t="str">
        <f aca="false">IF($A27="","",SUMIFS(approvals!$AY$2:$AY$251,approvals!$A$2:$A$251,$A27))</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f>
        <v/>
      </c>
      <c r="CW27" s="30" t="str">
        <f aca="false">IF($A27="","",SUMIFS(approvals!$AN$2:$AN$251,approvals!$A$2:$A$251,$A27))</f>
        <v/>
      </c>
      <c r="CX27" s="30" t="str">
        <f aca="false">IF($A27="","",SUMIFS(approvals!$AO$2:$AO$251,approvals!$A$2:$A$251,$A27))</f>
        <v/>
      </c>
      <c r="CY27" s="30" t="str">
        <f aca="false">IF($A27="","",IF($CZ27="","",SUMIFS(redemptions!$C$2:$C$121,redemptions!$A$2:$A$121,$A27,redemptions!$B$2:$B$121,$CZ27)))</f>
        <v/>
      </c>
      <c r="CZ27" s="31" t="str">
        <f aca="false">IF($A27="","",IFERROR(1/(1/SUMPRODUCT(MAX((redemptions!$A$2:$A$121=$A27)*redemptions!$B$2:$B$121))),""))</f>
        <v/>
      </c>
      <c r="DA27" s="30" t="str">
        <f aca="false">IF($A27="","",IF(COUNTIFS(redemptions!$A$2:$A$121,$A27,redemptions!$H$2:$H$121,"Y")=0,"",SUMIFS(redemptions!$C$2:$C$121,redemptions!$A$2:$A$121,$A27,redemptions!$B$2:$B$121,SUMPRODUCT(MIN((redemptions!$A$2:$A$121=$A27)*(redemptions!$H$2:$H$121="Y")*redemptions!$B$2:$B$121+((redemptions!$A$2:$A$121&lt;&gt;$A27)+(redemptions!$H$2:$H$121&lt;&gt;"Y")&gt;0)*1000000)))))</f>
        <v/>
      </c>
      <c r="DB27" s="32" t="str">
        <f aca="false">IF($A27="","",SUMIFS(invoices!$E$2:$E$151,invoices!$B$2:$B$151,$A27))</f>
        <v/>
      </c>
      <c r="DC27" s="32" t="str">
        <f aca="false">IF($A27="","",IF(COUNTIFS(invoices!$B$2:$B$151,$A27,invoices!$C$2:$C$151,"standard_deposit",invoices!$H$2:$H$151,"&gt;0")=0,"",SUMIFS(invoices!$I$2:$I$151,invoices!$B$2:$B$151,$A27,invoices!$C$2:$C$151,"standard_deposit")))</f>
        <v/>
      </c>
      <c r="DD27" s="31" t="str">
        <f aca="false">IF($A27="","",IFERROR(1/(1/SUMPRODUCT(MAX((invoices!$B$2:$B$151=$A27)*(invoices!$C$2:$C$151="standard_deposit")*invoices!$H$2:$H$151))),""))</f>
        <v/>
      </c>
      <c r="DE27" s="31" t="str">
        <f aca="false">IF($A27="","",IFERROR(1/(1/SUMPRODUCT(MAX((invoices!$B$2:$B$151=$A27)*((invoices!$C$2:$C$151="founding_full")+(invoices!$C$2:$C$151="standard_balance"))*invoices!$H$2:$H$151))),""))</f>
        <v/>
      </c>
      <c r="DF27" s="32" t="str">
        <f aca="false">IF($A27="","",SUMIFS(invoices!$L$2:$L$151,invoices!$B$2:$B$151,$A27))</f>
        <v/>
      </c>
      <c r="DG27" s="32" t="str">
        <f aca="false">IF($A27="","",SUMIFS(costs!$E$2:$E$301,costs!$C$2:$C$301,$A27))</f>
        <v/>
      </c>
      <c r="DH27" s="32" t="str">
        <f aca="false">IF($A27="","",ROUND(IF(SUMIFS(campaigns!$BO$2:$BO$51,campaigns!$B$2:$B$51,$B27)=0,0,$BO27/SUMIFS(campaigns!$BO$2:$BO$51,campaigns!$B$2:$B$51,$B27))*(SUMIFS(costs!$E$2:$E$301,costs!$B$2:$B$301,$B27)-SUMPRODUCT((costs!$B$2:$B$301=$B27)*(LEN(costs!$C$2:$C$301)&gt;0)*costs!$E$2:$E$301)),2))</f>
        <v/>
      </c>
      <c r="DI27" s="33" t="str">
        <f aca="false">IF($A27="","",SUMIFS(hours!$E$2:$E$1501,hours!$C$2:$C$1501,$A27))</f>
        <v/>
      </c>
      <c r="DJ27" s="33" t="str">
        <f aca="false">IF($A27="","",ROUND(IF(SUMIFS(campaigns!$BO$2:$BO$51,campaigns!$B$2:$B$51,$B27)=0,0,$BO27/SUMIFS(campaigns!$BO$2:$BO$51,campaigns!$B$2:$B$51,$B27))*(SUMIFS(hours!$E$2:$E$1501,hours!$B$2:$B$1501,$B27)-SUMPRODUCT((hours!$B$2:$B$1501=$B27)*(LEN(hours!$C$2:$C$1501)&gt;0)*hours!$E$2:$E$1501)),2))</f>
        <v/>
      </c>
      <c r="DK27" s="32" t="str">
        <f aca="false">IF($A27="","",$DB27-$DF27-$DG27-$DH27)</f>
        <v/>
      </c>
      <c r="DL27" s="32" t="str">
        <f aca="false">IF($A27="","",IF(N($DI27)+N($DJ27)=0,"",ROUND($DK27/($DI27+$DJ27),2)))</f>
        <v/>
      </c>
      <c r="DM27" s="34" t="str">
        <f aca="false">IF($A27="","",IF(N($BP27)=0,"",COUNTIFS(approvals!$A$2:$A$251,$A27,approvals!$Q$2:$Q$251,"Y",approvals!$AK$2:$AK$251,"Y")/$BP27))</f>
        <v/>
      </c>
      <c r="DN27" s="33" t="str">
        <f aca="false">IF($A27="","",IF(COUNTIFS(approvals!$A$2:$A$251,$A27,approvals!$AC$2:$AC$251,"&gt;=0")=0,"",ROUND(SUMIFS(approvals!$AC$2:$AC$251,approvals!$A$2:$A$251,$A27)/COUNTIFS(approvals!$A$2:$A$251,$A27,approvals!$AC$2:$AC$251,"&gt;=0"),1)))</f>
        <v/>
      </c>
      <c r="DO27" s="31" t="str">
        <f aca="false">IF($A27="","",IFERROR(IF(INDEX(drops!$T$2:$T$21,MATCH($B27,drops!$A$2:$A$21,0))="","",INDEX(drops!$T$2:$T$21,MATCH($B27,drops!$A$2:$A$21,0))),""))</f>
        <v/>
      </c>
      <c r="DP27" s="31" t="str">
        <f aca="false">IF($A27="","",IFERROR(IF(INDEX(drops!$U$2:$U$21,MATCH($B27,drops!$A$2:$A$21,0))="","",INDEX(drops!$U$2:$U$21,MATCH($B27,drops!$A$2:$A$21,0))),""))</f>
        <v/>
      </c>
      <c r="DQ27" s="31" t="str">
        <f aca="false">IF($A27="","",IFERROR(IF(INDEX(drops!$W$2:$W$21,MATCH($B27,drops!$A$2:$A$21,0))="","",INDEX(drops!$W$2:$W$21,MATCH($B27,drops!$A$2:$A$21,0))),""))</f>
        <v/>
      </c>
      <c r="DR27" s="30" t="str">
        <f aca="false">IF($A27="","",IF($CE27="","",IF($CE27&gt;=config!$B$31,"pass","miss")))</f>
        <v/>
      </c>
      <c r="DS27" s="30" t="str">
        <f aca="false">IF($A27="","",IF($CI27="","",IF($CI27&gt;=config!$B$30,"pass","miss")))</f>
        <v/>
      </c>
      <c r="DT27" s="30" t="str">
        <f aca="true">IF($A27="","",IF($AT27="",IF($DO27="","",IF(IF(config!$B$37&lt;&gt;"",config!$B$37,TODAY())&gt;$DO27,"late","due")),IF($AT27&lt;=$DO27,"pass","late")))</f>
        <v/>
      </c>
      <c r="DU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","")&amp;IF($BZ27&lt;0,"reserve below zero: check inventory;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","")&amp;IF(AND($DA27="",$DQ27&lt;&gt;"",IF(config!$B$37&lt;&gt;"",config!$B$37,TODAY())&gt;$DQ27),"day-30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","")&amp;IF($DT27="late","report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f>
        <v/>
      </c>
      <c r="CL28" s="30" t="str">
        <f aca="false">IF($A28="","",SUMIFS(approvals!$AQ$2:$AQ$251,approvals!$A$2:$A$251,$A28))</f>
        <v/>
      </c>
      <c r="CM28" s="30" t="str">
        <f aca="false">IF($A28="","",SUMIFS(approvals!$AR$2:$AR$251,approvals!$A$2:$A$251,$A28))</f>
        <v/>
      </c>
      <c r="CN28" s="30" t="str">
        <f aca="false">IF($A28="","",SUMIFS(approvals!$AS$2:$AS$251,approvals!$A$2:$A$251,$A28))</f>
        <v/>
      </c>
      <c r="CO28" s="30" t="str">
        <f aca="false">IF($A28="","",SUMIFS(approvals!$AT$2:$AT$251,approvals!$A$2:$A$251,$A28))</f>
        <v/>
      </c>
      <c r="CP28" s="33" t="str">
        <f aca="false">IF($A28="","",IF(N($CO28)=0,"",ROUND(SUMIFS(approvals!$AU$2:$AU$251,approvals!$A$2:$A$251,$A28)/$CO28,1)))</f>
        <v/>
      </c>
      <c r="CQ28" s="30" t="str">
        <f aca="false">IF($A28="","",SUMIFS(approvals!$AV$2:$AV$251,approvals!$A$2:$A$251,$A28))</f>
        <v/>
      </c>
      <c r="CR28" s="30" t="str">
        <f aca="false">IF($A28="","",SUMIFS(approvals!$AW$2:$AW$251,approvals!$A$2:$A$251,$A28))</f>
        <v/>
      </c>
      <c r="CS28" s="30" t="str">
        <f aca="false">IF($A28="","",SUMIFS(approvals!$AX$2:$AX$251,approvals!$A$2:$A$251,$A28))</f>
        <v/>
      </c>
      <c r="CT28" s="30" t="str">
        <f aca="false">IF($A28="","",SUMIFS(approvals!$AY$2:$AY$251,approvals!$A$2:$A$251,$A28))</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f>
        <v/>
      </c>
      <c r="CW28" s="30" t="str">
        <f aca="false">IF($A28="","",SUMIFS(approvals!$AN$2:$AN$251,approvals!$A$2:$A$251,$A28))</f>
        <v/>
      </c>
      <c r="CX28" s="30" t="str">
        <f aca="false">IF($A28="","",SUMIFS(approvals!$AO$2:$AO$251,approvals!$A$2:$A$251,$A28))</f>
        <v/>
      </c>
      <c r="CY28" s="30" t="str">
        <f aca="false">IF($A28="","",IF($CZ28="","",SUMIFS(redemptions!$C$2:$C$121,redemptions!$A$2:$A$121,$A28,redemptions!$B$2:$B$121,$CZ28)))</f>
        <v/>
      </c>
      <c r="CZ28" s="31" t="str">
        <f aca="false">IF($A28="","",IFERROR(1/(1/SUMPRODUCT(MAX((redemptions!$A$2:$A$121=$A28)*redemptions!$B$2:$B$121))),""))</f>
        <v/>
      </c>
      <c r="DA28" s="30" t="str">
        <f aca="false">IF($A28="","",IF(COUNTIFS(redemptions!$A$2:$A$121,$A28,redemptions!$H$2:$H$121,"Y")=0,"",SUMIFS(redemptions!$C$2:$C$121,redemptions!$A$2:$A$121,$A28,redemptions!$B$2:$B$121,SUMPRODUCT(MIN((redemptions!$A$2:$A$121=$A28)*(redemptions!$H$2:$H$121="Y")*redemptions!$B$2:$B$121+((redemptions!$A$2:$A$121&lt;&gt;$A28)+(redemptions!$H$2:$H$121&lt;&gt;"Y")&gt;0)*1000000)))))</f>
        <v/>
      </c>
      <c r="DB28" s="32" t="str">
        <f aca="false">IF($A28="","",SUMIFS(invoices!$E$2:$E$151,invoices!$B$2:$B$151,$A28))</f>
        <v/>
      </c>
      <c r="DC28" s="32" t="str">
        <f aca="false">IF($A28="","",IF(COUNTIFS(invoices!$B$2:$B$151,$A28,invoices!$C$2:$C$151,"standard_deposit",invoices!$H$2:$H$151,"&gt;0")=0,"",SUMIFS(invoices!$I$2:$I$151,invoices!$B$2:$B$151,$A28,invoices!$C$2:$C$151,"standard_deposit")))</f>
        <v/>
      </c>
      <c r="DD28" s="31" t="str">
        <f aca="false">IF($A28="","",IFERROR(1/(1/SUMPRODUCT(MAX((invoices!$B$2:$B$151=$A28)*(invoices!$C$2:$C$151="standard_deposit")*invoices!$H$2:$H$151))),""))</f>
        <v/>
      </c>
      <c r="DE28" s="31" t="str">
        <f aca="false">IF($A28="","",IFERROR(1/(1/SUMPRODUCT(MAX((invoices!$B$2:$B$151=$A28)*((invoices!$C$2:$C$151="founding_full")+(invoices!$C$2:$C$151="standard_balance"))*invoices!$H$2:$H$151))),""))</f>
        <v/>
      </c>
      <c r="DF28" s="32" t="str">
        <f aca="false">IF($A28="","",SUMIFS(invoices!$L$2:$L$151,invoices!$B$2:$B$151,$A28))</f>
        <v/>
      </c>
      <c r="DG28" s="32" t="str">
        <f aca="false">IF($A28="","",SUMIFS(costs!$E$2:$E$301,costs!$C$2:$C$301,$A28))</f>
        <v/>
      </c>
      <c r="DH28" s="32" t="str">
        <f aca="false">IF($A28="","",ROUND(IF(SUMIFS(campaigns!$BO$2:$BO$51,campaigns!$B$2:$B$51,$B28)=0,0,$BO28/SUMIFS(campaigns!$BO$2:$BO$51,campaigns!$B$2:$B$51,$B28))*(SUMIFS(costs!$E$2:$E$301,costs!$B$2:$B$301,$B28)-SUMPRODUCT((costs!$B$2:$B$301=$B28)*(LEN(costs!$C$2:$C$301)&gt;0)*costs!$E$2:$E$301)),2))</f>
        <v/>
      </c>
      <c r="DI28" s="33" t="str">
        <f aca="false">IF($A28="","",SUMIFS(hours!$E$2:$E$1501,hours!$C$2:$C$1501,$A28))</f>
        <v/>
      </c>
      <c r="DJ28" s="33" t="str">
        <f aca="false">IF($A28="","",ROUND(IF(SUMIFS(campaigns!$BO$2:$BO$51,campaigns!$B$2:$B$51,$B28)=0,0,$BO28/SUMIFS(campaigns!$BO$2:$BO$51,campaigns!$B$2:$B$51,$B28))*(SUMIFS(hours!$E$2:$E$1501,hours!$B$2:$B$1501,$B28)-SUMPRODUCT((hours!$B$2:$B$1501=$B28)*(LEN(hours!$C$2:$C$1501)&gt;0)*hours!$E$2:$E$1501)),2))</f>
        <v/>
      </c>
      <c r="DK28" s="32" t="str">
        <f aca="false">IF($A28="","",$DB28-$DF28-$DG28-$DH28)</f>
        <v/>
      </c>
      <c r="DL28" s="32" t="str">
        <f aca="false">IF($A28="","",IF(N($DI28)+N($DJ28)=0,"",ROUND($DK28/($DI28+$DJ28),2)))</f>
        <v/>
      </c>
      <c r="DM28" s="34" t="str">
        <f aca="false">IF($A28="","",IF(N($BP28)=0,"",COUNTIFS(approvals!$A$2:$A$251,$A28,approvals!$Q$2:$Q$251,"Y",approvals!$AK$2:$AK$251,"Y")/$BP28))</f>
        <v/>
      </c>
      <c r="DN28" s="33" t="str">
        <f aca="false">IF($A28="","",IF(COUNTIFS(approvals!$A$2:$A$251,$A28,approvals!$AC$2:$AC$251,"&gt;=0")=0,"",ROUND(SUMIFS(approvals!$AC$2:$AC$251,approvals!$A$2:$A$251,$A28)/COUNTIFS(approvals!$A$2:$A$251,$A28,approvals!$AC$2:$AC$251,"&gt;=0"),1)))</f>
        <v/>
      </c>
      <c r="DO28" s="31" t="str">
        <f aca="false">IF($A28="","",IFERROR(IF(INDEX(drops!$T$2:$T$21,MATCH($B28,drops!$A$2:$A$21,0))="","",INDEX(drops!$T$2:$T$21,MATCH($B28,drops!$A$2:$A$21,0))),""))</f>
        <v/>
      </c>
      <c r="DP28" s="31" t="str">
        <f aca="false">IF($A28="","",IFERROR(IF(INDEX(drops!$U$2:$U$21,MATCH($B28,drops!$A$2:$A$21,0))="","",INDEX(drops!$U$2:$U$21,MATCH($B28,drops!$A$2:$A$21,0))),""))</f>
        <v/>
      </c>
      <c r="DQ28" s="31" t="str">
        <f aca="false">IF($A28="","",IFERROR(IF(INDEX(drops!$W$2:$W$21,MATCH($B28,drops!$A$2:$A$21,0))="","",INDEX(drops!$W$2:$W$21,MATCH($B28,drops!$A$2:$A$21,0))),""))</f>
        <v/>
      </c>
      <c r="DR28" s="30" t="str">
        <f aca="false">IF($A28="","",IF($CE28="","",IF($CE28&gt;=config!$B$31,"pass","miss")))</f>
        <v/>
      </c>
      <c r="DS28" s="30" t="str">
        <f aca="false">IF($A28="","",IF($CI28="","",IF($CI28&gt;=config!$B$30,"pass","miss")))</f>
        <v/>
      </c>
      <c r="DT28" s="30" t="str">
        <f aca="true">IF($A28="","",IF($AT28="",IF($DO28="","",IF(IF(config!$B$37&lt;&gt;"",config!$B$37,TODAY())&gt;$DO28,"late","due")),IF($AT28&lt;=$DO28,"pass","late")))</f>
        <v/>
      </c>
      <c r="DU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","")&amp;IF($BZ28&lt;0,"reserve below zero: check inventory;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","")&amp;IF(AND($DA28="",$DQ28&lt;&gt;"",IF(config!$B$37&lt;&gt;"",config!$B$37,TODAY())&gt;$DQ28),"day-30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","")&amp;IF($DT28="late","report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f>
        <v/>
      </c>
      <c r="CL29" s="30" t="str">
        <f aca="false">IF($A29="","",SUMIFS(approvals!$AQ$2:$AQ$251,approvals!$A$2:$A$251,$A29))</f>
        <v/>
      </c>
      <c r="CM29" s="30" t="str">
        <f aca="false">IF($A29="","",SUMIFS(approvals!$AR$2:$AR$251,approvals!$A$2:$A$251,$A29))</f>
        <v/>
      </c>
      <c r="CN29" s="30" t="str">
        <f aca="false">IF($A29="","",SUMIFS(approvals!$AS$2:$AS$251,approvals!$A$2:$A$251,$A29))</f>
        <v/>
      </c>
      <c r="CO29" s="30" t="str">
        <f aca="false">IF($A29="","",SUMIFS(approvals!$AT$2:$AT$251,approvals!$A$2:$A$251,$A29))</f>
        <v/>
      </c>
      <c r="CP29" s="33" t="str">
        <f aca="false">IF($A29="","",IF(N($CO29)=0,"",ROUND(SUMIFS(approvals!$AU$2:$AU$251,approvals!$A$2:$A$251,$A29)/$CO29,1)))</f>
        <v/>
      </c>
      <c r="CQ29" s="30" t="str">
        <f aca="false">IF($A29="","",SUMIFS(approvals!$AV$2:$AV$251,approvals!$A$2:$A$251,$A29))</f>
        <v/>
      </c>
      <c r="CR29" s="30" t="str">
        <f aca="false">IF($A29="","",SUMIFS(approvals!$AW$2:$AW$251,approvals!$A$2:$A$251,$A29))</f>
        <v/>
      </c>
      <c r="CS29" s="30" t="str">
        <f aca="false">IF($A29="","",SUMIFS(approvals!$AX$2:$AX$251,approvals!$A$2:$A$251,$A29))</f>
        <v/>
      </c>
      <c r="CT29" s="30" t="str">
        <f aca="false">IF($A29="","",SUMIFS(approvals!$AY$2:$AY$251,approvals!$A$2:$A$251,$A29))</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f>
        <v/>
      </c>
      <c r="CW29" s="30" t="str">
        <f aca="false">IF($A29="","",SUMIFS(approvals!$AN$2:$AN$251,approvals!$A$2:$A$251,$A29))</f>
        <v/>
      </c>
      <c r="CX29" s="30" t="str">
        <f aca="false">IF($A29="","",SUMIFS(approvals!$AO$2:$AO$251,approvals!$A$2:$A$251,$A29))</f>
        <v/>
      </c>
      <c r="CY29" s="30" t="str">
        <f aca="false">IF($A29="","",IF($CZ29="","",SUMIFS(redemptions!$C$2:$C$121,redemptions!$A$2:$A$121,$A29,redemptions!$B$2:$B$121,$CZ29)))</f>
        <v/>
      </c>
      <c r="CZ29" s="31" t="str">
        <f aca="false">IF($A29="","",IFERROR(1/(1/SUMPRODUCT(MAX((redemptions!$A$2:$A$121=$A29)*redemptions!$B$2:$B$121))),""))</f>
        <v/>
      </c>
      <c r="DA29" s="30" t="str">
        <f aca="false">IF($A29="","",IF(COUNTIFS(redemptions!$A$2:$A$121,$A29,redemptions!$H$2:$H$121,"Y")=0,"",SUMIFS(redemptions!$C$2:$C$121,redemptions!$A$2:$A$121,$A29,redemptions!$B$2:$B$121,SUMPRODUCT(MIN((redemptions!$A$2:$A$121=$A29)*(redemptions!$H$2:$H$121="Y")*redemptions!$B$2:$B$121+((redemptions!$A$2:$A$121&lt;&gt;$A29)+(redemptions!$H$2:$H$121&lt;&gt;"Y")&gt;0)*1000000)))))</f>
        <v/>
      </c>
      <c r="DB29" s="32" t="str">
        <f aca="false">IF($A29="","",SUMIFS(invoices!$E$2:$E$151,invoices!$B$2:$B$151,$A29))</f>
        <v/>
      </c>
      <c r="DC29" s="32" t="str">
        <f aca="false">IF($A29="","",IF(COUNTIFS(invoices!$B$2:$B$151,$A29,invoices!$C$2:$C$151,"standard_deposit",invoices!$H$2:$H$151,"&gt;0")=0,"",SUMIFS(invoices!$I$2:$I$151,invoices!$B$2:$B$151,$A29,invoices!$C$2:$C$151,"standard_deposit")))</f>
        <v/>
      </c>
      <c r="DD29" s="31" t="str">
        <f aca="false">IF($A29="","",IFERROR(1/(1/SUMPRODUCT(MAX((invoices!$B$2:$B$151=$A29)*(invoices!$C$2:$C$151="standard_deposit")*invoices!$H$2:$H$151))),""))</f>
        <v/>
      </c>
      <c r="DE29" s="31" t="str">
        <f aca="false">IF($A29="","",IFERROR(1/(1/SUMPRODUCT(MAX((invoices!$B$2:$B$151=$A29)*((invoices!$C$2:$C$151="founding_full")+(invoices!$C$2:$C$151="standard_balance"))*invoices!$H$2:$H$151))),""))</f>
        <v/>
      </c>
      <c r="DF29" s="32" t="str">
        <f aca="false">IF($A29="","",SUMIFS(invoices!$L$2:$L$151,invoices!$B$2:$B$151,$A29))</f>
        <v/>
      </c>
      <c r="DG29" s="32" t="str">
        <f aca="false">IF($A29="","",SUMIFS(costs!$E$2:$E$301,costs!$C$2:$C$301,$A29))</f>
        <v/>
      </c>
      <c r="DH29" s="32" t="str">
        <f aca="false">IF($A29="","",ROUND(IF(SUMIFS(campaigns!$BO$2:$BO$51,campaigns!$B$2:$B$51,$B29)=0,0,$BO29/SUMIFS(campaigns!$BO$2:$BO$51,campaigns!$B$2:$B$51,$B29))*(SUMIFS(costs!$E$2:$E$301,costs!$B$2:$B$301,$B29)-SUMPRODUCT((costs!$B$2:$B$301=$B29)*(LEN(costs!$C$2:$C$301)&gt;0)*costs!$E$2:$E$301)),2))</f>
        <v/>
      </c>
      <c r="DI29" s="33" t="str">
        <f aca="false">IF($A29="","",SUMIFS(hours!$E$2:$E$1501,hours!$C$2:$C$1501,$A29))</f>
        <v/>
      </c>
      <c r="DJ29" s="33" t="str">
        <f aca="false">IF($A29="","",ROUND(IF(SUMIFS(campaigns!$BO$2:$BO$51,campaigns!$B$2:$B$51,$B29)=0,0,$BO29/SUMIFS(campaigns!$BO$2:$BO$51,campaigns!$B$2:$B$51,$B29))*(SUMIFS(hours!$E$2:$E$1501,hours!$B$2:$B$1501,$B29)-SUMPRODUCT((hours!$B$2:$B$1501=$B29)*(LEN(hours!$C$2:$C$1501)&gt;0)*hours!$E$2:$E$1501)),2))</f>
        <v/>
      </c>
      <c r="DK29" s="32" t="str">
        <f aca="false">IF($A29="","",$DB29-$DF29-$DG29-$DH29)</f>
        <v/>
      </c>
      <c r="DL29" s="32" t="str">
        <f aca="false">IF($A29="","",IF(N($DI29)+N($DJ29)=0,"",ROUND($DK29/($DI29+$DJ29),2)))</f>
        <v/>
      </c>
      <c r="DM29" s="34" t="str">
        <f aca="false">IF($A29="","",IF(N($BP29)=0,"",COUNTIFS(approvals!$A$2:$A$251,$A29,approvals!$Q$2:$Q$251,"Y",approvals!$AK$2:$AK$251,"Y")/$BP29))</f>
        <v/>
      </c>
      <c r="DN29" s="33" t="str">
        <f aca="false">IF($A29="","",IF(COUNTIFS(approvals!$A$2:$A$251,$A29,approvals!$AC$2:$AC$251,"&gt;=0")=0,"",ROUND(SUMIFS(approvals!$AC$2:$AC$251,approvals!$A$2:$A$251,$A29)/COUNTIFS(approvals!$A$2:$A$251,$A29,approvals!$AC$2:$AC$251,"&gt;=0"),1)))</f>
        <v/>
      </c>
      <c r="DO29" s="31" t="str">
        <f aca="false">IF($A29="","",IFERROR(IF(INDEX(drops!$T$2:$T$21,MATCH($B29,drops!$A$2:$A$21,0))="","",INDEX(drops!$T$2:$T$21,MATCH($B29,drops!$A$2:$A$21,0))),""))</f>
        <v/>
      </c>
      <c r="DP29" s="31" t="str">
        <f aca="false">IF($A29="","",IFERROR(IF(INDEX(drops!$U$2:$U$21,MATCH($B29,drops!$A$2:$A$21,0))="","",INDEX(drops!$U$2:$U$21,MATCH($B29,drops!$A$2:$A$21,0))),""))</f>
        <v/>
      </c>
      <c r="DQ29" s="31" t="str">
        <f aca="false">IF($A29="","",IFERROR(IF(INDEX(drops!$W$2:$W$21,MATCH($B29,drops!$A$2:$A$21,0))="","",INDEX(drops!$W$2:$W$21,MATCH($B29,drops!$A$2:$A$21,0))),""))</f>
        <v/>
      </c>
      <c r="DR29" s="30" t="str">
        <f aca="false">IF($A29="","",IF($CE29="","",IF($CE29&gt;=config!$B$31,"pass","miss")))</f>
        <v/>
      </c>
      <c r="DS29" s="30" t="str">
        <f aca="false">IF($A29="","",IF($CI29="","",IF($CI29&gt;=config!$B$30,"pass","miss")))</f>
        <v/>
      </c>
      <c r="DT29" s="30" t="str">
        <f aca="true">IF($A29="","",IF($AT29="",IF($DO29="","",IF(IF(config!$B$37&lt;&gt;"",config!$B$37,TODAY())&gt;$DO29,"late","due")),IF($AT29&lt;=$DO29,"pass","late")))</f>
        <v/>
      </c>
      <c r="DU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","")&amp;IF($BZ29&lt;0,"reserve below zero: check inventory;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","")&amp;IF(AND($DA29="",$DQ29&lt;&gt;"",IF(config!$B$37&lt;&gt;"",config!$B$37,TODAY())&gt;$DQ29),"day-30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","")&amp;IF($DT29="late","report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f>
        <v/>
      </c>
      <c r="CL30" s="30" t="str">
        <f aca="false">IF($A30="","",SUMIFS(approvals!$AQ$2:$AQ$251,approvals!$A$2:$A$251,$A30))</f>
        <v/>
      </c>
      <c r="CM30" s="30" t="str">
        <f aca="false">IF($A30="","",SUMIFS(approvals!$AR$2:$AR$251,approvals!$A$2:$A$251,$A30))</f>
        <v/>
      </c>
      <c r="CN30" s="30" t="str">
        <f aca="false">IF($A30="","",SUMIFS(approvals!$AS$2:$AS$251,approvals!$A$2:$A$251,$A30))</f>
        <v/>
      </c>
      <c r="CO30" s="30" t="str">
        <f aca="false">IF($A30="","",SUMIFS(approvals!$AT$2:$AT$251,approvals!$A$2:$A$251,$A30))</f>
        <v/>
      </c>
      <c r="CP30" s="33" t="str">
        <f aca="false">IF($A30="","",IF(N($CO30)=0,"",ROUND(SUMIFS(approvals!$AU$2:$AU$251,approvals!$A$2:$A$251,$A30)/$CO30,1)))</f>
        <v/>
      </c>
      <c r="CQ30" s="30" t="str">
        <f aca="false">IF($A30="","",SUMIFS(approvals!$AV$2:$AV$251,approvals!$A$2:$A$251,$A30))</f>
        <v/>
      </c>
      <c r="CR30" s="30" t="str">
        <f aca="false">IF($A30="","",SUMIFS(approvals!$AW$2:$AW$251,approvals!$A$2:$A$251,$A30))</f>
        <v/>
      </c>
      <c r="CS30" s="30" t="str">
        <f aca="false">IF($A30="","",SUMIFS(approvals!$AX$2:$AX$251,approvals!$A$2:$A$251,$A30))</f>
        <v/>
      </c>
      <c r="CT30" s="30" t="str">
        <f aca="false">IF($A30="","",SUMIFS(approvals!$AY$2:$AY$251,approvals!$A$2:$A$251,$A30))</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f>
        <v/>
      </c>
      <c r="CW30" s="30" t="str">
        <f aca="false">IF($A30="","",SUMIFS(approvals!$AN$2:$AN$251,approvals!$A$2:$A$251,$A30))</f>
        <v/>
      </c>
      <c r="CX30" s="30" t="str">
        <f aca="false">IF($A30="","",SUMIFS(approvals!$AO$2:$AO$251,approvals!$A$2:$A$251,$A30))</f>
        <v/>
      </c>
      <c r="CY30" s="30" t="str">
        <f aca="false">IF($A30="","",IF($CZ30="","",SUMIFS(redemptions!$C$2:$C$121,redemptions!$A$2:$A$121,$A30,redemptions!$B$2:$B$121,$CZ30)))</f>
        <v/>
      </c>
      <c r="CZ30" s="31" t="str">
        <f aca="false">IF($A30="","",IFERROR(1/(1/SUMPRODUCT(MAX((redemptions!$A$2:$A$121=$A30)*redemptions!$B$2:$B$121))),""))</f>
        <v/>
      </c>
      <c r="DA30" s="30" t="str">
        <f aca="false">IF($A30="","",IF(COUNTIFS(redemptions!$A$2:$A$121,$A30,redemptions!$H$2:$H$121,"Y")=0,"",SUMIFS(redemptions!$C$2:$C$121,redemptions!$A$2:$A$121,$A30,redemptions!$B$2:$B$121,SUMPRODUCT(MIN((redemptions!$A$2:$A$121=$A30)*(redemptions!$H$2:$H$121="Y")*redemptions!$B$2:$B$121+((redemptions!$A$2:$A$121&lt;&gt;$A30)+(redemptions!$H$2:$H$121&lt;&gt;"Y")&gt;0)*1000000)))))</f>
        <v/>
      </c>
      <c r="DB30" s="32" t="str">
        <f aca="false">IF($A30="","",SUMIFS(invoices!$E$2:$E$151,invoices!$B$2:$B$151,$A30))</f>
        <v/>
      </c>
      <c r="DC30" s="32" t="str">
        <f aca="false">IF($A30="","",IF(COUNTIFS(invoices!$B$2:$B$151,$A30,invoices!$C$2:$C$151,"standard_deposit",invoices!$H$2:$H$151,"&gt;0")=0,"",SUMIFS(invoices!$I$2:$I$151,invoices!$B$2:$B$151,$A30,invoices!$C$2:$C$151,"standard_deposit")))</f>
        <v/>
      </c>
      <c r="DD30" s="31" t="str">
        <f aca="false">IF($A30="","",IFERROR(1/(1/SUMPRODUCT(MAX((invoices!$B$2:$B$151=$A30)*(invoices!$C$2:$C$151="standard_deposit")*invoices!$H$2:$H$151))),""))</f>
        <v/>
      </c>
      <c r="DE30" s="31" t="str">
        <f aca="false">IF($A30="","",IFERROR(1/(1/SUMPRODUCT(MAX((invoices!$B$2:$B$151=$A30)*((invoices!$C$2:$C$151="founding_full")+(invoices!$C$2:$C$151="standard_balance"))*invoices!$H$2:$H$151))),""))</f>
        <v/>
      </c>
      <c r="DF30" s="32" t="str">
        <f aca="false">IF($A30="","",SUMIFS(invoices!$L$2:$L$151,invoices!$B$2:$B$151,$A30))</f>
        <v/>
      </c>
      <c r="DG30" s="32" t="str">
        <f aca="false">IF($A30="","",SUMIFS(costs!$E$2:$E$301,costs!$C$2:$C$301,$A30))</f>
        <v/>
      </c>
      <c r="DH30" s="32" t="str">
        <f aca="false">IF($A30="","",ROUND(IF(SUMIFS(campaigns!$BO$2:$BO$51,campaigns!$B$2:$B$51,$B30)=0,0,$BO30/SUMIFS(campaigns!$BO$2:$BO$51,campaigns!$B$2:$B$51,$B30))*(SUMIFS(costs!$E$2:$E$301,costs!$B$2:$B$301,$B30)-SUMPRODUCT((costs!$B$2:$B$301=$B30)*(LEN(costs!$C$2:$C$301)&gt;0)*costs!$E$2:$E$301)),2))</f>
        <v/>
      </c>
      <c r="DI30" s="33" t="str">
        <f aca="false">IF($A30="","",SUMIFS(hours!$E$2:$E$1501,hours!$C$2:$C$1501,$A30))</f>
        <v/>
      </c>
      <c r="DJ30" s="33" t="str">
        <f aca="false">IF($A30="","",ROUND(IF(SUMIFS(campaigns!$BO$2:$BO$51,campaigns!$B$2:$B$51,$B30)=0,0,$BO30/SUMIFS(campaigns!$BO$2:$BO$51,campaigns!$B$2:$B$51,$B30))*(SUMIFS(hours!$E$2:$E$1501,hours!$B$2:$B$1501,$B30)-SUMPRODUCT((hours!$B$2:$B$1501=$B30)*(LEN(hours!$C$2:$C$1501)&gt;0)*hours!$E$2:$E$1501)),2))</f>
        <v/>
      </c>
      <c r="DK30" s="32" t="str">
        <f aca="false">IF($A30="","",$DB30-$DF30-$DG30-$DH30)</f>
        <v/>
      </c>
      <c r="DL30" s="32" t="str">
        <f aca="false">IF($A30="","",IF(N($DI30)+N($DJ30)=0,"",ROUND($DK30/($DI30+$DJ30),2)))</f>
        <v/>
      </c>
      <c r="DM30" s="34" t="str">
        <f aca="false">IF($A30="","",IF(N($BP30)=0,"",COUNTIFS(approvals!$A$2:$A$251,$A30,approvals!$Q$2:$Q$251,"Y",approvals!$AK$2:$AK$251,"Y")/$BP30))</f>
        <v/>
      </c>
      <c r="DN30" s="33" t="str">
        <f aca="false">IF($A30="","",IF(COUNTIFS(approvals!$A$2:$A$251,$A30,approvals!$AC$2:$AC$251,"&gt;=0")=0,"",ROUND(SUMIFS(approvals!$AC$2:$AC$251,approvals!$A$2:$A$251,$A30)/COUNTIFS(approvals!$A$2:$A$251,$A30,approvals!$AC$2:$AC$251,"&gt;=0"),1)))</f>
        <v/>
      </c>
      <c r="DO30" s="31" t="str">
        <f aca="false">IF($A30="","",IFERROR(IF(INDEX(drops!$T$2:$T$21,MATCH($B30,drops!$A$2:$A$21,0))="","",INDEX(drops!$T$2:$T$21,MATCH($B30,drops!$A$2:$A$21,0))),""))</f>
        <v/>
      </c>
      <c r="DP30" s="31" t="str">
        <f aca="false">IF($A30="","",IFERROR(IF(INDEX(drops!$U$2:$U$21,MATCH($B30,drops!$A$2:$A$21,0))="","",INDEX(drops!$U$2:$U$21,MATCH($B30,drops!$A$2:$A$21,0))),""))</f>
        <v/>
      </c>
      <c r="DQ30" s="31" t="str">
        <f aca="false">IF($A30="","",IFERROR(IF(INDEX(drops!$W$2:$W$21,MATCH($B30,drops!$A$2:$A$21,0))="","",INDEX(drops!$W$2:$W$21,MATCH($B30,drops!$A$2:$A$21,0))),""))</f>
        <v/>
      </c>
      <c r="DR30" s="30" t="str">
        <f aca="false">IF($A30="","",IF($CE30="","",IF($CE30&gt;=config!$B$31,"pass","miss")))</f>
        <v/>
      </c>
      <c r="DS30" s="30" t="str">
        <f aca="false">IF($A30="","",IF($CI30="","",IF($CI30&gt;=config!$B$30,"pass","miss")))</f>
        <v/>
      </c>
      <c r="DT30" s="30" t="str">
        <f aca="true">IF($A30="","",IF($AT30="",IF($DO30="","",IF(IF(config!$B$37&lt;&gt;"",config!$B$37,TODAY())&gt;$DO30,"late","due")),IF($AT30&lt;=$DO30,"pass","late")))</f>
        <v/>
      </c>
      <c r="DU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","")&amp;IF($BZ30&lt;0,"reserve below zero: check inventory;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","")&amp;IF(AND($DA30="",$DQ30&lt;&gt;"",IF(config!$B$37&lt;&gt;"",config!$B$37,TODAY())&gt;$DQ30),"day-30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","")&amp;IF($DT30="late","report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f>
        <v/>
      </c>
      <c r="CL31" s="30" t="str">
        <f aca="false">IF($A31="","",SUMIFS(approvals!$AQ$2:$AQ$251,approvals!$A$2:$A$251,$A31))</f>
        <v/>
      </c>
      <c r="CM31" s="30" t="str">
        <f aca="false">IF($A31="","",SUMIFS(approvals!$AR$2:$AR$251,approvals!$A$2:$A$251,$A31))</f>
        <v/>
      </c>
      <c r="CN31" s="30" t="str">
        <f aca="false">IF($A31="","",SUMIFS(approvals!$AS$2:$AS$251,approvals!$A$2:$A$251,$A31))</f>
        <v/>
      </c>
      <c r="CO31" s="30" t="str">
        <f aca="false">IF($A31="","",SUMIFS(approvals!$AT$2:$AT$251,approvals!$A$2:$A$251,$A31))</f>
        <v/>
      </c>
      <c r="CP31" s="33" t="str">
        <f aca="false">IF($A31="","",IF(N($CO31)=0,"",ROUND(SUMIFS(approvals!$AU$2:$AU$251,approvals!$A$2:$A$251,$A31)/$CO31,1)))</f>
        <v/>
      </c>
      <c r="CQ31" s="30" t="str">
        <f aca="false">IF($A31="","",SUMIFS(approvals!$AV$2:$AV$251,approvals!$A$2:$A$251,$A31))</f>
        <v/>
      </c>
      <c r="CR31" s="30" t="str">
        <f aca="false">IF($A31="","",SUMIFS(approvals!$AW$2:$AW$251,approvals!$A$2:$A$251,$A31))</f>
        <v/>
      </c>
      <c r="CS31" s="30" t="str">
        <f aca="false">IF($A31="","",SUMIFS(approvals!$AX$2:$AX$251,approvals!$A$2:$A$251,$A31))</f>
        <v/>
      </c>
      <c r="CT31" s="30" t="str">
        <f aca="false">IF($A31="","",SUMIFS(approvals!$AY$2:$AY$251,approvals!$A$2:$A$251,$A31))</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f>
        <v/>
      </c>
      <c r="CW31" s="30" t="str">
        <f aca="false">IF($A31="","",SUMIFS(approvals!$AN$2:$AN$251,approvals!$A$2:$A$251,$A31))</f>
        <v/>
      </c>
      <c r="CX31" s="30" t="str">
        <f aca="false">IF($A31="","",SUMIFS(approvals!$AO$2:$AO$251,approvals!$A$2:$A$251,$A31))</f>
        <v/>
      </c>
      <c r="CY31" s="30" t="str">
        <f aca="false">IF($A31="","",IF($CZ31="","",SUMIFS(redemptions!$C$2:$C$121,redemptions!$A$2:$A$121,$A31,redemptions!$B$2:$B$121,$CZ31)))</f>
        <v/>
      </c>
      <c r="CZ31" s="31" t="str">
        <f aca="false">IF($A31="","",IFERROR(1/(1/SUMPRODUCT(MAX((redemptions!$A$2:$A$121=$A31)*redemptions!$B$2:$B$121))),""))</f>
        <v/>
      </c>
      <c r="DA31" s="30" t="str">
        <f aca="false">IF($A31="","",IF(COUNTIFS(redemptions!$A$2:$A$121,$A31,redemptions!$H$2:$H$121,"Y")=0,"",SUMIFS(redemptions!$C$2:$C$121,redemptions!$A$2:$A$121,$A31,redemptions!$B$2:$B$121,SUMPRODUCT(MIN((redemptions!$A$2:$A$121=$A31)*(redemptions!$H$2:$H$121="Y")*redemptions!$B$2:$B$121+((redemptions!$A$2:$A$121&lt;&gt;$A31)+(redemptions!$H$2:$H$121&lt;&gt;"Y")&gt;0)*1000000)))))</f>
        <v/>
      </c>
      <c r="DB31" s="32" t="str">
        <f aca="false">IF($A31="","",SUMIFS(invoices!$E$2:$E$151,invoices!$B$2:$B$151,$A31))</f>
        <v/>
      </c>
      <c r="DC31" s="32" t="str">
        <f aca="false">IF($A31="","",IF(COUNTIFS(invoices!$B$2:$B$151,$A31,invoices!$C$2:$C$151,"standard_deposit",invoices!$H$2:$H$151,"&gt;0")=0,"",SUMIFS(invoices!$I$2:$I$151,invoices!$B$2:$B$151,$A31,invoices!$C$2:$C$151,"standard_deposit")))</f>
        <v/>
      </c>
      <c r="DD31" s="31" t="str">
        <f aca="false">IF($A31="","",IFERROR(1/(1/SUMPRODUCT(MAX((invoices!$B$2:$B$151=$A31)*(invoices!$C$2:$C$151="standard_deposit")*invoices!$H$2:$H$151))),""))</f>
        <v/>
      </c>
      <c r="DE31" s="31" t="str">
        <f aca="false">IF($A31="","",IFERROR(1/(1/SUMPRODUCT(MAX((invoices!$B$2:$B$151=$A31)*((invoices!$C$2:$C$151="founding_full")+(invoices!$C$2:$C$151="standard_balance"))*invoices!$H$2:$H$151))),""))</f>
        <v/>
      </c>
      <c r="DF31" s="32" t="str">
        <f aca="false">IF($A31="","",SUMIFS(invoices!$L$2:$L$151,invoices!$B$2:$B$151,$A31))</f>
        <v/>
      </c>
      <c r="DG31" s="32" t="str">
        <f aca="false">IF($A31="","",SUMIFS(costs!$E$2:$E$301,costs!$C$2:$C$301,$A31))</f>
        <v/>
      </c>
      <c r="DH31" s="32" t="str">
        <f aca="false">IF($A31="","",ROUND(IF(SUMIFS(campaigns!$BO$2:$BO$51,campaigns!$B$2:$B$51,$B31)=0,0,$BO31/SUMIFS(campaigns!$BO$2:$BO$51,campaigns!$B$2:$B$51,$B31))*(SUMIFS(costs!$E$2:$E$301,costs!$B$2:$B$301,$B31)-SUMPRODUCT((costs!$B$2:$B$301=$B31)*(LEN(costs!$C$2:$C$301)&gt;0)*costs!$E$2:$E$301)),2))</f>
        <v/>
      </c>
      <c r="DI31" s="33" t="str">
        <f aca="false">IF($A31="","",SUMIFS(hours!$E$2:$E$1501,hours!$C$2:$C$1501,$A31))</f>
        <v/>
      </c>
      <c r="DJ31" s="33" t="str">
        <f aca="false">IF($A31="","",ROUND(IF(SUMIFS(campaigns!$BO$2:$BO$51,campaigns!$B$2:$B$51,$B31)=0,0,$BO31/SUMIFS(campaigns!$BO$2:$BO$51,campaigns!$B$2:$B$51,$B31))*(SUMIFS(hours!$E$2:$E$1501,hours!$B$2:$B$1501,$B31)-SUMPRODUCT((hours!$B$2:$B$1501=$B31)*(LEN(hours!$C$2:$C$1501)&gt;0)*hours!$E$2:$E$1501)),2))</f>
        <v/>
      </c>
      <c r="DK31" s="32" t="str">
        <f aca="false">IF($A31="","",$DB31-$DF31-$DG31-$DH31)</f>
        <v/>
      </c>
      <c r="DL31" s="32" t="str">
        <f aca="false">IF($A31="","",IF(N($DI31)+N($DJ31)=0,"",ROUND($DK31/($DI31+$DJ31),2)))</f>
        <v/>
      </c>
      <c r="DM31" s="34" t="str">
        <f aca="false">IF($A31="","",IF(N($BP31)=0,"",COUNTIFS(approvals!$A$2:$A$251,$A31,approvals!$Q$2:$Q$251,"Y",approvals!$AK$2:$AK$251,"Y")/$BP31))</f>
        <v/>
      </c>
      <c r="DN31" s="33" t="str">
        <f aca="false">IF($A31="","",IF(COUNTIFS(approvals!$A$2:$A$251,$A31,approvals!$AC$2:$AC$251,"&gt;=0")=0,"",ROUND(SUMIFS(approvals!$AC$2:$AC$251,approvals!$A$2:$A$251,$A31)/COUNTIFS(approvals!$A$2:$A$251,$A31,approvals!$AC$2:$AC$251,"&gt;=0"),1)))</f>
        <v/>
      </c>
      <c r="DO31" s="31" t="str">
        <f aca="false">IF($A31="","",IFERROR(IF(INDEX(drops!$T$2:$T$21,MATCH($B31,drops!$A$2:$A$21,0))="","",INDEX(drops!$T$2:$T$21,MATCH($B31,drops!$A$2:$A$21,0))),""))</f>
        <v/>
      </c>
      <c r="DP31" s="31" t="str">
        <f aca="false">IF($A31="","",IFERROR(IF(INDEX(drops!$U$2:$U$21,MATCH($B31,drops!$A$2:$A$21,0))="","",INDEX(drops!$U$2:$U$21,MATCH($B31,drops!$A$2:$A$21,0))),""))</f>
        <v/>
      </c>
      <c r="DQ31" s="31" t="str">
        <f aca="false">IF($A31="","",IFERROR(IF(INDEX(drops!$W$2:$W$21,MATCH($B31,drops!$A$2:$A$21,0))="","",INDEX(drops!$W$2:$W$21,MATCH($B31,drops!$A$2:$A$21,0))),""))</f>
        <v/>
      </c>
      <c r="DR31" s="30" t="str">
        <f aca="false">IF($A31="","",IF($CE31="","",IF($CE31&gt;=config!$B$31,"pass","miss")))</f>
        <v/>
      </c>
      <c r="DS31" s="30" t="str">
        <f aca="false">IF($A31="","",IF($CI31="","",IF($CI31&gt;=config!$B$30,"pass","miss")))</f>
        <v/>
      </c>
      <c r="DT31" s="30" t="str">
        <f aca="true">IF($A31="","",IF($AT31="",IF($DO31="","",IF(IF(config!$B$37&lt;&gt;"",config!$B$37,TODAY())&gt;$DO31,"late","due")),IF($AT31&lt;=$DO31,"pass","late")))</f>
        <v/>
      </c>
      <c r="DU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","")&amp;IF($BZ31&lt;0,"reserve below zero: check inventory;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","")&amp;IF(AND($DA31="",$DQ31&lt;&gt;"",IF(config!$B$37&lt;&gt;"",config!$B$37,TODAY())&gt;$DQ31),"day-30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","")&amp;IF($DT31="late","report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f>
        <v/>
      </c>
      <c r="CL32" s="30" t="str">
        <f aca="false">IF($A32="","",SUMIFS(approvals!$AQ$2:$AQ$251,approvals!$A$2:$A$251,$A32))</f>
        <v/>
      </c>
      <c r="CM32" s="30" t="str">
        <f aca="false">IF($A32="","",SUMIFS(approvals!$AR$2:$AR$251,approvals!$A$2:$A$251,$A32))</f>
        <v/>
      </c>
      <c r="CN32" s="30" t="str">
        <f aca="false">IF($A32="","",SUMIFS(approvals!$AS$2:$AS$251,approvals!$A$2:$A$251,$A32))</f>
        <v/>
      </c>
      <c r="CO32" s="30" t="str">
        <f aca="false">IF($A32="","",SUMIFS(approvals!$AT$2:$AT$251,approvals!$A$2:$A$251,$A32))</f>
        <v/>
      </c>
      <c r="CP32" s="33" t="str">
        <f aca="false">IF($A32="","",IF(N($CO32)=0,"",ROUND(SUMIFS(approvals!$AU$2:$AU$251,approvals!$A$2:$A$251,$A32)/$CO32,1)))</f>
        <v/>
      </c>
      <c r="CQ32" s="30" t="str">
        <f aca="false">IF($A32="","",SUMIFS(approvals!$AV$2:$AV$251,approvals!$A$2:$A$251,$A32))</f>
        <v/>
      </c>
      <c r="CR32" s="30" t="str">
        <f aca="false">IF($A32="","",SUMIFS(approvals!$AW$2:$AW$251,approvals!$A$2:$A$251,$A32))</f>
        <v/>
      </c>
      <c r="CS32" s="30" t="str">
        <f aca="false">IF($A32="","",SUMIFS(approvals!$AX$2:$AX$251,approvals!$A$2:$A$251,$A32))</f>
        <v/>
      </c>
      <c r="CT32" s="30" t="str">
        <f aca="false">IF($A32="","",SUMIFS(approvals!$AY$2:$AY$251,approvals!$A$2:$A$251,$A32))</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f>
        <v/>
      </c>
      <c r="CW32" s="30" t="str">
        <f aca="false">IF($A32="","",SUMIFS(approvals!$AN$2:$AN$251,approvals!$A$2:$A$251,$A32))</f>
        <v/>
      </c>
      <c r="CX32" s="30" t="str">
        <f aca="false">IF($A32="","",SUMIFS(approvals!$AO$2:$AO$251,approvals!$A$2:$A$251,$A32))</f>
        <v/>
      </c>
      <c r="CY32" s="30" t="str">
        <f aca="false">IF($A32="","",IF($CZ32="","",SUMIFS(redemptions!$C$2:$C$121,redemptions!$A$2:$A$121,$A32,redemptions!$B$2:$B$121,$CZ32)))</f>
        <v/>
      </c>
      <c r="CZ32" s="31" t="str">
        <f aca="false">IF($A32="","",IFERROR(1/(1/SUMPRODUCT(MAX((redemptions!$A$2:$A$121=$A32)*redemptions!$B$2:$B$121))),""))</f>
        <v/>
      </c>
      <c r="DA32" s="30" t="str">
        <f aca="false">IF($A32="","",IF(COUNTIFS(redemptions!$A$2:$A$121,$A32,redemptions!$H$2:$H$121,"Y")=0,"",SUMIFS(redemptions!$C$2:$C$121,redemptions!$A$2:$A$121,$A32,redemptions!$B$2:$B$121,SUMPRODUCT(MIN((redemptions!$A$2:$A$121=$A32)*(redemptions!$H$2:$H$121="Y")*redemptions!$B$2:$B$121+((redemptions!$A$2:$A$121&lt;&gt;$A32)+(redemptions!$H$2:$H$121&lt;&gt;"Y")&gt;0)*1000000)))))</f>
        <v/>
      </c>
      <c r="DB32" s="32" t="str">
        <f aca="false">IF($A32="","",SUMIFS(invoices!$E$2:$E$151,invoices!$B$2:$B$151,$A32))</f>
        <v/>
      </c>
      <c r="DC32" s="32" t="str">
        <f aca="false">IF($A32="","",IF(COUNTIFS(invoices!$B$2:$B$151,$A32,invoices!$C$2:$C$151,"standard_deposit",invoices!$H$2:$H$151,"&gt;0")=0,"",SUMIFS(invoices!$I$2:$I$151,invoices!$B$2:$B$151,$A32,invoices!$C$2:$C$151,"standard_deposit")))</f>
        <v/>
      </c>
      <c r="DD32" s="31" t="str">
        <f aca="false">IF($A32="","",IFERROR(1/(1/SUMPRODUCT(MAX((invoices!$B$2:$B$151=$A32)*(invoices!$C$2:$C$151="standard_deposit")*invoices!$H$2:$H$151))),""))</f>
        <v/>
      </c>
      <c r="DE32" s="31" t="str">
        <f aca="false">IF($A32="","",IFERROR(1/(1/SUMPRODUCT(MAX((invoices!$B$2:$B$151=$A32)*((invoices!$C$2:$C$151="founding_full")+(invoices!$C$2:$C$151="standard_balance"))*invoices!$H$2:$H$151))),""))</f>
        <v/>
      </c>
      <c r="DF32" s="32" t="str">
        <f aca="false">IF($A32="","",SUMIFS(invoices!$L$2:$L$151,invoices!$B$2:$B$151,$A32))</f>
        <v/>
      </c>
      <c r="DG32" s="32" t="str">
        <f aca="false">IF($A32="","",SUMIFS(costs!$E$2:$E$301,costs!$C$2:$C$301,$A32))</f>
        <v/>
      </c>
      <c r="DH32" s="32" t="str">
        <f aca="false">IF($A32="","",ROUND(IF(SUMIFS(campaigns!$BO$2:$BO$51,campaigns!$B$2:$B$51,$B32)=0,0,$BO32/SUMIFS(campaigns!$BO$2:$BO$51,campaigns!$B$2:$B$51,$B32))*(SUMIFS(costs!$E$2:$E$301,costs!$B$2:$B$301,$B32)-SUMPRODUCT((costs!$B$2:$B$301=$B32)*(LEN(costs!$C$2:$C$301)&gt;0)*costs!$E$2:$E$301)),2))</f>
        <v/>
      </c>
      <c r="DI32" s="33" t="str">
        <f aca="false">IF($A32="","",SUMIFS(hours!$E$2:$E$1501,hours!$C$2:$C$1501,$A32))</f>
        <v/>
      </c>
      <c r="DJ32" s="33" t="str">
        <f aca="false">IF($A32="","",ROUND(IF(SUMIFS(campaigns!$BO$2:$BO$51,campaigns!$B$2:$B$51,$B32)=0,0,$BO32/SUMIFS(campaigns!$BO$2:$BO$51,campaigns!$B$2:$B$51,$B32))*(SUMIFS(hours!$E$2:$E$1501,hours!$B$2:$B$1501,$B32)-SUMPRODUCT((hours!$B$2:$B$1501=$B32)*(LEN(hours!$C$2:$C$1501)&gt;0)*hours!$E$2:$E$1501)),2))</f>
        <v/>
      </c>
      <c r="DK32" s="32" t="str">
        <f aca="false">IF($A32="","",$DB32-$DF32-$DG32-$DH32)</f>
        <v/>
      </c>
      <c r="DL32" s="32" t="str">
        <f aca="false">IF($A32="","",IF(N($DI32)+N($DJ32)=0,"",ROUND($DK32/($DI32+$DJ32),2)))</f>
        <v/>
      </c>
      <c r="DM32" s="34" t="str">
        <f aca="false">IF($A32="","",IF(N($BP32)=0,"",COUNTIFS(approvals!$A$2:$A$251,$A32,approvals!$Q$2:$Q$251,"Y",approvals!$AK$2:$AK$251,"Y")/$BP32))</f>
        <v/>
      </c>
      <c r="DN32" s="33" t="str">
        <f aca="false">IF($A32="","",IF(COUNTIFS(approvals!$A$2:$A$251,$A32,approvals!$AC$2:$AC$251,"&gt;=0")=0,"",ROUND(SUMIFS(approvals!$AC$2:$AC$251,approvals!$A$2:$A$251,$A32)/COUNTIFS(approvals!$A$2:$A$251,$A32,approvals!$AC$2:$AC$251,"&gt;=0"),1)))</f>
        <v/>
      </c>
      <c r="DO32" s="31" t="str">
        <f aca="false">IF($A32="","",IFERROR(IF(INDEX(drops!$T$2:$T$21,MATCH($B32,drops!$A$2:$A$21,0))="","",INDEX(drops!$T$2:$T$21,MATCH($B32,drops!$A$2:$A$21,0))),""))</f>
        <v/>
      </c>
      <c r="DP32" s="31" t="str">
        <f aca="false">IF($A32="","",IFERROR(IF(INDEX(drops!$U$2:$U$21,MATCH($B32,drops!$A$2:$A$21,0))="","",INDEX(drops!$U$2:$U$21,MATCH($B32,drops!$A$2:$A$21,0))),""))</f>
        <v/>
      </c>
      <c r="DQ32" s="31" t="str">
        <f aca="false">IF($A32="","",IFERROR(IF(INDEX(drops!$W$2:$W$21,MATCH($B32,drops!$A$2:$A$21,0))="","",INDEX(drops!$W$2:$W$21,MATCH($B32,drops!$A$2:$A$21,0))),""))</f>
        <v/>
      </c>
      <c r="DR32" s="30" t="str">
        <f aca="false">IF($A32="","",IF($CE32="","",IF($CE32&gt;=config!$B$31,"pass","miss")))</f>
        <v/>
      </c>
      <c r="DS32" s="30" t="str">
        <f aca="false">IF($A32="","",IF($CI32="","",IF($CI32&gt;=config!$B$30,"pass","miss")))</f>
        <v/>
      </c>
      <c r="DT32" s="30" t="str">
        <f aca="true">IF($A32="","",IF($AT32="",IF($DO32="","",IF(IF(config!$B$37&lt;&gt;"",config!$B$37,TODAY())&gt;$DO32,"late","due")),IF($AT32&lt;=$DO32,"pass","late")))</f>
        <v/>
      </c>
      <c r="DU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","")&amp;IF($BZ32&lt;0,"reserve below zero: check inventory;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","")&amp;IF(AND($DA32="",$DQ32&lt;&gt;"",IF(config!$B$37&lt;&gt;"",config!$B$37,TODAY())&gt;$DQ32),"day-30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","")&amp;IF($DT32="late","report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f>
        <v/>
      </c>
      <c r="CL33" s="30" t="str">
        <f aca="false">IF($A33="","",SUMIFS(approvals!$AQ$2:$AQ$251,approvals!$A$2:$A$251,$A33))</f>
        <v/>
      </c>
      <c r="CM33" s="30" t="str">
        <f aca="false">IF($A33="","",SUMIFS(approvals!$AR$2:$AR$251,approvals!$A$2:$A$251,$A33))</f>
        <v/>
      </c>
      <c r="CN33" s="30" t="str">
        <f aca="false">IF($A33="","",SUMIFS(approvals!$AS$2:$AS$251,approvals!$A$2:$A$251,$A33))</f>
        <v/>
      </c>
      <c r="CO33" s="30" t="str">
        <f aca="false">IF($A33="","",SUMIFS(approvals!$AT$2:$AT$251,approvals!$A$2:$A$251,$A33))</f>
        <v/>
      </c>
      <c r="CP33" s="33" t="str">
        <f aca="false">IF($A33="","",IF(N($CO33)=0,"",ROUND(SUMIFS(approvals!$AU$2:$AU$251,approvals!$A$2:$A$251,$A33)/$CO33,1)))</f>
        <v/>
      </c>
      <c r="CQ33" s="30" t="str">
        <f aca="false">IF($A33="","",SUMIFS(approvals!$AV$2:$AV$251,approvals!$A$2:$A$251,$A33))</f>
        <v/>
      </c>
      <c r="CR33" s="30" t="str">
        <f aca="false">IF($A33="","",SUMIFS(approvals!$AW$2:$AW$251,approvals!$A$2:$A$251,$A33))</f>
        <v/>
      </c>
      <c r="CS33" s="30" t="str">
        <f aca="false">IF($A33="","",SUMIFS(approvals!$AX$2:$AX$251,approvals!$A$2:$A$251,$A33))</f>
        <v/>
      </c>
      <c r="CT33" s="30" t="str">
        <f aca="false">IF($A33="","",SUMIFS(approvals!$AY$2:$AY$251,approvals!$A$2:$A$251,$A33))</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f>
        <v/>
      </c>
      <c r="CW33" s="30" t="str">
        <f aca="false">IF($A33="","",SUMIFS(approvals!$AN$2:$AN$251,approvals!$A$2:$A$251,$A33))</f>
        <v/>
      </c>
      <c r="CX33" s="30" t="str">
        <f aca="false">IF($A33="","",SUMIFS(approvals!$AO$2:$AO$251,approvals!$A$2:$A$251,$A33))</f>
        <v/>
      </c>
      <c r="CY33" s="30" t="str">
        <f aca="false">IF($A33="","",IF($CZ33="","",SUMIFS(redemptions!$C$2:$C$121,redemptions!$A$2:$A$121,$A33,redemptions!$B$2:$B$121,$CZ33)))</f>
        <v/>
      </c>
      <c r="CZ33" s="31" t="str">
        <f aca="false">IF($A33="","",IFERROR(1/(1/SUMPRODUCT(MAX((redemptions!$A$2:$A$121=$A33)*redemptions!$B$2:$B$121))),""))</f>
        <v/>
      </c>
      <c r="DA33" s="30" t="str">
        <f aca="false">IF($A33="","",IF(COUNTIFS(redemptions!$A$2:$A$121,$A33,redemptions!$H$2:$H$121,"Y")=0,"",SUMIFS(redemptions!$C$2:$C$121,redemptions!$A$2:$A$121,$A33,redemptions!$B$2:$B$121,SUMPRODUCT(MIN((redemptions!$A$2:$A$121=$A33)*(redemptions!$H$2:$H$121="Y")*redemptions!$B$2:$B$121+((redemptions!$A$2:$A$121&lt;&gt;$A33)+(redemptions!$H$2:$H$121&lt;&gt;"Y")&gt;0)*1000000)))))</f>
        <v/>
      </c>
      <c r="DB33" s="32" t="str">
        <f aca="false">IF($A33="","",SUMIFS(invoices!$E$2:$E$151,invoices!$B$2:$B$151,$A33))</f>
        <v/>
      </c>
      <c r="DC33" s="32" t="str">
        <f aca="false">IF($A33="","",IF(COUNTIFS(invoices!$B$2:$B$151,$A33,invoices!$C$2:$C$151,"standard_deposit",invoices!$H$2:$H$151,"&gt;0")=0,"",SUMIFS(invoices!$I$2:$I$151,invoices!$B$2:$B$151,$A33,invoices!$C$2:$C$151,"standard_deposit")))</f>
        <v/>
      </c>
      <c r="DD33" s="31" t="str">
        <f aca="false">IF($A33="","",IFERROR(1/(1/SUMPRODUCT(MAX((invoices!$B$2:$B$151=$A33)*(invoices!$C$2:$C$151="standard_deposit")*invoices!$H$2:$H$151))),""))</f>
        <v/>
      </c>
      <c r="DE33" s="31" t="str">
        <f aca="false">IF($A33="","",IFERROR(1/(1/SUMPRODUCT(MAX((invoices!$B$2:$B$151=$A33)*((invoices!$C$2:$C$151="founding_full")+(invoices!$C$2:$C$151="standard_balance"))*invoices!$H$2:$H$151))),""))</f>
        <v/>
      </c>
      <c r="DF33" s="32" t="str">
        <f aca="false">IF($A33="","",SUMIFS(invoices!$L$2:$L$151,invoices!$B$2:$B$151,$A33))</f>
        <v/>
      </c>
      <c r="DG33" s="32" t="str">
        <f aca="false">IF($A33="","",SUMIFS(costs!$E$2:$E$301,costs!$C$2:$C$301,$A33))</f>
        <v/>
      </c>
      <c r="DH33" s="32" t="str">
        <f aca="false">IF($A33="","",ROUND(IF(SUMIFS(campaigns!$BO$2:$BO$51,campaigns!$B$2:$B$51,$B33)=0,0,$BO33/SUMIFS(campaigns!$BO$2:$BO$51,campaigns!$B$2:$B$51,$B33))*(SUMIFS(costs!$E$2:$E$301,costs!$B$2:$B$301,$B33)-SUMPRODUCT((costs!$B$2:$B$301=$B33)*(LEN(costs!$C$2:$C$301)&gt;0)*costs!$E$2:$E$301)),2))</f>
        <v/>
      </c>
      <c r="DI33" s="33" t="str">
        <f aca="false">IF($A33="","",SUMIFS(hours!$E$2:$E$1501,hours!$C$2:$C$1501,$A33))</f>
        <v/>
      </c>
      <c r="DJ33" s="33" t="str">
        <f aca="false">IF($A33="","",ROUND(IF(SUMIFS(campaigns!$BO$2:$BO$51,campaigns!$B$2:$B$51,$B33)=0,0,$BO33/SUMIFS(campaigns!$BO$2:$BO$51,campaigns!$B$2:$B$51,$B33))*(SUMIFS(hours!$E$2:$E$1501,hours!$B$2:$B$1501,$B33)-SUMPRODUCT((hours!$B$2:$B$1501=$B33)*(LEN(hours!$C$2:$C$1501)&gt;0)*hours!$E$2:$E$1501)),2))</f>
        <v/>
      </c>
      <c r="DK33" s="32" t="str">
        <f aca="false">IF($A33="","",$DB33-$DF33-$DG33-$DH33)</f>
        <v/>
      </c>
      <c r="DL33" s="32" t="str">
        <f aca="false">IF($A33="","",IF(N($DI33)+N($DJ33)=0,"",ROUND($DK33/($DI33+$DJ33),2)))</f>
        <v/>
      </c>
      <c r="DM33" s="34" t="str">
        <f aca="false">IF($A33="","",IF(N($BP33)=0,"",COUNTIFS(approvals!$A$2:$A$251,$A33,approvals!$Q$2:$Q$251,"Y",approvals!$AK$2:$AK$251,"Y")/$BP33))</f>
        <v/>
      </c>
      <c r="DN33" s="33" t="str">
        <f aca="false">IF($A33="","",IF(COUNTIFS(approvals!$A$2:$A$251,$A33,approvals!$AC$2:$AC$251,"&gt;=0")=0,"",ROUND(SUMIFS(approvals!$AC$2:$AC$251,approvals!$A$2:$A$251,$A33)/COUNTIFS(approvals!$A$2:$A$251,$A33,approvals!$AC$2:$AC$251,"&gt;=0"),1)))</f>
        <v/>
      </c>
      <c r="DO33" s="31" t="str">
        <f aca="false">IF($A33="","",IFERROR(IF(INDEX(drops!$T$2:$T$21,MATCH($B33,drops!$A$2:$A$21,0))="","",INDEX(drops!$T$2:$T$21,MATCH($B33,drops!$A$2:$A$21,0))),""))</f>
        <v/>
      </c>
      <c r="DP33" s="31" t="str">
        <f aca="false">IF($A33="","",IFERROR(IF(INDEX(drops!$U$2:$U$21,MATCH($B33,drops!$A$2:$A$21,0))="","",INDEX(drops!$U$2:$U$21,MATCH($B33,drops!$A$2:$A$21,0))),""))</f>
        <v/>
      </c>
      <c r="DQ33" s="31" t="str">
        <f aca="false">IF($A33="","",IFERROR(IF(INDEX(drops!$W$2:$W$21,MATCH($B33,drops!$A$2:$A$21,0))="","",INDEX(drops!$W$2:$W$21,MATCH($B33,drops!$A$2:$A$21,0))),""))</f>
        <v/>
      </c>
      <c r="DR33" s="30" t="str">
        <f aca="false">IF($A33="","",IF($CE33="","",IF($CE33&gt;=config!$B$31,"pass","miss")))</f>
        <v/>
      </c>
      <c r="DS33" s="30" t="str">
        <f aca="false">IF($A33="","",IF($CI33="","",IF($CI33&gt;=config!$B$30,"pass","miss")))</f>
        <v/>
      </c>
      <c r="DT33" s="30" t="str">
        <f aca="true">IF($A33="","",IF($AT33="",IF($DO33="","",IF(IF(config!$B$37&lt;&gt;"",config!$B$37,TODAY())&gt;$DO33,"late","due")),IF($AT33&lt;=$DO33,"pass","late")))</f>
        <v/>
      </c>
      <c r="DU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","")&amp;IF($BZ33&lt;0,"reserve below zero: check inventory;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","")&amp;IF(AND($DA33="",$DQ33&lt;&gt;"",IF(config!$B$37&lt;&gt;"",config!$B$37,TODAY())&gt;$DQ33),"day-30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","")&amp;IF($DT33="late","report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f>
        <v/>
      </c>
      <c r="CL34" s="30" t="str">
        <f aca="false">IF($A34="","",SUMIFS(approvals!$AQ$2:$AQ$251,approvals!$A$2:$A$251,$A34))</f>
        <v/>
      </c>
      <c r="CM34" s="30" t="str">
        <f aca="false">IF($A34="","",SUMIFS(approvals!$AR$2:$AR$251,approvals!$A$2:$A$251,$A34))</f>
        <v/>
      </c>
      <c r="CN34" s="30" t="str">
        <f aca="false">IF($A34="","",SUMIFS(approvals!$AS$2:$AS$251,approvals!$A$2:$A$251,$A34))</f>
        <v/>
      </c>
      <c r="CO34" s="30" t="str">
        <f aca="false">IF($A34="","",SUMIFS(approvals!$AT$2:$AT$251,approvals!$A$2:$A$251,$A34))</f>
        <v/>
      </c>
      <c r="CP34" s="33" t="str">
        <f aca="false">IF($A34="","",IF(N($CO34)=0,"",ROUND(SUMIFS(approvals!$AU$2:$AU$251,approvals!$A$2:$A$251,$A34)/$CO34,1)))</f>
        <v/>
      </c>
      <c r="CQ34" s="30" t="str">
        <f aca="false">IF($A34="","",SUMIFS(approvals!$AV$2:$AV$251,approvals!$A$2:$A$251,$A34))</f>
        <v/>
      </c>
      <c r="CR34" s="30" t="str">
        <f aca="false">IF($A34="","",SUMIFS(approvals!$AW$2:$AW$251,approvals!$A$2:$A$251,$A34))</f>
        <v/>
      </c>
      <c r="CS34" s="30" t="str">
        <f aca="false">IF($A34="","",SUMIFS(approvals!$AX$2:$AX$251,approvals!$A$2:$A$251,$A34))</f>
        <v/>
      </c>
      <c r="CT34" s="30" t="str">
        <f aca="false">IF($A34="","",SUMIFS(approvals!$AY$2:$AY$251,approvals!$A$2:$A$251,$A34))</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f>
        <v/>
      </c>
      <c r="CW34" s="30" t="str">
        <f aca="false">IF($A34="","",SUMIFS(approvals!$AN$2:$AN$251,approvals!$A$2:$A$251,$A34))</f>
        <v/>
      </c>
      <c r="CX34" s="30" t="str">
        <f aca="false">IF($A34="","",SUMIFS(approvals!$AO$2:$AO$251,approvals!$A$2:$A$251,$A34))</f>
        <v/>
      </c>
      <c r="CY34" s="30" t="str">
        <f aca="false">IF($A34="","",IF($CZ34="","",SUMIFS(redemptions!$C$2:$C$121,redemptions!$A$2:$A$121,$A34,redemptions!$B$2:$B$121,$CZ34)))</f>
        <v/>
      </c>
      <c r="CZ34" s="31" t="str">
        <f aca="false">IF($A34="","",IFERROR(1/(1/SUMPRODUCT(MAX((redemptions!$A$2:$A$121=$A34)*redemptions!$B$2:$B$121))),""))</f>
        <v/>
      </c>
      <c r="DA34" s="30" t="str">
        <f aca="false">IF($A34="","",IF(COUNTIFS(redemptions!$A$2:$A$121,$A34,redemptions!$H$2:$H$121,"Y")=0,"",SUMIFS(redemptions!$C$2:$C$121,redemptions!$A$2:$A$121,$A34,redemptions!$B$2:$B$121,SUMPRODUCT(MIN((redemptions!$A$2:$A$121=$A34)*(redemptions!$H$2:$H$121="Y")*redemptions!$B$2:$B$121+((redemptions!$A$2:$A$121&lt;&gt;$A34)+(redemptions!$H$2:$H$121&lt;&gt;"Y")&gt;0)*1000000)))))</f>
        <v/>
      </c>
      <c r="DB34" s="32" t="str">
        <f aca="false">IF($A34="","",SUMIFS(invoices!$E$2:$E$151,invoices!$B$2:$B$151,$A34))</f>
        <v/>
      </c>
      <c r="DC34" s="32" t="str">
        <f aca="false">IF($A34="","",IF(COUNTIFS(invoices!$B$2:$B$151,$A34,invoices!$C$2:$C$151,"standard_deposit",invoices!$H$2:$H$151,"&gt;0")=0,"",SUMIFS(invoices!$I$2:$I$151,invoices!$B$2:$B$151,$A34,invoices!$C$2:$C$151,"standard_deposit")))</f>
        <v/>
      </c>
      <c r="DD34" s="31" t="str">
        <f aca="false">IF($A34="","",IFERROR(1/(1/SUMPRODUCT(MAX((invoices!$B$2:$B$151=$A34)*(invoices!$C$2:$C$151="standard_deposit")*invoices!$H$2:$H$151))),""))</f>
        <v/>
      </c>
      <c r="DE34" s="31" t="str">
        <f aca="false">IF($A34="","",IFERROR(1/(1/SUMPRODUCT(MAX((invoices!$B$2:$B$151=$A34)*((invoices!$C$2:$C$151="founding_full")+(invoices!$C$2:$C$151="standard_balance"))*invoices!$H$2:$H$151))),""))</f>
        <v/>
      </c>
      <c r="DF34" s="32" t="str">
        <f aca="false">IF($A34="","",SUMIFS(invoices!$L$2:$L$151,invoices!$B$2:$B$151,$A34))</f>
        <v/>
      </c>
      <c r="DG34" s="32" t="str">
        <f aca="false">IF($A34="","",SUMIFS(costs!$E$2:$E$301,costs!$C$2:$C$301,$A34))</f>
        <v/>
      </c>
      <c r="DH34" s="32" t="str">
        <f aca="false">IF($A34="","",ROUND(IF(SUMIFS(campaigns!$BO$2:$BO$51,campaigns!$B$2:$B$51,$B34)=0,0,$BO34/SUMIFS(campaigns!$BO$2:$BO$51,campaigns!$B$2:$B$51,$B34))*(SUMIFS(costs!$E$2:$E$301,costs!$B$2:$B$301,$B34)-SUMPRODUCT((costs!$B$2:$B$301=$B34)*(LEN(costs!$C$2:$C$301)&gt;0)*costs!$E$2:$E$301)),2))</f>
        <v/>
      </c>
      <c r="DI34" s="33" t="str">
        <f aca="false">IF($A34="","",SUMIFS(hours!$E$2:$E$1501,hours!$C$2:$C$1501,$A34))</f>
        <v/>
      </c>
      <c r="DJ34" s="33" t="str">
        <f aca="false">IF($A34="","",ROUND(IF(SUMIFS(campaigns!$BO$2:$BO$51,campaigns!$B$2:$B$51,$B34)=0,0,$BO34/SUMIFS(campaigns!$BO$2:$BO$51,campaigns!$B$2:$B$51,$B34))*(SUMIFS(hours!$E$2:$E$1501,hours!$B$2:$B$1501,$B34)-SUMPRODUCT((hours!$B$2:$B$1501=$B34)*(LEN(hours!$C$2:$C$1501)&gt;0)*hours!$E$2:$E$1501)),2))</f>
        <v/>
      </c>
      <c r="DK34" s="32" t="str">
        <f aca="false">IF($A34="","",$DB34-$DF34-$DG34-$DH34)</f>
        <v/>
      </c>
      <c r="DL34" s="32" t="str">
        <f aca="false">IF($A34="","",IF(N($DI34)+N($DJ34)=0,"",ROUND($DK34/($DI34+$DJ34),2)))</f>
        <v/>
      </c>
      <c r="DM34" s="34" t="str">
        <f aca="false">IF($A34="","",IF(N($BP34)=0,"",COUNTIFS(approvals!$A$2:$A$251,$A34,approvals!$Q$2:$Q$251,"Y",approvals!$AK$2:$AK$251,"Y")/$BP34))</f>
        <v/>
      </c>
      <c r="DN34" s="33" t="str">
        <f aca="false">IF($A34="","",IF(COUNTIFS(approvals!$A$2:$A$251,$A34,approvals!$AC$2:$AC$251,"&gt;=0")=0,"",ROUND(SUMIFS(approvals!$AC$2:$AC$251,approvals!$A$2:$A$251,$A34)/COUNTIFS(approvals!$A$2:$A$251,$A34,approvals!$AC$2:$AC$251,"&gt;=0"),1)))</f>
        <v/>
      </c>
      <c r="DO34" s="31" t="str">
        <f aca="false">IF($A34="","",IFERROR(IF(INDEX(drops!$T$2:$T$21,MATCH($B34,drops!$A$2:$A$21,0))="","",INDEX(drops!$T$2:$T$21,MATCH($B34,drops!$A$2:$A$21,0))),""))</f>
        <v/>
      </c>
      <c r="DP34" s="31" t="str">
        <f aca="false">IF($A34="","",IFERROR(IF(INDEX(drops!$U$2:$U$21,MATCH($B34,drops!$A$2:$A$21,0))="","",INDEX(drops!$U$2:$U$21,MATCH($B34,drops!$A$2:$A$21,0))),""))</f>
        <v/>
      </c>
      <c r="DQ34" s="31" t="str">
        <f aca="false">IF($A34="","",IFERROR(IF(INDEX(drops!$W$2:$W$21,MATCH($B34,drops!$A$2:$A$21,0))="","",INDEX(drops!$W$2:$W$21,MATCH($B34,drops!$A$2:$A$21,0))),""))</f>
        <v/>
      </c>
      <c r="DR34" s="30" t="str">
        <f aca="false">IF($A34="","",IF($CE34="","",IF($CE34&gt;=config!$B$31,"pass","miss")))</f>
        <v/>
      </c>
      <c r="DS34" s="30" t="str">
        <f aca="false">IF($A34="","",IF($CI34="","",IF($CI34&gt;=config!$B$30,"pass","miss")))</f>
        <v/>
      </c>
      <c r="DT34" s="30" t="str">
        <f aca="true">IF($A34="","",IF($AT34="",IF($DO34="","",IF(IF(config!$B$37&lt;&gt;"",config!$B$37,TODAY())&gt;$DO34,"late","due")),IF($AT34&lt;=$DO34,"pass","late")))</f>
        <v/>
      </c>
      <c r="DU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","")&amp;IF($BZ34&lt;0,"reserve below zero: check inventory;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","")&amp;IF(AND($DA34="",$DQ34&lt;&gt;"",IF(config!$B$37&lt;&gt;"",config!$B$37,TODAY())&gt;$DQ34),"day-30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","")&amp;IF($DT34="late","report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f>
        <v/>
      </c>
      <c r="CL35" s="30" t="str">
        <f aca="false">IF($A35="","",SUMIFS(approvals!$AQ$2:$AQ$251,approvals!$A$2:$A$251,$A35))</f>
        <v/>
      </c>
      <c r="CM35" s="30" t="str">
        <f aca="false">IF($A35="","",SUMIFS(approvals!$AR$2:$AR$251,approvals!$A$2:$A$251,$A35))</f>
        <v/>
      </c>
      <c r="CN35" s="30" t="str">
        <f aca="false">IF($A35="","",SUMIFS(approvals!$AS$2:$AS$251,approvals!$A$2:$A$251,$A35))</f>
        <v/>
      </c>
      <c r="CO35" s="30" t="str">
        <f aca="false">IF($A35="","",SUMIFS(approvals!$AT$2:$AT$251,approvals!$A$2:$A$251,$A35))</f>
        <v/>
      </c>
      <c r="CP35" s="33" t="str">
        <f aca="false">IF($A35="","",IF(N($CO35)=0,"",ROUND(SUMIFS(approvals!$AU$2:$AU$251,approvals!$A$2:$A$251,$A35)/$CO35,1)))</f>
        <v/>
      </c>
      <c r="CQ35" s="30" t="str">
        <f aca="false">IF($A35="","",SUMIFS(approvals!$AV$2:$AV$251,approvals!$A$2:$A$251,$A35))</f>
        <v/>
      </c>
      <c r="CR35" s="30" t="str">
        <f aca="false">IF($A35="","",SUMIFS(approvals!$AW$2:$AW$251,approvals!$A$2:$A$251,$A35))</f>
        <v/>
      </c>
      <c r="CS35" s="30" t="str">
        <f aca="false">IF($A35="","",SUMIFS(approvals!$AX$2:$AX$251,approvals!$A$2:$A$251,$A35))</f>
        <v/>
      </c>
      <c r="CT35" s="30" t="str">
        <f aca="false">IF($A35="","",SUMIFS(approvals!$AY$2:$AY$251,approvals!$A$2:$A$251,$A35))</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f>
        <v/>
      </c>
      <c r="CW35" s="30" t="str">
        <f aca="false">IF($A35="","",SUMIFS(approvals!$AN$2:$AN$251,approvals!$A$2:$A$251,$A35))</f>
        <v/>
      </c>
      <c r="CX35" s="30" t="str">
        <f aca="false">IF($A35="","",SUMIFS(approvals!$AO$2:$AO$251,approvals!$A$2:$A$251,$A35))</f>
        <v/>
      </c>
      <c r="CY35" s="30" t="str">
        <f aca="false">IF($A35="","",IF($CZ35="","",SUMIFS(redemptions!$C$2:$C$121,redemptions!$A$2:$A$121,$A35,redemptions!$B$2:$B$121,$CZ35)))</f>
        <v/>
      </c>
      <c r="CZ35" s="31" t="str">
        <f aca="false">IF($A35="","",IFERROR(1/(1/SUMPRODUCT(MAX((redemptions!$A$2:$A$121=$A35)*redemptions!$B$2:$B$121))),""))</f>
        <v/>
      </c>
      <c r="DA35" s="30" t="str">
        <f aca="false">IF($A35="","",IF(COUNTIFS(redemptions!$A$2:$A$121,$A35,redemptions!$H$2:$H$121,"Y")=0,"",SUMIFS(redemptions!$C$2:$C$121,redemptions!$A$2:$A$121,$A35,redemptions!$B$2:$B$121,SUMPRODUCT(MIN((redemptions!$A$2:$A$121=$A35)*(redemptions!$H$2:$H$121="Y")*redemptions!$B$2:$B$121+((redemptions!$A$2:$A$121&lt;&gt;$A35)+(redemptions!$H$2:$H$121&lt;&gt;"Y")&gt;0)*1000000)))))</f>
        <v/>
      </c>
      <c r="DB35" s="32" t="str">
        <f aca="false">IF($A35="","",SUMIFS(invoices!$E$2:$E$151,invoices!$B$2:$B$151,$A35))</f>
        <v/>
      </c>
      <c r="DC35" s="32" t="str">
        <f aca="false">IF($A35="","",IF(COUNTIFS(invoices!$B$2:$B$151,$A35,invoices!$C$2:$C$151,"standard_deposit",invoices!$H$2:$H$151,"&gt;0")=0,"",SUMIFS(invoices!$I$2:$I$151,invoices!$B$2:$B$151,$A35,invoices!$C$2:$C$151,"standard_deposit")))</f>
        <v/>
      </c>
      <c r="DD35" s="31" t="str">
        <f aca="false">IF($A35="","",IFERROR(1/(1/SUMPRODUCT(MAX((invoices!$B$2:$B$151=$A35)*(invoices!$C$2:$C$151="standard_deposit")*invoices!$H$2:$H$151))),""))</f>
        <v/>
      </c>
      <c r="DE35" s="31" t="str">
        <f aca="false">IF($A35="","",IFERROR(1/(1/SUMPRODUCT(MAX((invoices!$B$2:$B$151=$A35)*((invoices!$C$2:$C$151="founding_full")+(invoices!$C$2:$C$151="standard_balance"))*invoices!$H$2:$H$151))),""))</f>
        <v/>
      </c>
      <c r="DF35" s="32" t="str">
        <f aca="false">IF($A35="","",SUMIFS(invoices!$L$2:$L$151,invoices!$B$2:$B$151,$A35))</f>
        <v/>
      </c>
      <c r="DG35" s="32" t="str">
        <f aca="false">IF($A35="","",SUMIFS(costs!$E$2:$E$301,costs!$C$2:$C$301,$A35))</f>
        <v/>
      </c>
      <c r="DH35" s="32" t="str">
        <f aca="false">IF($A35="","",ROUND(IF(SUMIFS(campaigns!$BO$2:$BO$51,campaigns!$B$2:$B$51,$B35)=0,0,$BO35/SUMIFS(campaigns!$BO$2:$BO$51,campaigns!$B$2:$B$51,$B35))*(SUMIFS(costs!$E$2:$E$301,costs!$B$2:$B$301,$B35)-SUMPRODUCT((costs!$B$2:$B$301=$B35)*(LEN(costs!$C$2:$C$301)&gt;0)*costs!$E$2:$E$301)),2))</f>
        <v/>
      </c>
      <c r="DI35" s="33" t="str">
        <f aca="false">IF($A35="","",SUMIFS(hours!$E$2:$E$1501,hours!$C$2:$C$1501,$A35))</f>
        <v/>
      </c>
      <c r="DJ35" s="33" t="str">
        <f aca="false">IF($A35="","",ROUND(IF(SUMIFS(campaigns!$BO$2:$BO$51,campaigns!$B$2:$B$51,$B35)=0,0,$BO35/SUMIFS(campaigns!$BO$2:$BO$51,campaigns!$B$2:$B$51,$B35))*(SUMIFS(hours!$E$2:$E$1501,hours!$B$2:$B$1501,$B35)-SUMPRODUCT((hours!$B$2:$B$1501=$B35)*(LEN(hours!$C$2:$C$1501)&gt;0)*hours!$E$2:$E$1501)),2))</f>
        <v/>
      </c>
      <c r="DK35" s="32" t="str">
        <f aca="false">IF($A35="","",$DB35-$DF35-$DG35-$DH35)</f>
        <v/>
      </c>
      <c r="DL35" s="32" t="str">
        <f aca="false">IF($A35="","",IF(N($DI35)+N($DJ35)=0,"",ROUND($DK35/($DI35+$DJ35),2)))</f>
        <v/>
      </c>
      <c r="DM35" s="34" t="str">
        <f aca="false">IF($A35="","",IF(N($BP35)=0,"",COUNTIFS(approvals!$A$2:$A$251,$A35,approvals!$Q$2:$Q$251,"Y",approvals!$AK$2:$AK$251,"Y")/$BP35))</f>
        <v/>
      </c>
      <c r="DN35" s="33" t="str">
        <f aca="false">IF($A35="","",IF(COUNTIFS(approvals!$A$2:$A$251,$A35,approvals!$AC$2:$AC$251,"&gt;=0")=0,"",ROUND(SUMIFS(approvals!$AC$2:$AC$251,approvals!$A$2:$A$251,$A35)/COUNTIFS(approvals!$A$2:$A$251,$A35,approvals!$AC$2:$AC$251,"&gt;=0"),1)))</f>
        <v/>
      </c>
      <c r="DO35" s="31" t="str">
        <f aca="false">IF($A35="","",IFERROR(IF(INDEX(drops!$T$2:$T$21,MATCH($B35,drops!$A$2:$A$21,0))="","",INDEX(drops!$T$2:$T$21,MATCH($B35,drops!$A$2:$A$21,0))),""))</f>
        <v/>
      </c>
      <c r="DP35" s="31" t="str">
        <f aca="false">IF($A35="","",IFERROR(IF(INDEX(drops!$U$2:$U$21,MATCH($B35,drops!$A$2:$A$21,0))="","",INDEX(drops!$U$2:$U$21,MATCH($B35,drops!$A$2:$A$21,0))),""))</f>
        <v/>
      </c>
      <c r="DQ35" s="31" t="str">
        <f aca="false">IF($A35="","",IFERROR(IF(INDEX(drops!$W$2:$W$21,MATCH($B35,drops!$A$2:$A$21,0))="","",INDEX(drops!$W$2:$W$21,MATCH($B35,drops!$A$2:$A$21,0))),""))</f>
        <v/>
      </c>
      <c r="DR35" s="30" t="str">
        <f aca="false">IF($A35="","",IF($CE35="","",IF($CE35&gt;=config!$B$31,"pass","miss")))</f>
        <v/>
      </c>
      <c r="DS35" s="30" t="str">
        <f aca="false">IF($A35="","",IF($CI35="","",IF($CI35&gt;=config!$B$30,"pass","miss")))</f>
        <v/>
      </c>
      <c r="DT35" s="30" t="str">
        <f aca="true">IF($A35="","",IF($AT35="",IF($DO35="","",IF(IF(config!$B$37&lt;&gt;"",config!$B$37,TODAY())&gt;$DO35,"late","due")),IF($AT35&lt;=$DO35,"pass","late")))</f>
        <v/>
      </c>
      <c r="DU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","")&amp;IF($BZ35&lt;0,"reserve below zero: check inventory;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","")&amp;IF(AND($DA35="",$DQ35&lt;&gt;"",IF(config!$B$37&lt;&gt;"",config!$B$37,TODAY())&gt;$DQ35),"day-30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","")&amp;IF($DT35="late","report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f>
        <v/>
      </c>
      <c r="CL36" s="30" t="str">
        <f aca="false">IF($A36="","",SUMIFS(approvals!$AQ$2:$AQ$251,approvals!$A$2:$A$251,$A36))</f>
        <v/>
      </c>
      <c r="CM36" s="30" t="str">
        <f aca="false">IF($A36="","",SUMIFS(approvals!$AR$2:$AR$251,approvals!$A$2:$A$251,$A36))</f>
        <v/>
      </c>
      <c r="CN36" s="30" t="str">
        <f aca="false">IF($A36="","",SUMIFS(approvals!$AS$2:$AS$251,approvals!$A$2:$A$251,$A36))</f>
        <v/>
      </c>
      <c r="CO36" s="30" t="str">
        <f aca="false">IF($A36="","",SUMIFS(approvals!$AT$2:$AT$251,approvals!$A$2:$A$251,$A36))</f>
        <v/>
      </c>
      <c r="CP36" s="33" t="str">
        <f aca="false">IF($A36="","",IF(N($CO36)=0,"",ROUND(SUMIFS(approvals!$AU$2:$AU$251,approvals!$A$2:$A$251,$A36)/$CO36,1)))</f>
        <v/>
      </c>
      <c r="CQ36" s="30" t="str">
        <f aca="false">IF($A36="","",SUMIFS(approvals!$AV$2:$AV$251,approvals!$A$2:$A$251,$A36))</f>
        <v/>
      </c>
      <c r="CR36" s="30" t="str">
        <f aca="false">IF($A36="","",SUMIFS(approvals!$AW$2:$AW$251,approvals!$A$2:$A$251,$A36))</f>
        <v/>
      </c>
      <c r="CS36" s="30" t="str">
        <f aca="false">IF($A36="","",SUMIFS(approvals!$AX$2:$AX$251,approvals!$A$2:$A$251,$A36))</f>
        <v/>
      </c>
      <c r="CT36" s="30" t="str">
        <f aca="false">IF($A36="","",SUMIFS(approvals!$AY$2:$AY$251,approvals!$A$2:$A$251,$A36))</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f>
        <v/>
      </c>
      <c r="CW36" s="30" t="str">
        <f aca="false">IF($A36="","",SUMIFS(approvals!$AN$2:$AN$251,approvals!$A$2:$A$251,$A36))</f>
        <v/>
      </c>
      <c r="CX36" s="30" t="str">
        <f aca="false">IF($A36="","",SUMIFS(approvals!$AO$2:$AO$251,approvals!$A$2:$A$251,$A36))</f>
        <v/>
      </c>
      <c r="CY36" s="30" t="str">
        <f aca="false">IF($A36="","",IF($CZ36="","",SUMIFS(redemptions!$C$2:$C$121,redemptions!$A$2:$A$121,$A36,redemptions!$B$2:$B$121,$CZ36)))</f>
        <v/>
      </c>
      <c r="CZ36" s="31" t="str">
        <f aca="false">IF($A36="","",IFERROR(1/(1/SUMPRODUCT(MAX((redemptions!$A$2:$A$121=$A36)*redemptions!$B$2:$B$121))),""))</f>
        <v/>
      </c>
      <c r="DA36" s="30" t="str">
        <f aca="false">IF($A36="","",IF(COUNTIFS(redemptions!$A$2:$A$121,$A36,redemptions!$H$2:$H$121,"Y")=0,"",SUMIFS(redemptions!$C$2:$C$121,redemptions!$A$2:$A$121,$A36,redemptions!$B$2:$B$121,SUMPRODUCT(MIN((redemptions!$A$2:$A$121=$A36)*(redemptions!$H$2:$H$121="Y")*redemptions!$B$2:$B$121+((redemptions!$A$2:$A$121&lt;&gt;$A36)+(redemptions!$H$2:$H$121&lt;&gt;"Y")&gt;0)*1000000)))))</f>
        <v/>
      </c>
      <c r="DB36" s="32" t="str">
        <f aca="false">IF($A36="","",SUMIFS(invoices!$E$2:$E$151,invoices!$B$2:$B$151,$A36))</f>
        <v/>
      </c>
      <c r="DC36" s="32" t="str">
        <f aca="false">IF($A36="","",IF(COUNTIFS(invoices!$B$2:$B$151,$A36,invoices!$C$2:$C$151,"standard_deposit",invoices!$H$2:$H$151,"&gt;0")=0,"",SUMIFS(invoices!$I$2:$I$151,invoices!$B$2:$B$151,$A36,invoices!$C$2:$C$151,"standard_deposit")))</f>
        <v/>
      </c>
      <c r="DD36" s="31" t="str">
        <f aca="false">IF($A36="","",IFERROR(1/(1/SUMPRODUCT(MAX((invoices!$B$2:$B$151=$A36)*(invoices!$C$2:$C$151="standard_deposit")*invoices!$H$2:$H$151))),""))</f>
        <v/>
      </c>
      <c r="DE36" s="31" t="str">
        <f aca="false">IF($A36="","",IFERROR(1/(1/SUMPRODUCT(MAX((invoices!$B$2:$B$151=$A36)*((invoices!$C$2:$C$151="founding_full")+(invoices!$C$2:$C$151="standard_balance"))*invoices!$H$2:$H$151))),""))</f>
        <v/>
      </c>
      <c r="DF36" s="32" t="str">
        <f aca="false">IF($A36="","",SUMIFS(invoices!$L$2:$L$151,invoices!$B$2:$B$151,$A36))</f>
        <v/>
      </c>
      <c r="DG36" s="32" t="str">
        <f aca="false">IF($A36="","",SUMIFS(costs!$E$2:$E$301,costs!$C$2:$C$301,$A36))</f>
        <v/>
      </c>
      <c r="DH36" s="32" t="str">
        <f aca="false">IF($A36="","",ROUND(IF(SUMIFS(campaigns!$BO$2:$BO$51,campaigns!$B$2:$B$51,$B36)=0,0,$BO36/SUMIFS(campaigns!$BO$2:$BO$51,campaigns!$B$2:$B$51,$B36))*(SUMIFS(costs!$E$2:$E$301,costs!$B$2:$B$301,$B36)-SUMPRODUCT((costs!$B$2:$B$301=$B36)*(LEN(costs!$C$2:$C$301)&gt;0)*costs!$E$2:$E$301)),2))</f>
        <v/>
      </c>
      <c r="DI36" s="33" t="str">
        <f aca="false">IF($A36="","",SUMIFS(hours!$E$2:$E$1501,hours!$C$2:$C$1501,$A36))</f>
        <v/>
      </c>
      <c r="DJ36" s="33" t="str">
        <f aca="false">IF($A36="","",ROUND(IF(SUMIFS(campaigns!$BO$2:$BO$51,campaigns!$B$2:$B$51,$B36)=0,0,$BO36/SUMIFS(campaigns!$BO$2:$BO$51,campaigns!$B$2:$B$51,$B36))*(SUMIFS(hours!$E$2:$E$1501,hours!$B$2:$B$1501,$B36)-SUMPRODUCT((hours!$B$2:$B$1501=$B36)*(LEN(hours!$C$2:$C$1501)&gt;0)*hours!$E$2:$E$1501)),2))</f>
        <v/>
      </c>
      <c r="DK36" s="32" t="str">
        <f aca="false">IF($A36="","",$DB36-$DF36-$DG36-$DH36)</f>
        <v/>
      </c>
      <c r="DL36" s="32" t="str">
        <f aca="false">IF($A36="","",IF(N($DI36)+N($DJ36)=0,"",ROUND($DK36/($DI36+$DJ36),2)))</f>
        <v/>
      </c>
      <c r="DM36" s="34" t="str">
        <f aca="false">IF($A36="","",IF(N($BP36)=0,"",COUNTIFS(approvals!$A$2:$A$251,$A36,approvals!$Q$2:$Q$251,"Y",approvals!$AK$2:$AK$251,"Y")/$BP36))</f>
        <v/>
      </c>
      <c r="DN36" s="33" t="str">
        <f aca="false">IF($A36="","",IF(COUNTIFS(approvals!$A$2:$A$251,$A36,approvals!$AC$2:$AC$251,"&gt;=0")=0,"",ROUND(SUMIFS(approvals!$AC$2:$AC$251,approvals!$A$2:$A$251,$A36)/COUNTIFS(approvals!$A$2:$A$251,$A36,approvals!$AC$2:$AC$251,"&gt;=0"),1)))</f>
        <v/>
      </c>
      <c r="DO36" s="31" t="str">
        <f aca="false">IF($A36="","",IFERROR(IF(INDEX(drops!$T$2:$T$21,MATCH($B36,drops!$A$2:$A$21,0))="","",INDEX(drops!$T$2:$T$21,MATCH($B36,drops!$A$2:$A$21,0))),""))</f>
        <v/>
      </c>
      <c r="DP36" s="31" t="str">
        <f aca="false">IF($A36="","",IFERROR(IF(INDEX(drops!$U$2:$U$21,MATCH($B36,drops!$A$2:$A$21,0))="","",INDEX(drops!$U$2:$U$21,MATCH($B36,drops!$A$2:$A$21,0))),""))</f>
        <v/>
      </c>
      <c r="DQ36" s="31" t="str">
        <f aca="false">IF($A36="","",IFERROR(IF(INDEX(drops!$W$2:$W$21,MATCH($B36,drops!$A$2:$A$21,0))="","",INDEX(drops!$W$2:$W$21,MATCH($B36,drops!$A$2:$A$21,0))),""))</f>
        <v/>
      </c>
      <c r="DR36" s="30" t="str">
        <f aca="false">IF($A36="","",IF($CE36="","",IF($CE36&gt;=config!$B$31,"pass","miss")))</f>
        <v/>
      </c>
      <c r="DS36" s="30" t="str">
        <f aca="false">IF($A36="","",IF($CI36="","",IF($CI36&gt;=config!$B$30,"pass","miss")))</f>
        <v/>
      </c>
      <c r="DT36" s="30" t="str">
        <f aca="true">IF($A36="","",IF($AT36="",IF($DO36="","",IF(IF(config!$B$37&lt;&gt;"",config!$B$37,TODAY())&gt;$DO36,"late","due")),IF($AT36&lt;=$DO36,"pass","late")))</f>
        <v/>
      </c>
      <c r="DU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","")&amp;IF($BZ36&lt;0,"reserve below zero: check inventory;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","")&amp;IF(AND($DA36="",$DQ36&lt;&gt;"",IF(config!$B$37&lt;&gt;"",config!$B$37,TODAY())&gt;$DQ36),"day-30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","")&amp;IF($DT36="late","report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f>
        <v/>
      </c>
      <c r="CL37" s="30" t="str">
        <f aca="false">IF($A37="","",SUMIFS(approvals!$AQ$2:$AQ$251,approvals!$A$2:$A$251,$A37))</f>
        <v/>
      </c>
      <c r="CM37" s="30" t="str">
        <f aca="false">IF($A37="","",SUMIFS(approvals!$AR$2:$AR$251,approvals!$A$2:$A$251,$A37))</f>
        <v/>
      </c>
      <c r="CN37" s="30" t="str">
        <f aca="false">IF($A37="","",SUMIFS(approvals!$AS$2:$AS$251,approvals!$A$2:$A$251,$A37))</f>
        <v/>
      </c>
      <c r="CO37" s="30" t="str">
        <f aca="false">IF($A37="","",SUMIFS(approvals!$AT$2:$AT$251,approvals!$A$2:$A$251,$A37))</f>
        <v/>
      </c>
      <c r="CP37" s="33" t="str">
        <f aca="false">IF($A37="","",IF(N($CO37)=0,"",ROUND(SUMIFS(approvals!$AU$2:$AU$251,approvals!$A$2:$A$251,$A37)/$CO37,1)))</f>
        <v/>
      </c>
      <c r="CQ37" s="30" t="str">
        <f aca="false">IF($A37="","",SUMIFS(approvals!$AV$2:$AV$251,approvals!$A$2:$A$251,$A37))</f>
        <v/>
      </c>
      <c r="CR37" s="30" t="str">
        <f aca="false">IF($A37="","",SUMIFS(approvals!$AW$2:$AW$251,approvals!$A$2:$A$251,$A37))</f>
        <v/>
      </c>
      <c r="CS37" s="30" t="str">
        <f aca="false">IF($A37="","",SUMIFS(approvals!$AX$2:$AX$251,approvals!$A$2:$A$251,$A37))</f>
        <v/>
      </c>
      <c r="CT37" s="30" t="str">
        <f aca="false">IF($A37="","",SUMIFS(approvals!$AY$2:$AY$251,approvals!$A$2:$A$251,$A37))</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f>
        <v/>
      </c>
      <c r="CW37" s="30" t="str">
        <f aca="false">IF($A37="","",SUMIFS(approvals!$AN$2:$AN$251,approvals!$A$2:$A$251,$A37))</f>
        <v/>
      </c>
      <c r="CX37" s="30" t="str">
        <f aca="false">IF($A37="","",SUMIFS(approvals!$AO$2:$AO$251,approvals!$A$2:$A$251,$A37))</f>
        <v/>
      </c>
      <c r="CY37" s="30" t="str">
        <f aca="false">IF($A37="","",IF($CZ37="","",SUMIFS(redemptions!$C$2:$C$121,redemptions!$A$2:$A$121,$A37,redemptions!$B$2:$B$121,$CZ37)))</f>
        <v/>
      </c>
      <c r="CZ37" s="31" t="str">
        <f aca="false">IF($A37="","",IFERROR(1/(1/SUMPRODUCT(MAX((redemptions!$A$2:$A$121=$A37)*redemptions!$B$2:$B$121))),""))</f>
        <v/>
      </c>
      <c r="DA37" s="30" t="str">
        <f aca="false">IF($A37="","",IF(COUNTIFS(redemptions!$A$2:$A$121,$A37,redemptions!$H$2:$H$121,"Y")=0,"",SUMIFS(redemptions!$C$2:$C$121,redemptions!$A$2:$A$121,$A37,redemptions!$B$2:$B$121,SUMPRODUCT(MIN((redemptions!$A$2:$A$121=$A37)*(redemptions!$H$2:$H$121="Y")*redemptions!$B$2:$B$121+((redemptions!$A$2:$A$121&lt;&gt;$A37)+(redemptions!$H$2:$H$121&lt;&gt;"Y")&gt;0)*1000000)))))</f>
        <v/>
      </c>
      <c r="DB37" s="32" t="str">
        <f aca="false">IF($A37="","",SUMIFS(invoices!$E$2:$E$151,invoices!$B$2:$B$151,$A37))</f>
        <v/>
      </c>
      <c r="DC37" s="32" t="str">
        <f aca="false">IF($A37="","",IF(COUNTIFS(invoices!$B$2:$B$151,$A37,invoices!$C$2:$C$151,"standard_deposit",invoices!$H$2:$H$151,"&gt;0")=0,"",SUMIFS(invoices!$I$2:$I$151,invoices!$B$2:$B$151,$A37,invoices!$C$2:$C$151,"standard_deposit")))</f>
        <v/>
      </c>
      <c r="DD37" s="31" t="str">
        <f aca="false">IF($A37="","",IFERROR(1/(1/SUMPRODUCT(MAX((invoices!$B$2:$B$151=$A37)*(invoices!$C$2:$C$151="standard_deposit")*invoices!$H$2:$H$151))),""))</f>
        <v/>
      </c>
      <c r="DE37" s="31" t="str">
        <f aca="false">IF($A37="","",IFERROR(1/(1/SUMPRODUCT(MAX((invoices!$B$2:$B$151=$A37)*((invoices!$C$2:$C$151="founding_full")+(invoices!$C$2:$C$151="standard_balance"))*invoices!$H$2:$H$151))),""))</f>
        <v/>
      </c>
      <c r="DF37" s="32" t="str">
        <f aca="false">IF($A37="","",SUMIFS(invoices!$L$2:$L$151,invoices!$B$2:$B$151,$A37))</f>
        <v/>
      </c>
      <c r="DG37" s="32" t="str">
        <f aca="false">IF($A37="","",SUMIFS(costs!$E$2:$E$301,costs!$C$2:$C$301,$A37))</f>
        <v/>
      </c>
      <c r="DH37" s="32" t="str">
        <f aca="false">IF($A37="","",ROUND(IF(SUMIFS(campaigns!$BO$2:$BO$51,campaigns!$B$2:$B$51,$B37)=0,0,$BO37/SUMIFS(campaigns!$BO$2:$BO$51,campaigns!$B$2:$B$51,$B37))*(SUMIFS(costs!$E$2:$E$301,costs!$B$2:$B$301,$B37)-SUMPRODUCT((costs!$B$2:$B$301=$B37)*(LEN(costs!$C$2:$C$301)&gt;0)*costs!$E$2:$E$301)),2))</f>
        <v/>
      </c>
      <c r="DI37" s="33" t="str">
        <f aca="false">IF($A37="","",SUMIFS(hours!$E$2:$E$1501,hours!$C$2:$C$1501,$A37))</f>
        <v/>
      </c>
      <c r="DJ37" s="33" t="str">
        <f aca="false">IF($A37="","",ROUND(IF(SUMIFS(campaigns!$BO$2:$BO$51,campaigns!$B$2:$B$51,$B37)=0,0,$BO37/SUMIFS(campaigns!$BO$2:$BO$51,campaigns!$B$2:$B$51,$B37))*(SUMIFS(hours!$E$2:$E$1501,hours!$B$2:$B$1501,$B37)-SUMPRODUCT((hours!$B$2:$B$1501=$B37)*(LEN(hours!$C$2:$C$1501)&gt;0)*hours!$E$2:$E$1501)),2))</f>
        <v/>
      </c>
      <c r="DK37" s="32" t="str">
        <f aca="false">IF($A37="","",$DB37-$DF37-$DG37-$DH37)</f>
        <v/>
      </c>
      <c r="DL37" s="32" t="str">
        <f aca="false">IF($A37="","",IF(N($DI37)+N($DJ37)=0,"",ROUND($DK37/($DI37+$DJ37),2)))</f>
        <v/>
      </c>
      <c r="DM37" s="34" t="str">
        <f aca="false">IF($A37="","",IF(N($BP37)=0,"",COUNTIFS(approvals!$A$2:$A$251,$A37,approvals!$Q$2:$Q$251,"Y",approvals!$AK$2:$AK$251,"Y")/$BP37))</f>
        <v/>
      </c>
      <c r="DN37" s="33" t="str">
        <f aca="false">IF($A37="","",IF(COUNTIFS(approvals!$A$2:$A$251,$A37,approvals!$AC$2:$AC$251,"&gt;=0")=0,"",ROUND(SUMIFS(approvals!$AC$2:$AC$251,approvals!$A$2:$A$251,$A37)/COUNTIFS(approvals!$A$2:$A$251,$A37,approvals!$AC$2:$AC$251,"&gt;=0"),1)))</f>
        <v/>
      </c>
      <c r="DO37" s="31" t="str">
        <f aca="false">IF($A37="","",IFERROR(IF(INDEX(drops!$T$2:$T$21,MATCH($B37,drops!$A$2:$A$21,0))="","",INDEX(drops!$T$2:$T$21,MATCH($B37,drops!$A$2:$A$21,0))),""))</f>
        <v/>
      </c>
      <c r="DP37" s="31" t="str">
        <f aca="false">IF($A37="","",IFERROR(IF(INDEX(drops!$U$2:$U$21,MATCH($B37,drops!$A$2:$A$21,0))="","",INDEX(drops!$U$2:$U$21,MATCH($B37,drops!$A$2:$A$21,0))),""))</f>
        <v/>
      </c>
      <c r="DQ37" s="31" t="str">
        <f aca="false">IF($A37="","",IFERROR(IF(INDEX(drops!$W$2:$W$21,MATCH($B37,drops!$A$2:$A$21,0))="","",INDEX(drops!$W$2:$W$21,MATCH($B37,drops!$A$2:$A$21,0))),""))</f>
        <v/>
      </c>
      <c r="DR37" s="30" t="str">
        <f aca="false">IF($A37="","",IF($CE37="","",IF($CE37&gt;=config!$B$31,"pass","miss")))</f>
        <v/>
      </c>
      <c r="DS37" s="30" t="str">
        <f aca="false">IF($A37="","",IF($CI37="","",IF($CI37&gt;=config!$B$30,"pass","miss")))</f>
        <v/>
      </c>
      <c r="DT37" s="30" t="str">
        <f aca="true">IF($A37="","",IF($AT37="",IF($DO37="","",IF(IF(config!$B$37&lt;&gt;"",config!$B$37,TODAY())&gt;$DO37,"late","due")),IF($AT37&lt;=$DO37,"pass","late")))</f>
        <v/>
      </c>
      <c r="DU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","")&amp;IF($BZ37&lt;0,"reserve below zero: check inventory;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","")&amp;IF(AND($DA37="",$DQ37&lt;&gt;"",IF(config!$B$37&lt;&gt;"",config!$B$37,TODAY())&gt;$DQ37),"day-30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","")&amp;IF($DT37="late","report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f>
        <v/>
      </c>
      <c r="CL38" s="30" t="str">
        <f aca="false">IF($A38="","",SUMIFS(approvals!$AQ$2:$AQ$251,approvals!$A$2:$A$251,$A38))</f>
        <v/>
      </c>
      <c r="CM38" s="30" t="str">
        <f aca="false">IF($A38="","",SUMIFS(approvals!$AR$2:$AR$251,approvals!$A$2:$A$251,$A38))</f>
        <v/>
      </c>
      <c r="CN38" s="30" t="str">
        <f aca="false">IF($A38="","",SUMIFS(approvals!$AS$2:$AS$251,approvals!$A$2:$A$251,$A38))</f>
        <v/>
      </c>
      <c r="CO38" s="30" t="str">
        <f aca="false">IF($A38="","",SUMIFS(approvals!$AT$2:$AT$251,approvals!$A$2:$A$251,$A38))</f>
        <v/>
      </c>
      <c r="CP38" s="33" t="str">
        <f aca="false">IF($A38="","",IF(N($CO38)=0,"",ROUND(SUMIFS(approvals!$AU$2:$AU$251,approvals!$A$2:$A$251,$A38)/$CO38,1)))</f>
        <v/>
      </c>
      <c r="CQ38" s="30" t="str">
        <f aca="false">IF($A38="","",SUMIFS(approvals!$AV$2:$AV$251,approvals!$A$2:$A$251,$A38))</f>
        <v/>
      </c>
      <c r="CR38" s="30" t="str">
        <f aca="false">IF($A38="","",SUMIFS(approvals!$AW$2:$AW$251,approvals!$A$2:$A$251,$A38))</f>
        <v/>
      </c>
      <c r="CS38" s="30" t="str">
        <f aca="false">IF($A38="","",SUMIFS(approvals!$AX$2:$AX$251,approvals!$A$2:$A$251,$A38))</f>
        <v/>
      </c>
      <c r="CT38" s="30" t="str">
        <f aca="false">IF($A38="","",SUMIFS(approvals!$AY$2:$AY$251,approvals!$A$2:$A$251,$A38))</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f>
        <v/>
      </c>
      <c r="CW38" s="30" t="str">
        <f aca="false">IF($A38="","",SUMIFS(approvals!$AN$2:$AN$251,approvals!$A$2:$A$251,$A38))</f>
        <v/>
      </c>
      <c r="CX38" s="30" t="str">
        <f aca="false">IF($A38="","",SUMIFS(approvals!$AO$2:$AO$251,approvals!$A$2:$A$251,$A38))</f>
        <v/>
      </c>
      <c r="CY38" s="30" t="str">
        <f aca="false">IF($A38="","",IF($CZ38="","",SUMIFS(redemptions!$C$2:$C$121,redemptions!$A$2:$A$121,$A38,redemptions!$B$2:$B$121,$CZ38)))</f>
        <v/>
      </c>
      <c r="CZ38" s="31" t="str">
        <f aca="false">IF($A38="","",IFERROR(1/(1/SUMPRODUCT(MAX((redemptions!$A$2:$A$121=$A38)*redemptions!$B$2:$B$121))),""))</f>
        <v/>
      </c>
      <c r="DA38" s="30" t="str">
        <f aca="false">IF($A38="","",IF(COUNTIFS(redemptions!$A$2:$A$121,$A38,redemptions!$H$2:$H$121,"Y")=0,"",SUMIFS(redemptions!$C$2:$C$121,redemptions!$A$2:$A$121,$A38,redemptions!$B$2:$B$121,SUMPRODUCT(MIN((redemptions!$A$2:$A$121=$A38)*(redemptions!$H$2:$H$121="Y")*redemptions!$B$2:$B$121+((redemptions!$A$2:$A$121&lt;&gt;$A38)+(redemptions!$H$2:$H$121&lt;&gt;"Y")&gt;0)*1000000)))))</f>
        <v/>
      </c>
      <c r="DB38" s="32" t="str">
        <f aca="false">IF($A38="","",SUMIFS(invoices!$E$2:$E$151,invoices!$B$2:$B$151,$A38))</f>
        <v/>
      </c>
      <c r="DC38" s="32" t="str">
        <f aca="false">IF($A38="","",IF(COUNTIFS(invoices!$B$2:$B$151,$A38,invoices!$C$2:$C$151,"standard_deposit",invoices!$H$2:$H$151,"&gt;0")=0,"",SUMIFS(invoices!$I$2:$I$151,invoices!$B$2:$B$151,$A38,invoices!$C$2:$C$151,"standard_deposit")))</f>
        <v/>
      </c>
      <c r="DD38" s="31" t="str">
        <f aca="false">IF($A38="","",IFERROR(1/(1/SUMPRODUCT(MAX((invoices!$B$2:$B$151=$A38)*(invoices!$C$2:$C$151="standard_deposit")*invoices!$H$2:$H$151))),""))</f>
        <v/>
      </c>
      <c r="DE38" s="31" t="str">
        <f aca="false">IF($A38="","",IFERROR(1/(1/SUMPRODUCT(MAX((invoices!$B$2:$B$151=$A38)*((invoices!$C$2:$C$151="founding_full")+(invoices!$C$2:$C$151="standard_balance"))*invoices!$H$2:$H$151))),""))</f>
        <v/>
      </c>
      <c r="DF38" s="32" t="str">
        <f aca="false">IF($A38="","",SUMIFS(invoices!$L$2:$L$151,invoices!$B$2:$B$151,$A38))</f>
        <v/>
      </c>
      <c r="DG38" s="32" t="str">
        <f aca="false">IF($A38="","",SUMIFS(costs!$E$2:$E$301,costs!$C$2:$C$301,$A38))</f>
        <v/>
      </c>
      <c r="DH38" s="32" t="str">
        <f aca="false">IF($A38="","",ROUND(IF(SUMIFS(campaigns!$BO$2:$BO$51,campaigns!$B$2:$B$51,$B38)=0,0,$BO38/SUMIFS(campaigns!$BO$2:$BO$51,campaigns!$B$2:$B$51,$B38))*(SUMIFS(costs!$E$2:$E$301,costs!$B$2:$B$301,$B38)-SUMPRODUCT((costs!$B$2:$B$301=$B38)*(LEN(costs!$C$2:$C$301)&gt;0)*costs!$E$2:$E$301)),2))</f>
        <v/>
      </c>
      <c r="DI38" s="33" t="str">
        <f aca="false">IF($A38="","",SUMIFS(hours!$E$2:$E$1501,hours!$C$2:$C$1501,$A38))</f>
        <v/>
      </c>
      <c r="DJ38" s="33" t="str">
        <f aca="false">IF($A38="","",ROUND(IF(SUMIFS(campaigns!$BO$2:$BO$51,campaigns!$B$2:$B$51,$B38)=0,0,$BO38/SUMIFS(campaigns!$BO$2:$BO$51,campaigns!$B$2:$B$51,$B38))*(SUMIFS(hours!$E$2:$E$1501,hours!$B$2:$B$1501,$B38)-SUMPRODUCT((hours!$B$2:$B$1501=$B38)*(LEN(hours!$C$2:$C$1501)&gt;0)*hours!$E$2:$E$1501)),2))</f>
        <v/>
      </c>
      <c r="DK38" s="32" t="str">
        <f aca="false">IF($A38="","",$DB38-$DF38-$DG38-$DH38)</f>
        <v/>
      </c>
      <c r="DL38" s="32" t="str">
        <f aca="false">IF($A38="","",IF(N($DI38)+N($DJ38)=0,"",ROUND($DK38/($DI38+$DJ38),2)))</f>
        <v/>
      </c>
      <c r="DM38" s="34" t="str">
        <f aca="false">IF($A38="","",IF(N($BP38)=0,"",COUNTIFS(approvals!$A$2:$A$251,$A38,approvals!$Q$2:$Q$251,"Y",approvals!$AK$2:$AK$251,"Y")/$BP38))</f>
        <v/>
      </c>
      <c r="DN38" s="33" t="str">
        <f aca="false">IF($A38="","",IF(COUNTIFS(approvals!$A$2:$A$251,$A38,approvals!$AC$2:$AC$251,"&gt;=0")=0,"",ROUND(SUMIFS(approvals!$AC$2:$AC$251,approvals!$A$2:$A$251,$A38)/COUNTIFS(approvals!$A$2:$A$251,$A38,approvals!$AC$2:$AC$251,"&gt;=0"),1)))</f>
        <v/>
      </c>
      <c r="DO38" s="31" t="str">
        <f aca="false">IF($A38="","",IFERROR(IF(INDEX(drops!$T$2:$T$21,MATCH($B38,drops!$A$2:$A$21,0))="","",INDEX(drops!$T$2:$T$21,MATCH($B38,drops!$A$2:$A$21,0))),""))</f>
        <v/>
      </c>
      <c r="DP38" s="31" t="str">
        <f aca="false">IF($A38="","",IFERROR(IF(INDEX(drops!$U$2:$U$21,MATCH($B38,drops!$A$2:$A$21,0))="","",INDEX(drops!$U$2:$U$21,MATCH($B38,drops!$A$2:$A$21,0))),""))</f>
        <v/>
      </c>
      <c r="DQ38" s="31" t="str">
        <f aca="false">IF($A38="","",IFERROR(IF(INDEX(drops!$W$2:$W$21,MATCH($B38,drops!$A$2:$A$21,0))="","",INDEX(drops!$W$2:$W$21,MATCH($B38,drops!$A$2:$A$21,0))),""))</f>
        <v/>
      </c>
      <c r="DR38" s="30" t="str">
        <f aca="false">IF($A38="","",IF($CE38="","",IF($CE38&gt;=config!$B$31,"pass","miss")))</f>
        <v/>
      </c>
      <c r="DS38" s="30" t="str">
        <f aca="false">IF($A38="","",IF($CI38="","",IF($CI38&gt;=config!$B$30,"pass","miss")))</f>
        <v/>
      </c>
      <c r="DT38" s="30" t="str">
        <f aca="true">IF($A38="","",IF($AT38="",IF($DO38="","",IF(IF(config!$B$37&lt;&gt;"",config!$B$37,TODAY())&gt;$DO38,"late","due")),IF($AT38&lt;=$DO38,"pass","late")))</f>
        <v/>
      </c>
      <c r="DU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","")&amp;IF($BZ38&lt;0,"reserve below zero: check inventory;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","")&amp;IF(AND($DA38="",$DQ38&lt;&gt;"",IF(config!$B$37&lt;&gt;"",config!$B$37,TODAY())&gt;$DQ38),"day-30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","")&amp;IF($DT38="late","report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f>
        <v/>
      </c>
      <c r="CL39" s="30" t="str">
        <f aca="false">IF($A39="","",SUMIFS(approvals!$AQ$2:$AQ$251,approvals!$A$2:$A$251,$A39))</f>
        <v/>
      </c>
      <c r="CM39" s="30" t="str">
        <f aca="false">IF($A39="","",SUMIFS(approvals!$AR$2:$AR$251,approvals!$A$2:$A$251,$A39))</f>
        <v/>
      </c>
      <c r="CN39" s="30" t="str">
        <f aca="false">IF($A39="","",SUMIFS(approvals!$AS$2:$AS$251,approvals!$A$2:$A$251,$A39))</f>
        <v/>
      </c>
      <c r="CO39" s="30" t="str">
        <f aca="false">IF($A39="","",SUMIFS(approvals!$AT$2:$AT$251,approvals!$A$2:$A$251,$A39))</f>
        <v/>
      </c>
      <c r="CP39" s="33" t="str">
        <f aca="false">IF($A39="","",IF(N($CO39)=0,"",ROUND(SUMIFS(approvals!$AU$2:$AU$251,approvals!$A$2:$A$251,$A39)/$CO39,1)))</f>
        <v/>
      </c>
      <c r="CQ39" s="30" t="str">
        <f aca="false">IF($A39="","",SUMIFS(approvals!$AV$2:$AV$251,approvals!$A$2:$A$251,$A39))</f>
        <v/>
      </c>
      <c r="CR39" s="30" t="str">
        <f aca="false">IF($A39="","",SUMIFS(approvals!$AW$2:$AW$251,approvals!$A$2:$A$251,$A39))</f>
        <v/>
      </c>
      <c r="CS39" s="30" t="str">
        <f aca="false">IF($A39="","",SUMIFS(approvals!$AX$2:$AX$251,approvals!$A$2:$A$251,$A39))</f>
        <v/>
      </c>
      <c r="CT39" s="30" t="str">
        <f aca="false">IF($A39="","",SUMIFS(approvals!$AY$2:$AY$251,approvals!$A$2:$A$251,$A39))</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f>
        <v/>
      </c>
      <c r="CW39" s="30" t="str">
        <f aca="false">IF($A39="","",SUMIFS(approvals!$AN$2:$AN$251,approvals!$A$2:$A$251,$A39))</f>
        <v/>
      </c>
      <c r="CX39" s="30" t="str">
        <f aca="false">IF($A39="","",SUMIFS(approvals!$AO$2:$AO$251,approvals!$A$2:$A$251,$A39))</f>
        <v/>
      </c>
      <c r="CY39" s="30" t="str">
        <f aca="false">IF($A39="","",IF($CZ39="","",SUMIFS(redemptions!$C$2:$C$121,redemptions!$A$2:$A$121,$A39,redemptions!$B$2:$B$121,$CZ39)))</f>
        <v/>
      </c>
      <c r="CZ39" s="31" t="str">
        <f aca="false">IF($A39="","",IFERROR(1/(1/SUMPRODUCT(MAX((redemptions!$A$2:$A$121=$A39)*redemptions!$B$2:$B$121))),""))</f>
        <v/>
      </c>
      <c r="DA39" s="30" t="str">
        <f aca="false">IF($A39="","",IF(COUNTIFS(redemptions!$A$2:$A$121,$A39,redemptions!$H$2:$H$121,"Y")=0,"",SUMIFS(redemptions!$C$2:$C$121,redemptions!$A$2:$A$121,$A39,redemptions!$B$2:$B$121,SUMPRODUCT(MIN((redemptions!$A$2:$A$121=$A39)*(redemptions!$H$2:$H$121="Y")*redemptions!$B$2:$B$121+((redemptions!$A$2:$A$121&lt;&gt;$A39)+(redemptions!$H$2:$H$121&lt;&gt;"Y")&gt;0)*1000000)))))</f>
        <v/>
      </c>
      <c r="DB39" s="32" t="str">
        <f aca="false">IF($A39="","",SUMIFS(invoices!$E$2:$E$151,invoices!$B$2:$B$151,$A39))</f>
        <v/>
      </c>
      <c r="DC39" s="32" t="str">
        <f aca="false">IF($A39="","",IF(COUNTIFS(invoices!$B$2:$B$151,$A39,invoices!$C$2:$C$151,"standard_deposit",invoices!$H$2:$H$151,"&gt;0")=0,"",SUMIFS(invoices!$I$2:$I$151,invoices!$B$2:$B$151,$A39,invoices!$C$2:$C$151,"standard_deposit")))</f>
        <v/>
      </c>
      <c r="DD39" s="31" t="str">
        <f aca="false">IF($A39="","",IFERROR(1/(1/SUMPRODUCT(MAX((invoices!$B$2:$B$151=$A39)*(invoices!$C$2:$C$151="standard_deposit")*invoices!$H$2:$H$151))),""))</f>
        <v/>
      </c>
      <c r="DE39" s="31" t="str">
        <f aca="false">IF($A39="","",IFERROR(1/(1/SUMPRODUCT(MAX((invoices!$B$2:$B$151=$A39)*((invoices!$C$2:$C$151="founding_full")+(invoices!$C$2:$C$151="standard_balance"))*invoices!$H$2:$H$151))),""))</f>
        <v/>
      </c>
      <c r="DF39" s="32" t="str">
        <f aca="false">IF($A39="","",SUMIFS(invoices!$L$2:$L$151,invoices!$B$2:$B$151,$A39))</f>
        <v/>
      </c>
      <c r="DG39" s="32" t="str">
        <f aca="false">IF($A39="","",SUMIFS(costs!$E$2:$E$301,costs!$C$2:$C$301,$A39))</f>
        <v/>
      </c>
      <c r="DH39" s="32" t="str">
        <f aca="false">IF($A39="","",ROUND(IF(SUMIFS(campaigns!$BO$2:$BO$51,campaigns!$B$2:$B$51,$B39)=0,0,$BO39/SUMIFS(campaigns!$BO$2:$BO$51,campaigns!$B$2:$B$51,$B39))*(SUMIFS(costs!$E$2:$E$301,costs!$B$2:$B$301,$B39)-SUMPRODUCT((costs!$B$2:$B$301=$B39)*(LEN(costs!$C$2:$C$301)&gt;0)*costs!$E$2:$E$301)),2))</f>
        <v/>
      </c>
      <c r="DI39" s="33" t="str">
        <f aca="false">IF($A39="","",SUMIFS(hours!$E$2:$E$1501,hours!$C$2:$C$1501,$A39))</f>
        <v/>
      </c>
      <c r="DJ39" s="33" t="str">
        <f aca="false">IF($A39="","",ROUND(IF(SUMIFS(campaigns!$BO$2:$BO$51,campaigns!$B$2:$B$51,$B39)=0,0,$BO39/SUMIFS(campaigns!$BO$2:$BO$51,campaigns!$B$2:$B$51,$B39))*(SUMIFS(hours!$E$2:$E$1501,hours!$B$2:$B$1501,$B39)-SUMPRODUCT((hours!$B$2:$B$1501=$B39)*(LEN(hours!$C$2:$C$1501)&gt;0)*hours!$E$2:$E$1501)),2))</f>
        <v/>
      </c>
      <c r="DK39" s="32" t="str">
        <f aca="false">IF($A39="","",$DB39-$DF39-$DG39-$DH39)</f>
        <v/>
      </c>
      <c r="DL39" s="32" t="str">
        <f aca="false">IF($A39="","",IF(N($DI39)+N($DJ39)=0,"",ROUND($DK39/($DI39+$DJ39),2)))</f>
        <v/>
      </c>
      <c r="DM39" s="34" t="str">
        <f aca="false">IF($A39="","",IF(N($BP39)=0,"",COUNTIFS(approvals!$A$2:$A$251,$A39,approvals!$Q$2:$Q$251,"Y",approvals!$AK$2:$AK$251,"Y")/$BP39))</f>
        <v/>
      </c>
      <c r="DN39" s="33" t="str">
        <f aca="false">IF($A39="","",IF(COUNTIFS(approvals!$A$2:$A$251,$A39,approvals!$AC$2:$AC$251,"&gt;=0")=0,"",ROUND(SUMIFS(approvals!$AC$2:$AC$251,approvals!$A$2:$A$251,$A39)/COUNTIFS(approvals!$A$2:$A$251,$A39,approvals!$AC$2:$AC$251,"&gt;=0"),1)))</f>
        <v/>
      </c>
      <c r="DO39" s="31" t="str">
        <f aca="false">IF($A39="","",IFERROR(IF(INDEX(drops!$T$2:$T$21,MATCH($B39,drops!$A$2:$A$21,0))="","",INDEX(drops!$T$2:$T$21,MATCH($B39,drops!$A$2:$A$21,0))),""))</f>
        <v/>
      </c>
      <c r="DP39" s="31" t="str">
        <f aca="false">IF($A39="","",IFERROR(IF(INDEX(drops!$U$2:$U$21,MATCH($B39,drops!$A$2:$A$21,0))="","",INDEX(drops!$U$2:$U$21,MATCH($B39,drops!$A$2:$A$21,0))),""))</f>
        <v/>
      </c>
      <c r="DQ39" s="31" t="str">
        <f aca="false">IF($A39="","",IFERROR(IF(INDEX(drops!$W$2:$W$21,MATCH($B39,drops!$A$2:$A$21,0))="","",INDEX(drops!$W$2:$W$21,MATCH($B39,drops!$A$2:$A$21,0))),""))</f>
        <v/>
      </c>
      <c r="DR39" s="30" t="str">
        <f aca="false">IF($A39="","",IF($CE39="","",IF($CE39&gt;=config!$B$31,"pass","miss")))</f>
        <v/>
      </c>
      <c r="DS39" s="30" t="str">
        <f aca="false">IF($A39="","",IF($CI39="","",IF($CI39&gt;=config!$B$30,"pass","miss")))</f>
        <v/>
      </c>
      <c r="DT39" s="30" t="str">
        <f aca="true">IF($A39="","",IF($AT39="",IF($DO39="","",IF(IF(config!$B$37&lt;&gt;"",config!$B$37,TODAY())&gt;$DO39,"late","due")),IF($AT39&lt;=$DO39,"pass","late")))</f>
        <v/>
      </c>
      <c r="DU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","")&amp;IF($BZ39&lt;0,"reserve below zero: check inventory;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","")&amp;IF(AND($DA39="",$DQ39&lt;&gt;"",IF(config!$B$37&lt;&gt;"",config!$B$37,TODAY())&gt;$DQ39),"day-30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","")&amp;IF($DT39="late","report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f>
        <v/>
      </c>
      <c r="CL40" s="30" t="str">
        <f aca="false">IF($A40="","",SUMIFS(approvals!$AQ$2:$AQ$251,approvals!$A$2:$A$251,$A40))</f>
        <v/>
      </c>
      <c r="CM40" s="30" t="str">
        <f aca="false">IF($A40="","",SUMIFS(approvals!$AR$2:$AR$251,approvals!$A$2:$A$251,$A40))</f>
        <v/>
      </c>
      <c r="CN40" s="30" t="str">
        <f aca="false">IF($A40="","",SUMIFS(approvals!$AS$2:$AS$251,approvals!$A$2:$A$251,$A40))</f>
        <v/>
      </c>
      <c r="CO40" s="30" t="str">
        <f aca="false">IF($A40="","",SUMIFS(approvals!$AT$2:$AT$251,approvals!$A$2:$A$251,$A40))</f>
        <v/>
      </c>
      <c r="CP40" s="33" t="str">
        <f aca="false">IF($A40="","",IF(N($CO40)=0,"",ROUND(SUMIFS(approvals!$AU$2:$AU$251,approvals!$A$2:$A$251,$A40)/$CO40,1)))</f>
        <v/>
      </c>
      <c r="CQ40" s="30" t="str">
        <f aca="false">IF($A40="","",SUMIFS(approvals!$AV$2:$AV$251,approvals!$A$2:$A$251,$A40))</f>
        <v/>
      </c>
      <c r="CR40" s="30" t="str">
        <f aca="false">IF($A40="","",SUMIFS(approvals!$AW$2:$AW$251,approvals!$A$2:$A$251,$A40))</f>
        <v/>
      </c>
      <c r="CS40" s="30" t="str">
        <f aca="false">IF($A40="","",SUMIFS(approvals!$AX$2:$AX$251,approvals!$A$2:$A$251,$A40))</f>
        <v/>
      </c>
      <c r="CT40" s="30" t="str">
        <f aca="false">IF($A40="","",SUMIFS(approvals!$AY$2:$AY$251,approvals!$A$2:$A$251,$A40))</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f>
        <v/>
      </c>
      <c r="CW40" s="30" t="str">
        <f aca="false">IF($A40="","",SUMIFS(approvals!$AN$2:$AN$251,approvals!$A$2:$A$251,$A40))</f>
        <v/>
      </c>
      <c r="CX40" s="30" t="str">
        <f aca="false">IF($A40="","",SUMIFS(approvals!$AO$2:$AO$251,approvals!$A$2:$A$251,$A40))</f>
        <v/>
      </c>
      <c r="CY40" s="30" t="str">
        <f aca="false">IF($A40="","",IF($CZ40="","",SUMIFS(redemptions!$C$2:$C$121,redemptions!$A$2:$A$121,$A40,redemptions!$B$2:$B$121,$CZ40)))</f>
        <v/>
      </c>
      <c r="CZ40" s="31" t="str">
        <f aca="false">IF($A40="","",IFERROR(1/(1/SUMPRODUCT(MAX((redemptions!$A$2:$A$121=$A40)*redemptions!$B$2:$B$121))),""))</f>
        <v/>
      </c>
      <c r="DA40" s="30" t="str">
        <f aca="false">IF($A40="","",IF(COUNTIFS(redemptions!$A$2:$A$121,$A40,redemptions!$H$2:$H$121,"Y")=0,"",SUMIFS(redemptions!$C$2:$C$121,redemptions!$A$2:$A$121,$A40,redemptions!$B$2:$B$121,SUMPRODUCT(MIN((redemptions!$A$2:$A$121=$A40)*(redemptions!$H$2:$H$121="Y")*redemptions!$B$2:$B$121+((redemptions!$A$2:$A$121&lt;&gt;$A40)+(redemptions!$H$2:$H$121&lt;&gt;"Y")&gt;0)*1000000)))))</f>
        <v/>
      </c>
      <c r="DB40" s="32" t="str">
        <f aca="false">IF($A40="","",SUMIFS(invoices!$E$2:$E$151,invoices!$B$2:$B$151,$A40))</f>
        <v/>
      </c>
      <c r="DC40" s="32" t="str">
        <f aca="false">IF($A40="","",IF(COUNTIFS(invoices!$B$2:$B$151,$A40,invoices!$C$2:$C$151,"standard_deposit",invoices!$H$2:$H$151,"&gt;0")=0,"",SUMIFS(invoices!$I$2:$I$151,invoices!$B$2:$B$151,$A40,invoices!$C$2:$C$151,"standard_deposit")))</f>
        <v/>
      </c>
      <c r="DD40" s="31" t="str">
        <f aca="false">IF($A40="","",IFERROR(1/(1/SUMPRODUCT(MAX((invoices!$B$2:$B$151=$A40)*(invoices!$C$2:$C$151="standard_deposit")*invoices!$H$2:$H$151))),""))</f>
        <v/>
      </c>
      <c r="DE40" s="31" t="str">
        <f aca="false">IF($A40="","",IFERROR(1/(1/SUMPRODUCT(MAX((invoices!$B$2:$B$151=$A40)*((invoices!$C$2:$C$151="founding_full")+(invoices!$C$2:$C$151="standard_balance"))*invoices!$H$2:$H$151))),""))</f>
        <v/>
      </c>
      <c r="DF40" s="32" t="str">
        <f aca="false">IF($A40="","",SUMIFS(invoices!$L$2:$L$151,invoices!$B$2:$B$151,$A40))</f>
        <v/>
      </c>
      <c r="DG40" s="32" t="str">
        <f aca="false">IF($A40="","",SUMIFS(costs!$E$2:$E$301,costs!$C$2:$C$301,$A40))</f>
        <v/>
      </c>
      <c r="DH40" s="32" t="str">
        <f aca="false">IF($A40="","",ROUND(IF(SUMIFS(campaigns!$BO$2:$BO$51,campaigns!$B$2:$B$51,$B40)=0,0,$BO40/SUMIFS(campaigns!$BO$2:$BO$51,campaigns!$B$2:$B$51,$B40))*(SUMIFS(costs!$E$2:$E$301,costs!$B$2:$B$301,$B40)-SUMPRODUCT((costs!$B$2:$B$301=$B40)*(LEN(costs!$C$2:$C$301)&gt;0)*costs!$E$2:$E$301)),2))</f>
        <v/>
      </c>
      <c r="DI40" s="33" t="str">
        <f aca="false">IF($A40="","",SUMIFS(hours!$E$2:$E$1501,hours!$C$2:$C$1501,$A40))</f>
        <v/>
      </c>
      <c r="DJ40" s="33" t="str">
        <f aca="false">IF($A40="","",ROUND(IF(SUMIFS(campaigns!$BO$2:$BO$51,campaigns!$B$2:$B$51,$B40)=0,0,$BO40/SUMIFS(campaigns!$BO$2:$BO$51,campaigns!$B$2:$B$51,$B40))*(SUMIFS(hours!$E$2:$E$1501,hours!$B$2:$B$1501,$B40)-SUMPRODUCT((hours!$B$2:$B$1501=$B40)*(LEN(hours!$C$2:$C$1501)&gt;0)*hours!$E$2:$E$1501)),2))</f>
        <v/>
      </c>
      <c r="DK40" s="32" t="str">
        <f aca="false">IF($A40="","",$DB40-$DF40-$DG40-$DH40)</f>
        <v/>
      </c>
      <c r="DL40" s="32" t="str">
        <f aca="false">IF($A40="","",IF(N($DI40)+N($DJ40)=0,"",ROUND($DK40/($DI40+$DJ40),2)))</f>
        <v/>
      </c>
      <c r="DM40" s="34" t="str">
        <f aca="false">IF($A40="","",IF(N($BP40)=0,"",COUNTIFS(approvals!$A$2:$A$251,$A40,approvals!$Q$2:$Q$251,"Y",approvals!$AK$2:$AK$251,"Y")/$BP40))</f>
        <v/>
      </c>
      <c r="DN40" s="33" t="str">
        <f aca="false">IF($A40="","",IF(COUNTIFS(approvals!$A$2:$A$251,$A40,approvals!$AC$2:$AC$251,"&gt;=0")=0,"",ROUND(SUMIFS(approvals!$AC$2:$AC$251,approvals!$A$2:$A$251,$A40)/COUNTIFS(approvals!$A$2:$A$251,$A40,approvals!$AC$2:$AC$251,"&gt;=0"),1)))</f>
        <v/>
      </c>
      <c r="DO40" s="31" t="str">
        <f aca="false">IF($A40="","",IFERROR(IF(INDEX(drops!$T$2:$T$21,MATCH($B40,drops!$A$2:$A$21,0))="","",INDEX(drops!$T$2:$T$21,MATCH($B40,drops!$A$2:$A$21,0))),""))</f>
        <v/>
      </c>
      <c r="DP40" s="31" t="str">
        <f aca="false">IF($A40="","",IFERROR(IF(INDEX(drops!$U$2:$U$21,MATCH($B40,drops!$A$2:$A$21,0))="","",INDEX(drops!$U$2:$U$21,MATCH($B40,drops!$A$2:$A$21,0))),""))</f>
        <v/>
      </c>
      <c r="DQ40" s="31" t="str">
        <f aca="false">IF($A40="","",IFERROR(IF(INDEX(drops!$W$2:$W$21,MATCH($B40,drops!$A$2:$A$21,0))="","",INDEX(drops!$W$2:$W$21,MATCH($B40,drops!$A$2:$A$21,0))),""))</f>
        <v/>
      </c>
      <c r="DR40" s="30" t="str">
        <f aca="false">IF($A40="","",IF($CE40="","",IF($CE40&gt;=config!$B$31,"pass","miss")))</f>
        <v/>
      </c>
      <c r="DS40" s="30" t="str">
        <f aca="false">IF($A40="","",IF($CI40="","",IF($CI40&gt;=config!$B$30,"pass","miss")))</f>
        <v/>
      </c>
      <c r="DT40" s="30" t="str">
        <f aca="true">IF($A40="","",IF($AT40="",IF($DO40="","",IF(IF(config!$B$37&lt;&gt;"",config!$B$37,TODAY())&gt;$DO40,"late","due")),IF($AT40&lt;=$DO40,"pass","late")))</f>
        <v/>
      </c>
      <c r="DU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","")&amp;IF($BZ40&lt;0,"reserve below zero: check inventory;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","")&amp;IF(AND($DA40="",$DQ40&lt;&gt;"",IF(config!$B$37&lt;&gt;"",config!$B$37,TODAY())&gt;$DQ40),"day-30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","")&amp;IF($DT40="late","report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f>
        <v/>
      </c>
      <c r="CL41" s="30" t="str">
        <f aca="false">IF($A41="","",SUMIFS(approvals!$AQ$2:$AQ$251,approvals!$A$2:$A$251,$A41))</f>
        <v/>
      </c>
      <c r="CM41" s="30" t="str">
        <f aca="false">IF($A41="","",SUMIFS(approvals!$AR$2:$AR$251,approvals!$A$2:$A$251,$A41))</f>
        <v/>
      </c>
      <c r="CN41" s="30" t="str">
        <f aca="false">IF($A41="","",SUMIFS(approvals!$AS$2:$AS$251,approvals!$A$2:$A$251,$A41))</f>
        <v/>
      </c>
      <c r="CO41" s="30" t="str">
        <f aca="false">IF($A41="","",SUMIFS(approvals!$AT$2:$AT$251,approvals!$A$2:$A$251,$A41))</f>
        <v/>
      </c>
      <c r="CP41" s="33" t="str">
        <f aca="false">IF($A41="","",IF(N($CO41)=0,"",ROUND(SUMIFS(approvals!$AU$2:$AU$251,approvals!$A$2:$A$251,$A41)/$CO41,1)))</f>
        <v/>
      </c>
      <c r="CQ41" s="30" t="str">
        <f aca="false">IF($A41="","",SUMIFS(approvals!$AV$2:$AV$251,approvals!$A$2:$A$251,$A41))</f>
        <v/>
      </c>
      <c r="CR41" s="30" t="str">
        <f aca="false">IF($A41="","",SUMIFS(approvals!$AW$2:$AW$251,approvals!$A$2:$A$251,$A41))</f>
        <v/>
      </c>
      <c r="CS41" s="30" t="str">
        <f aca="false">IF($A41="","",SUMIFS(approvals!$AX$2:$AX$251,approvals!$A$2:$A$251,$A41))</f>
        <v/>
      </c>
      <c r="CT41" s="30" t="str">
        <f aca="false">IF($A41="","",SUMIFS(approvals!$AY$2:$AY$251,approvals!$A$2:$A$251,$A41))</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f>
        <v/>
      </c>
      <c r="CW41" s="30" t="str">
        <f aca="false">IF($A41="","",SUMIFS(approvals!$AN$2:$AN$251,approvals!$A$2:$A$251,$A41))</f>
        <v/>
      </c>
      <c r="CX41" s="30" t="str">
        <f aca="false">IF($A41="","",SUMIFS(approvals!$AO$2:$AO$251,approvals!$A$2:$A$251,$A41))</f>
        <v/>
      </c>
      <c r="CY41" s="30" t="str">
        <f aca="false">IF($A41="","",IF($CZ41="","",SUMIFS(redemptions!$C$2:$C$121,redemptions!$A$2:$A$121,$A41,redemptions!$B$2:$B$121,$CZ41)))</f>
        <v/>
      </c>
      <c r="CZ41" s="31" t="str">
        <f aca="false">IF($A41="","",IFERROR(1/(1/SUMPRODUCT(MAX((redemptions!$A$2:$A$121=$A41)*redemptions!$B$2:$B$121))),""))</f>
        <v/>
      </c>
      <c r="DA41" s="30" t="str">
        <f aca="false">IF($A41="","",IF(COUNTIFS(redemptions!$A$2:$A$121,$A41,redemptions!$H$2:$H$121,"Y")=0,"",SUMIFS(redemptions!$C$2:$C$121,redemptions!$A$2:$A$121,$A41,redemptions!$B$2:$B$121,SUMPRODUCT(MIN((redemptions!$A$2:$A$121=$A41)*(redemptions!$H$2:$H$121="Y")*redemptions!$B$2:$B$121+((redemptions!$A$2:$A$121&lt;&gt;$A41)+(redemptions!$H$2:$H$121&lt;&gt;"Y")&gt;0)*1000000)))))</f>
        <v/>
      </c>
      <c r="DB41" s="32" t="str">
        <f aca="false">IF($A41="","",SUMIFS(invoices!$E$2:$E$151,invoices!$B$2:$B$151,$A41))</f>
        <v/>
      </c>
      <c r="DC41" s="32" t="str">
        <f aca="false">IF($A41="","",IF(COUNTIFS(invoices!$B$2:$B$151,$A41,invoices!$C$2:$C$151,"standard_deposit",invoices!$H$2:$H$151,"&gt;0")=0,"",SUMIFS(invoices!$I$2:$I$151,invoices!$B$2:$B$151,$A41,invoices!$C$2:$C$151,"standard_deposit")))</f>
        <v/>
      </c>
      <c r="DD41" s="31" t="str">
        <f aca="false">IF($A41="","",IFERROR(1/(1/SUMPRODUCT(MAX((invoices!$B$2:$B$151=$A41)*(invoices!$C$2:$C$151="standard_deposit")*invoices!$H$2:$H$151))),""))</f>
        <v/>
      </c>
      <c r="DE41" s="31" t="str">
        <f aca="false">IF($A41="","",IFERROR(1/(1/SUMPRODUCT(MAX((invoices!$B$2:$B$151=$A41)*((invoices!$C$2:$C$151="founding_full")+(invoices!$C$2:$C$151="standard_balance"))*invoices!$H$2:$H$151))),""))</f>
        <v/>
      </c>
      <c r="DF41" s="32" t="str">
        <f aca="false">IF($A41="","",SUMIFS(invoices!$L$2:$L$151,invoices!$B$2:$B$151,$A41))</f>
        <v/>
      </c>
      <c r="DG41" s="32" t="str">
        <f aca="false">IF($A41="","",SUMIFS(costs!$E$2:$E$301,costs!$C$2:$C$301,$A41))</f>
        <v/>
      </c>
      <c r="DH41" s="32" t="str">
        <f aca="false">IF($A41="","",ROUND(IF(SUMIFS(campaigns!$BO$2:$BO$51,campaigns!$B$2:$B$51,$B41)=0,0,$BO41/SUMIFS(campaigns!$BO$2:$BO$51,campaigns!$B$2:$B$51,$B41))*(SUMIFS(costs!$E$2:$E$301,costs!$B$2:$B$301,$B41)-SUMPRODUCT((costs!$B$2:$B$301=$B41)*(LEN(costs!$C$2:$C$301)&gt;0)*costs!$E$2:$E$301)),2))</f>
        <v/>
      </c>
      <c r="DI41" s="33" t="str">
        <f aca="false">IF($A41="","",SUMIFS(hours!$E$2:$E$1501,hours!$C$2:$C$1501,$A41))</f>
        <v/>
      </c>
      <c r="DJ41" s="33" t="str">
        <f aca="false">IF($A41="","",ROUND(IF(SUMIFS(campaigns!$BO$2:$BO$51,campaigns!$B$2:$B$51,$B41)=0,0,$BO41/SUMIFS(campaigns!$BO$2:$BO$51,campaigns!$B$2:$B$51,$B41))*(SUMIFS(hours!$E$2:$E$1501,hours!$B$2:$B$1501,$B41)-SUMPRODUCT((hours!$B$2:$B$1501=$B41)*(LEN(hours!$C$2:$C$1501)&gt;0)*hours!$E$2:$E$1501)),2))</f>
        <v/>
      </c>
      <c r="DK41" s="32" t="str">
        <f aca="false">IF($A41="","",$DB41-$DF41-$DG41-$DH41)</f>
        <v/>
      </c>
      <c r="DL41" s="32" t="str">
        <f aca="false">IF($A41="","",IF(N($DI41)+N($DJ41)=0,"",ROUND($DK41/($DI41+$DJ41),2)))</f>
        <v/>
      </c>
      <c r="DM41" s="34" t="str">
        <f aca="false">IF($A41="","",IF(N($BP41)=0,"",COUNTIFS(approvals!$A$2:$A$251,$A41,approvals!$Q$2:$Q$251,"Y",approvals!$AK$2:$AK$251,"Y")/$BP41))</f>
        <v/>
      </c>
      <c r="DN41" s="33" t="str">
        <f aca="false">IF($A41="","",IF(COUNTIFS(approvals!$A$2:$A$251,$A41,approvals!$AC$2:$AC$251,"&gt;=0")=0,"",ROUND(SUMIFS(approvals!$AC$2:$AC$251,approvals!$A$2:$A$251,$A41)/COUNTIFS(approvals!$A$2:$A$251,$A41,approvals!$AC$2:$AC$251,"&gt;=0"),1)))</f>
        <v/>
      </c>
      <c r="DO41" s="31" t="str">
        <f aca="false">IF($A41="","",IFERROR(IF(INDEX(drops!$T$2:$T$21,MATCH($B41,drops!$A$2:$A$21,0))="","",INDEX(drops!$T$2:$T$21,MATCH($B41,drops!$A$2:$A$21,0))),""))</f>
        <v/>
      </c>
      <c r="DP41" s="31" t="str">
        <f aca="false">IF($A41="","",IFERROR(IF(INDEX(drops!$U$2:$U$21,MATCH($B41,drops!$A$2:$A$21,0))="","",INDEX(drops!$U$2:$U$21,MATCH($B41,drops!$A$2:$A$21,0))),""))</f>
        <v/>
      </c>
      <c r="DQ41" s="31" t="str">
        <f aca="false">IF($A41="","",IFERROR(IF(INDEX(drops!$W$2:$W$21,MATCH($B41,drops!$A$2:$A$21,0))="","",INDEX(drops!$W$2:$W$21,MATCH($B41,drops!$A$2:$A$21,0))),""))</f>
        <v/>
      </c>
      <c r="DR41" s="30" t="str">
        <f aca="false">IF($A41="","",IF($CE41="","",IF($CE41&gt;=config!$B$31,"pass","miss")))</f>
        <v/>
      </c>
      <c r="DS41" s="30" t="str">
        <f aca="false">IF($A41="","",IF($CI41="","",IF($CI41&gt;=config!$B$30,"pass","miss")))</f>
        <v/>
      </c>
      <c r="DT41" s="30" t="str">
        <f aca="true">IF($A41="","",IF($AT41="",IF($DO41="","",IF(IF(config!$B$37&lt;&gt;"",config!$B$37,TODAY())&gt;$DO41,"late","due")),IF($AT41&lt;=$DO41,"pass","late")))</f>
        <v/>
      </c>
      <c r="DU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","")&amp;IF($BZ41&lt;0,"reserve below zero: check inventory;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","")&amp;IF(AND($DA41="",$DQ41&lt;&gt;"",IF(config!$B$37&lt;&gt;"",config!$B$37,TODAY())&gt;$DQ41),"day-30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","")&amp;IF($DT41="late","report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f>
        <v/>
      </c>
      <c r="CL42" s="30" t="str">
        <f aca="false">IF($A42="","",SUMIFS(approvals!$AQ$2:$AQ$251,approvals!$A$2:$A$251,$A42))</f>
        <v/>
      </c>
      <c r="CM42" s="30" t="str">
        <f aca="false">IF($A42="","",SUMIFS(approvals!$AR$2:$AR$251,approvals!$A$2:$A$251,$A42))</f>
        <v/>
      </c>
      <c r="CN42" s="30" t="str">
        <f aca="false">IF($A42="","",SUMIFS(approvals!$AS$2:$AS$251,approvals!$A$2:$A$251,$A42))</f>
        <v/>
      </c>
      <c r="CO42" s="30" t="str">
        <f aca="false">IF($A42="","",SUMIFS(approvals!$AT$2:$AT$251,approvals!$A$2:$A$251,$A42))</f>
        <v/>
      </c>
      <c r="CP42" s="33" t="str">
        <f aca="false">IF($A42="","",IF(N($CO42)=0,"",ROUND(SUMIFS(approvals!$AU$2:$AU$251,approvals!$A$2:$A$251,$A42)/$CO42,1)))</f>
        <v/>
      </c>
      <c r="CQ42" s="30" t="str">
        <f aca="false">IF($A42="","",SUMIFS(approvals!$AV$2:$AV$251,approvals!$A$2:$A$251,$A42))</f>
        <v/>
      </c>
      <c r="CR42" s="30" t="str">
        <f aca="false">IF($A42="","",SUMIFS(approvals!$AW$2:$AW$251,approvals!$A$2:$A$251,$A42))</f>
        <v/>
      </c>
      <c r="CS42" s="30" t="str">
        <f aca="false">IF($A42="","",SUMIFS(approvals!$AX$2:$AX$251,approvals!$A$2:$A$251,$A42))</f>
        <v/>
      </c>
      <c r="CT42" s="30" t="str">
        <f aca="false">IF($A42="","",SUMIFS(approvals!$AY$2:$AY$251,approvals!$A$2:$A$251,$A42))</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f>
        <v/>
      </c>
      <c r="CW42" s="30" t="str">
        <f aca="false">IF($A42="","",SUMIFS(approvals!$AN$2:$AN$251,approvals!$A$2:$A$251,$A42))</f>
        <v/>
      </c>
      <c r="CX42" s="30" t="str">
        <f aca="false">IF($A42="","",SUMIFS(approvals!$AO$2:$AO$251,approvals!$A$2:$A$251,$A42))</f>
        <v/>
      </c>
      <c r="CY42" s="30" t="str">
        <f aca="false">IF($A42="","",IF($CZ42="","",SUMIFS(redemptions!$C$2:$C$121,redemptions!$A$2:$A$121,$A42,redemptions!$B$2:$B$121,$CZ42)))</f>
        <v/>
      </c>
      <c r="CZ42" s="31" t="str">
        <f aca="false">IF($A42="","",IFERROR(1/(1/SUMPRODUCT(MAX((redemptions!$A$2:$A$121=$A42)*redemptions!$B$2:$B$121))),""))</f>
        <v/>
      </c>
      <c r="DA42" s="30" t="str">
        <f aca="false">IF($A42="","",IF(COUNTIFS(redemptions!$A$2:$A$121,$A42,redemptions!$H$2:$H$121,"Y")=0,"",SUMIFS(redemptions!$C$2:$C$121,redemptions!$A$2:$A$121,$A42,redemptions!$B$2:$B$121,SUMPRODUCT(MIN((redemptions!$A$2:$A$121=$A42)*(redemptions!$H$2:$H$121="Y")*redemptions!$B$2:$B$121+((redemptions!$A$2:$A$121&lt;&gt;$A42)+(redemptions!$H$2:$H$121&lt;&gt;"Y")&gt;0)*1000000)))))</f>
        <v/>
      </c>
      <c r="DB42" s="32" t="str">
        <f aca="false">IF($A42="","",SUMIFS(invoices!$E$2:$E$151,invoices!$B$2:$B$151,$A42))</f>
        <v/>
      </c>
      <c r="DC42" s="32" t="str">
        <f aca="false">IF($A42="","",IF(COUNTIFS(invoices!$B$2:$B$151,$A42,invoices!$C$2:$C$151,"standard_deposit",invoices!$H$2:$H$151,"&gt;0")=0,"",SUMIFS(invoices!$I$2:$I$151,invoices!$B$2:$B$151,$A42,invoices!$C$2:$C$151,"standard_deposit")))</f>
        <v/>
      </c>
      <c r="DD42" s="31" t="str">
        <f aca="false">IF($A42="","",IFERROR(1/(1/SUMPRODUCT(MAX((invoices!$B$2:$B$151=$A42)*(invoices!$C$2:$C$151="standard_deposit")*invoices!$H$2:$H$151))),""))</f>
        <v/>
      </c>
      <c r="DE42" s="31" t="str">
        <f aca="false">IF($A42="","",IFERROR(1/(1/SUMPRODUCT(MAX((invoices!$B$2:$B$151=$A42)*((invoices!$C$2:$C$151="founding_full")+(invoices!$C$2:$C$151="standard_balance"))*invoices!$H$2:$H$151))),""))</f>
        <v/>
      </c>
      <c r="DF42" s="32" t="str">
        <f aca="false">IF($A42="","",SUMIFS(invoices!$L$2:$L$151,invoices!$B$2:$B$151,$A42))</f>
        <v/>
      </c>
      <c r="DG42" s="32" t="str">
        <f aca="false">IF($A42="","",SUMIFS(costs!$E$2:$E$301,costs!$C$2:$C$301,$A42))</f>
        <v/>
      </c>
      <c r="DH42" s="32" t="str">
        <f aca="false">IF($A42="","",ROUND(IF(SUMIFS(campaigns!$BO$2:$BO$51,campaigns!$B$2:$B$51,$B42)=0,0,$BO42/SUMIFS(campaigns!$BO$2:$BO$51,campaigns!$B$2:$B$51,$B42))*(SUMIFS(costs!$E$2:$E$301,costs!$B$2:$B$301,$B42)-SUMPRODUCT((costs!$B$2:$B$301=$B42)*(LEN(costs!$C$2:$C$301)&gt;0)*costs!$E$2:$E$301)),2))</f>
        <v/>
      </c>
      <c r="DI42" s="33" t="str">
        <f aca="false">IF($A42="","",SUMIFS(hours!$E$2:$E$1501,hours!$C$2:$C$1501,$A42))</f>
        <v/>
      </c>
      <c r="DJ42" s="33" t="str">
        <f aca="false">IF($A42="","",ROUND(IF(SUMIFS(campaigns!$BO$2:$BO$51,campaigns!$B$2:$B$51,$B42)=0,0,$BO42/SUMIFS(campaigns!$BO$2:$BO$51,campaigns!$B$2:$B$51,$B42))*(SUMIFS(hours!$E$2:$E$1501,hours!$B$2:$B$1501,$B42)-SUMPRODUCT((hours!$B$2:$B$1501=$B42)*(LEN(hours!$C$2:$C$1501)&gt;0)*hours!$E$2:$E$1501)),2))</f>
        <v/>
      </c>
      <c r="DK42" s="32" t="str">
        <f aca="false">IF($A42="","",$DB42-$DF42-$DG42-$DH42)</f>
        <v/>
      </c>
      <c r="DL42" s="32" t="str">
        <f aca="false">IF($A42="","",IF(N($DI42)+N($DJ42)=0,"",ROUND($DK42/($DI42+$DJ42),2)))</f>
        <v/>
      </c>
      <c r="DM42" s="34" t="str">
        <f aca="false">IF($A42="","",IF(N($BP42)=0,"",COUNTIFS(approvals!$A$2:$A$251,$A42,approvals!$Q$2:$Q$251,"Y",approvals!$AK$2:$AK$251,"Y")/$BP42))</f>
        <v/>
      </c>
      <c r="DN42" s="33" t="str">
        <f aca="false">IF($A42="","",IF(COUNTIFS(approvals!$A$2:$A$251,$A42,approvals!$AC$2:$AC$251,"&gt;=0")=0,"",ROUND(SUMIFS(approvals!$AC$2:$AC$251,approvals!$A$2:$A$251,$A42)/COUNTIFS(approvals!$A$2:$A$251,$A42,approvals!$AC$2:$AC$251,"&gt;=0"),1)))</f>
        <v/>
      </c>
      <c r="DO42" s="31" t="str">
        <f aca="false">IF($A42="","",IFERROR(IF(INDEX(drops!$T$2:$T$21,MATCH($B42,drops!$A$2:$A$21,0))="","",INDEX(drops!$T$2:$T$21,MATCH($B42,drops!$A$2:$A$21,0))),""))</f>
        <v/>
      </c>
      <c r="DP42" s="31" t="str">
        <f aca="false">IF($A42="","",IFERROR(IF(INDEX(drops!$U$2:$U$21,MATCH($B42,drops!$A$2:$A$21,0))="","",INDEX(drops!$U$2:$U$21,MATCH($B42,drops!$A$2:$A$21,0))),""))</f>
        <v/>
      </c>
      <c r="DQ42" s="31" t="str">
        <f aca="false">IF($A42="","",IFERROR(IF(INDEX(drops!$W$2:$W$21,MATCH($B42,drops!$A$2:$A$21,0))="","",INDEX(drops!$W$2:$W$21,MATCH($B42,drops!$A$2:$A$21,0))),""))</f>
        <v/>
      </c>
      <c r="DR42" s="30" t="str">
        <f aca="false">IF($A42="","",IF($CE42="","",IF($CE42&gt;=config!$B$31,"pass","miss")))</f>
        <v/>
      </c>
      <c r="DS42" s="30" t="str">
        <f aca="false">IF($A42="","",IF($CI42="","",IF($CI42&gt;=config!$B$30,"pass","miss")))</f>
        <v/>
      </c>
      <c r="DT42" s="30" t="str">
        <f aca="true">IF($A42="","",IF($AT42="",IF($DO42="","",IF(IF(config!$B$37&lt;&gt;"",config!$B$37,TODAY())&gt;$DO42,"late","due")),IF($AT42&lt;=$DO42,"pass","late")))</f>
        <v/>
      </c>
      <c r="DU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","")&amp;IF($BZ42&lt;0,"reserve below zero: check inventory;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","")&amp;IF(AND($DA42="",$DQ42&lt;&gt;"",IF(config!$B$37&lt;&gt;"",config!$B$37,TODAY())&gt;$DQ42),"day-30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","")&amp;IF($DT42="late","report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f>
        <v/>
      </c>
      <c r="CL43" s="30" t="str">
        <f aca="false">IF($A43="","",SUMIFS(approvals!$AQ$2:$AQ$251,approvals!$A$2:$A$251,$A43))</f>
        <v/>
      </c>
      <c r="CM43" s="30" t="str">
        <f aca="false">IF($A43="","",SUMIFS(approvals!$AR$2:$AR$251,approvals!$A$2:$A$251,$A43))</f>
        <v/>
      </c>
      <c r="CN43" s="30" t="str">
        <f aca="false">IF($A43="","",SUMIFS(approvals!$AS$2:$AS$251,approvals!$A$2:$A$251,$A43))</f>
        <v/>
      </c>
      <c r="CO43" s="30" t="str">
        <f aca="false">IF($A43="","",SUMIFS(approvals!$AT$2:$AT$251,approvals!$A$2:$A$251,$A43))</f>
        <v/>
      </c>
      <c r="CP43" s="33" t="str">
        <f aca="false">IF($A43="","",IF(N($CO43)=0,"",ROUND(SUMIFS(approvals!$AU$2:$AU$251,approvals!$A$2:$A$251,$A43)/$CO43,1)))</f>
        <v/>
      </c>
      <c r="CQ43" s="30" t="str">
        <f aca="false">IF($A43="","",SUMIFS(approvals!$AV$2:$AV$251,approvals!$A$2:$A$251,$A43))</f>
        <v/>
      </c>
      <c r="CR43" s="30" t="str">
        <f aca="false">IF($A43="","",SUMIFS(approvals!$AW$2:$AW$251,approvals!$A$2:$A$251,$A43))</f>
        <v/>
      </c>
      <c r="CS43" s="30" t="str">
        <f aca="false">IF($A43="","",SUMIFS(approvals!$AX$2:$AX$251,approvals!$A$2:$A$251,$A43))</f>
        <v/>
      </c>
      <c r="CT43" s="30" t="str">
        <f aca="false">IF($A43="","",SUMIFS(approvals!$AY$2:$AY$251,approvals!$A$2:$A$251,$A43))</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f>
        <v/>
      </c>
      <c r="CW43" s="30" t="str">
        <f aca="false">IF($A43="","",SUMIFS(approvals!$AN$2:$AN$251,approvals!$A$2:$A$251,$A43))</f>
        <v/>
      </c>
      <c r="CX43" s="30" t="str">
        <f aca="false">IF($A43="","",SUMIFS(approvals!$AO$2:$AO$251,approvals!$A$2:$A$251,$A43))</f>
        <v/>
      </c>
      <c r="CY43" s="30" t="str">
        <f aca="false">IF($A43="","",IF($CZ43="","",SUMIFS(redemptions!$C$2:$C$121,redemptions!$A$2:$A$121,$A43,redemptions!$B$2:$B$121,$CZ43)))</f>
        <v/>
      </c>
      <c r="CZ43" s="31" t="str">
        <f aca="false">IF($A43="","",IFERROR(1/(1/SUMPRODUCT(MAX((redemptions!$A$2:$A$121=$A43)*redemptions!$B$2:$B$121))),""))</f>
        <v/>
      </c>
      <c r="DA43" s="30" t="str">
        <f aca="false">IF($A43="","",IF(COUNTIFS(redemptions!$A$2:$A$121,$A43,redemptions!$H$2:$H$121,"Y")=0,"",SUMIFS(redemptions!$C$2:$C$121,redemptions!$A$2:$A$121,$A43,redemptions!$B$2:$B$121,SUMPRODUCT(MIN((redemptions!$A$2:$A$121=$A43)*(redemptions!$H$2:$H$121="Y")*redemptions!$B$2:$B$121+((redemptions!$A$2:$A$121&lt;&gt;$A43)+(redemptions!$H$2:$H$121&lt;&gt;"Y")&gt;0)*1000000)))))</f>
        <v/>
      </c>
      <c r="DB43" s="32" t="str">
        <f aca="false">IF($A43="","",SUMIFS(invoices!$E$2:$E$151,invoices!$B$2:$B$151,$A43))</f>
        <v/>
      </c>
      <c r="DC43" s="32" t="str">
        <f aca="false">IF($A43="","",IF(COUNTIFS(invoices!$B$2:$B$151,$A43,invoices!$C$2:$C$151,"standard_deposit",invoices!$H$2:$H$151,"&gt;0")=0,"",SUMIFS(invoices!$I$2:$I$151,invoices!$B$2:$B$151,$A43,invoices!$C$2:$C$151,"standard_deposit")))</f>
        <v/>
      </c>
      <c r="DD43" s="31" t="str">
        <f aca="false">IF($A43="","",IFERROR(1/(1/SUMPRODUCT(MAX((invoices!$B$2:$B$151=$A43)*(invoices!$C$2:$C$151="standard_deposit")*invoices!$H$2:$H$151))),""))</f>
        <v/>
      </c>
      <c r="DE43" s="31" t="str">
        <f aca="false">IF($A43="","",IFERROR(1/(1/SUMPRODUCT(MAX((invoices!$B$2:$B$151=$A43)*((invoices!$C$2:$C$151="founding_full")+(invoices!$C$2:$C$151="standard_balance"))*invoices!$H$2:$H$151))),""))</f>
        <v/>
      </c>
      <c r="DF43" s="32" t="str">
        <f aca="false">IF($A43="","",SUMIFS(invoices!$L$2:$L$151,invoices!$B$2:$B$151,$A43))</f>
        <v/>
      </c>
      <c r="DG43" s="32" t="str">
        <f aca="false">IF($A43="","",SUMIFS(costs!$E$2:$E$301,costs!$C$2:$C$301,$A43))</f>
        <v/>
      </c>
      <c r="DH43" s="32" t="str">
        <f aca="false">IF($A43="","",ROUND(IF(SUMIFS(campaigns!$BO$2:$BO$51,campaigns!$B$2:$B$51,$B43)=0,0,$BO43/SUMIFS(campaigns!$BO$2:$BO$51,campaigns!$B$2:$B$51,$B43))*(SUMIFS(costs!$E$2:$E$301,costs!$B$2:$B$301,$B43)-SUMPRODUCT((costs!$B$2:$B$301=$B43)*(LEN(costs!$C$2:$C$301)&gt;0)*costs!$E$2:$E$301)),2))</f>
        <v/>
      </c>
      <c r="DI43" s="33" t="str">
        <f aca="false">IF($A43="","",SUMIFS(hours!$E$2:$E$1501,hours!$C$2:$C$1501,$A43))</f>
        <v/>
      </c>
      <c r="DJ43" s="33" t="str">
        <f aca="false">IF($A43="","",ROUND(IF(SUMIFS(campaigns!$BO$2:$BO$51,campaigns!$B$2:$B$51,$B43)=0,0,$BO43/SUMIFS(campaigns!$BO$2:$BO$51,campaigns!$B$2:$B$51,$B43))*(SUMIFS(hours!$E$2:$E$1501,hours!$B$2:$B$1501,$B43)-SUMPRODUCT((hours!$B$2:$B$1501=$B43)*(LEN(hours!$C$2:$C$1501)&gt;0)*hours!$E$2:$E$1501)),2))</f>
        <v/>
      </c>
      <c r="DK43" s="32" t="str">
        <f aca="false">IF($A43="","",$DB43-$DF43-$DG43-$DH43)</f>
        <v/>
      </c>
      <c r="DL43" s="32" t="str">
        <f aca="false">IF($A43="","",IF(N($DI43)+N($DJ43)=0,"",ROUND($DK43/($DI43+$DJ43),2)))</f>
        <v/>
      </c>
      <c r="DM43" s="34" t="str">
        <f aca="false">IF($A43="","",IF(N($BP43)=0,"",COUNTIFS(approvals!$A$2:$A$251,$A43,approvals!$Q$2:$Q$251,"Y",approvals!$AK$2:$AK$251,"Y")/$BP43))</f>
        <v/>
      </c>
      <c r="DN43" s="33" t="str">
        <f aca="false">IF($A43="","",IF(COUNTIFS(approvals!$A$2:$A$251,$A43,approvals!$AC$2:$AC$251,"&gt;=0")=0,"",ROUND(SUMIFS(approvals!$AC$2:$AC$251,approvals!$A$2:$A$251,$A43)/COUNTIFS(approvals!$A$2:$A$251,$A43,approvals!$AC$2:$AC$251,"&gt;=0"),1)))</f>
        <v/>
      </c>
      <c r="DO43" s="31" t="str">
        <f aca="false">IF($A43="","",IFERROR(IF(INDEX(drops!$T$2:$T$21,MATCH($B43,drops!$A$2:$A$21,0))="","",INDEX(drops!$T$2:$T$21,MATCH($B43,drops!$A$2:$A$21,0))),""))</f>
        <v/>
      </c>
      <c r="DP43" s="31" t="str">
        <f aca="false">IF($A43="","",IFERROR(IF(INDEX(drops!$U$2:$U$21,MATCH($B43,drops!$A$2:$A$21,0))="","",INDEX(drops!$U$2:$U$21,MATCH($B43,drops!$A$2:$A$21,0))),""))</f>
        <v/>
      </c>
      <c r="DQ43" s="31" t="str">
        <f aca="false">IF($A43="","",IFERROR(IF(INDEX(drops!$W$2:$W$21,MATCH($B43,drops!$A$2:$A$21,0))="","",INDEX(drops!$W$2:$W$21,MATCH($B43,drops!$A$2:$A$21,0))),""))</f>
        <v/>
      </c>
      <c r="DR43" s="30" t="str">
        <f aca="false">IF($A43="","",IF($CE43="","",IF($CE43&gt;=config!$B$31,"pass","miss")))</f>
        <v/>
      </c>
      <c r="DS43" s="30" t="str">
        <f aca="false">IF($A43="","",IF($CI43="","",IF($CI43&gt;=config!$B$30,"pass","miss")))</f>
        <v/>
      </c>
      <c r="DT43" s="30" t="str">
        <f aca="true">IF($A43="","",IF($AT43="",IF($DO43="","",IF(IF(config!$B$37&lt;&gt;"",config!$B$37,TODAY())&gt;$DO43,"late","due")),IF($AT43&lt;=$DO43,"pass","late")))</f>
        <v/>
      </c>
      <c r="DU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","")&amp;IF($BZ43&lt;0,"reserve below zero: check inventory;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","")&amp;IF(AND($DA43="",$DQ43&lt;&gt;"",IF(config!$B$37&lt;&gt;"",config!$B$37,TODAY())&gt;$DQ43),"day-30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","")&amp;IF($DT43="late","report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f>
        <v/>
      </c>
      <c r="CL44" s="30" t="str">
        <f aca="false">IF($A44="","",SUMIFS(approvals!$AQ$2:$AQ$251,approvals!$A$2:$A$251,$A44))</f>
        <v/>
      </c>
      <c r="CM44" s="30" t="str">
        <f aca="false">IF($A44="","",SUMIFS(approvals!$AR$2:$AR$251,approvals!$A$2:$A$251,$A44))</f>
        <v/>
      </c>
      <c r="CN44" s="30" t="str">
        <f aca="false">IF($A44="","",SUMIFS(approvals!$AS$2:$AS$251,approvals!$A$2:$A$251,$A44))</f>
        <v/>
      </c>
      <c r="CO44" s="30" t="str">
        <f aca="false">IF($A44="","",SUMIFS(approvals!$AT$2:$AT$251,approvals!$A$2:$A$251,$A44))</f>
        <v/>
      </c>
      <c r="CP44" s="33" t="str">
        <f aca="false">IF($A44="","",IF(N($CO44)=0,"",ROUND(SUMIFS(approvals!$AU$2:$AU$251,approvals!$A$2:$A$251,$A44)/$CO44,1)))</f>
        <v/>
      </c>
      <c r="CQ44" s="30" t="str">
        <f aca="false">IF($A44="","",SUMIFS(approvals!$AV$2:$AV$251,approvals!$A$2:$A$251,$A44))</f>
        <v/>
      </c>
      <c r="CR44" s="30" t="str">
        <f aca="false">IF($A44="","",SUMIFS(approvals!$AW$2:$AW$251,approvals!$A$2:$A$251,$A44))</f>
        <v/>
      </c>
      <c r="CS44" s="30" t="str">
        <f aca="false">IF($A44="","",SUMIFS(approvals!$AX$2:$AX$251,approvals!$A$2:$A$251,$A44))</f>
        <v/>
      </c>
      <c r="CT44" s="30" t="str">
        <f aca="false">IF($A44="","",SUMIFS(approvals!$AY$2:$AY$251,approvals!$A$2:$A$251,$A44))</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f>
        <v/>
      </c>
      <c r="CW44" s="30" t="str">
        <f aca="false">IF($A44="","",SUMIFS(approvals!$AN$2:$AN$251,approvals!$A$2:$A$251,$A44))</f>
        <v/>
      </c>
      <c r="CX44" s="30" t="str">
        <f aca="false">IF($A44="","",SUMIFS(approvals!$AO$2:$AO$251,approvals!$A$2:$A$251,$A44))</f>
        <v/>
      </c>
      <c r="CY44" s="30" t="str">
        <f aca="false">IF($A44="","",IF($CZ44="","",SUMIFS(redemptions!$C$2:$C$121,redemptions!$A$2:$A$121,$A44,redemptions!$B$2:$B$121,$CZ44)))</f>
        <v/>
      </c>
      <c r="CZ44" s="31" t="str">
        <f aca="false">IF($A44="","",IFERROR(1/(1/SUMPRODUCT(MAX((redemptions!$A$2:$A$121=$A44)*redemptions!$B$2:$B$121))),""))</f>
        <v/>
      </c>
      <c r="DA44" s="30" t="str">
        <f aca="false">IF($A44="","",IF(COUNTIFS(redemptions!$A$2:$A$121,$A44,redemptions!$H$2:$H$121,"Y")=0,"",SUMIFS(redemptions!$C$2:$C$121,redemptions!$A$2:$A$121,$A44,redemptions!$B$2:$B$121,SUMPRODUCT(MIN((redemptions!$A$2:$A$121=$A44)*(redemptions!$H$2:$H$121="Y")*redemptions!$B$2:$B$121+((redemptions!$A$2:$A$121&lt;&gt;$A44)+(redemptions!$H$2:$H$121&lt;&gt;"Y")&gt;0)*1000000)))))</f>
        <v/>
      </c>
      <c r="DB44" s="32" t="str">
        <f aca="false">IF($A44="","",SUMIFS(invoices!$E$2:$E$151,invoices!$B$2:$B$151,$A44))</f>
        <v/>
      </c>
      <c r="DC44" s="32" t="str">
        <f aca="false">IF($A44="","",IF(COUNTIFS(invoices!$B$2:$B$151,$A44,invoices!$C$2:$C$151,"standard_deposit",invoices!$H$2:$H$151,"&gt;0")=0,"",SUMIFS(invoices!$I$2:$I$151,invoices!$B$2:$B$151,$A44,invoices!$C$2:$C$151,"standard_deposit")))</f>
        <v/>
      </c>
      <c r="DD44" s="31" t="str">
        <f aca="false">IF($A44="","",IFERROR(1/(1/SUMPRODUCT(MAX((invoices!$B$2:$B$151=$A44)*(invoices!$C$2:$C$151="standard_deposit")*invoices!$H$2:$H$151))),""))</f>
        <v/>
      </c>
      <c r="DE44" s="31" t="str">
        <f aca="false">IF($A44="","",IFERROR(1/(1/SUMPRODUCT(MAX((invoices!$B$2:$B$151=$A44)*((invoices!$C$2:$C$151="founding_full")+(invoices!$C$2:$C$151="standard_balance"))*invoices!$H$2:$H$151))),""))</f>
        <v/>
      </c>
      <c r="DF44" s="32" t="str">
        <f aca="false">IF($A44="","",SUMIFS(invoices!$L$2:$L$151,invoices!$B$2:$B$151,$A44))</f>
        <v/>
      </c>
      <c r="DG44" s="32" t="str">
        <f aca="false">IF($A44="","",SUMIFS(costs!$E$2:$E$301,costs!$C$2:$C$301,$A44))</f>
        <v/>
      </c>
      <c r="DH44" s="32" t="str">
        <f aca="false">IF($A44="","",ROUND(IF(SUMIFS(campaigns!$BO$2:$BO$51,campaigns!$B$2:$B$51,$B44)=0,0,$BO44/SUMIFS(campaigns!$BO$2:$BO$51,campaigns!$B$2:$B$51,$B44))*(SUMIFS(costs!$E$2:$E$301,costs!$B$2:$B$301,$B44)-SUMPRODUCT((costs!$B$2:$B$301=$B44)*(LEN(costs!$C$2:$C$301)&gt;0)*costs!$E$2:$E$301)),2))</f>
        <v/>
      </c>
      <c r="DI44" s="33" t="str">
        <f aca="false">IF($A44="","",SUMIFS(hours!$E$2:$E$1501,hours!$C$2:$C$1501,$A44))</f>
        <v/>
      </c>
      <c r="DJ44" s="33" t="str">
        <f aca="false">IF($A44="","",ROUND(IF(SUMIFS(campaigns!$BO$2:$BO$51,campaigns!$B$2:$B$51,$B44)=0,0,$BO44/SUMIFS(campaigns!$BO$2:$BO$51,campaigns!$B$2:$B$51,$B44))*(SUMIFS(hours!$E$2:$E$1501,hours!$B$2:$B$1501,$B44)-SUMPRODUCT((hours!$B$2:$B$1501=$B44)*(LEN(hours!$C$2:$C$1501)&gt;0)*hours!$E$2:$E$1501)),2))</f>
        <v/>
      </c>
      <c r="DK44" s="32" t="str">
        <f aca="false">IF($A44="","",$DB44-$DF44-$DG44-$DH44)</f>
        <v/>
      </c>
      <c r="DL44" s="32" t="str">
        <f aca="false">IF($A44="","",IF(N($DI44)+N($DJ44)=0,"",ROUND($DK44/($DI44+$DJ44),2)))</f>
        <v/>
      </c>
      <c r="DM44" s="34" t="str">
        <f aca="false">IF($A44="","",IF(N($BP44)=0,"",COUNTIFS(approvals!$A$2:$A$251,$A44,approvals!$Q$2:$Q$251,"Y",approvals!$AK$2:$AK$251,"Y")/$BP44))</f>
        <v/>
      </c>
      <c r="DN44" s="33" t="str">
        <f aca="false">IF($A44="","",IF(COUNTIFS(approvals!$A$2:$A$251,$A44,approvals!$AC$2:$AC$251,"&gt;=0")=0,"",ROUND(SUMIFS(approvals!$AC$2:$AC$251,approvals!$A$2:$A$251,$A44)/COUNTIFS(approvals!$A$2:$A$251,$A44,approvals!$AC$2:$AC$251,"&gt;=0"),1)))</f>
        <v/>
      </c>
      <c r="DO44" s="31" t="str">
        <f aca="false">IF($A44="","",IFERROR(IF(INDEX(drops!$T$2:$T$21,MATCH($B44,drops!$A$2:$A$21,0))="","",INDEX(drops!$T$2:$T$21,MATCH($B44,drops!$A$2:$A$21,0))),""))</f>
        <v/>
      </c>
      <c r="DP44" s="31" t="str">
        <f aca="false">IF($A44="","",IFERROR(IF(INDEX(drops!$U$2:$U$21,MATCH($B44,drops!$A$2:$A$21,0))="","",INDEX(drops!$U$2:$U$21,MATCH($B44,drops!$A$2:$A$21,0))),""))</f>
        <v/>
      </c>
      <c r="DQ44" s="31" t="str">
        <f aca="false">IF($A44="","",IFERROR(IF(INDEX(drops!$W$2:$W$21,MATCH($B44,drops!$A$2:$A$21,0))="","",INDEX(drops!$W$2:$W$21,MATCH($B44,drops!$A$2:$A$21,0))),""))</f>
        <v/>
      </c>
      <c r="DR44" s="30" t="str">
        <f aca="false">IF($A44="","",IF($CE44="","",IF($CE44&gt;=config!$B$31,"pass","miss")))</f>
        <v/>
      </c>
      <c r="DS44" s="30" t="str">
        <f aca="false">IF($A44="","",IF($CI44="","",IF($CI44&gt;=config!$B$30,"pass","miss")))</f>
        <v/>
      </c>
      <c r="DT44" s="30" t="str">
        <f aca="true">IF($A44="","",IF($AT44="",IF($DO44="","",IF(IF(config!$B$37&lt;&gt;"",config!$B$37,TODAY())&gt;$DO44,"late","due")),IF($AT44&lt;=$DO44,"pass","late")))</f>
        <v/>
      </c>
      <c r="DU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","")&amp;IF($BZ44&lt;0,"reserve below zero: check inventory;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","")&amp;IF(AND($DA44="",$DQ44&lt;&gt;"",IF(config!$B$37&lt;&gt;"",config!$B$37,TODAY())&gt;$DQ44),"day-30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","")&amp;IF($DT44="late","report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f>
        <v/>
      </c>
      <c r="CL45" s="30" t="str">
        <f aca="false">IF($A45="","",SUMIFS(approvals!$AQ$2:$AQ$251,approvals!$A$2:$A$251,$A45))</f>
        <v/>
      </c>
      <c r="CM45" s="30" t="str">
        <f aca="false">IF($A45="","",SUMIFS(approvals!$AR$2:$AR$251,approvals!$A$2:$A$251,$A45))</f>
        <v/>
      </c>
      <c r="CN45" s="30" t="str">
        <f aca="false">IF($A45="","",SUMIFS(approvals!$AS$2:$AS$251,approvals!$A$2:$A$251,$A45))</f>
        <v/>
      </c>
      <c r="CO45" s="30" t="str">
        <f aca="false">IF($A45="","",SUMIFS(approvals!$AT$2:$AT$251,approvals!$A$2:$A$251,$A45))</f>
        <v/>
      </c>
      <c r="CP45" s="33" t="str">
        <f aca="false">IF($A45="","",IF(N($CO45)=0,"",ROUND(SUMIFS(approvals!$AU$2:$AU$251,approvals!$A$2:$A$251,$A45)/$CO45,1)))</f>
        <v/>
      </c>
      <c r="CQ45" s="30" t="str">
        <f aca="false">IF($A45="","",SUMIFS(approvals!$AV$2:$AV$251,approvals!$A$2:$A$251,$A45))</f>
        <v/>
      </c>
      <c r="CR45" s="30" t="str">
        <f aca="false">IF($A45="","",SUMIFS(approvals!$AW$2:$AW$251,approvals!$A$2:$A$251,$A45))</f>
        <v/>
      </c>
      <c r="CS45" s="30" t="str">
        <f aca="false">IF($A45="","",SUMIFS(approvals!$AX$2:$AX$251,approvals!$A$2:$A$251,$A45))</f>
        <v/>
      </c>
      <c r="CT45" s="30" t="str">
        <f aca="false">IF($A45="","",SUMIFS(approvals!$AY$2:$AY$251,approvals!$A$2:$A$251,$A45))</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f>
        <v/>
      </c>
      <c r="CW45" s="30" t="str">
        <f aca="false">IF($A45="","",SUMIFS(approvals!$AN$2:$AN$251,approvals!$A$2:$A$251,$A45))</f>
        <v/>
      </c>
      <c r="CX45" s="30" t="str">
        <f aca="false">IF($A45="","",SUMIFS(approvals!$AO$2:$AO$251,approvals!$A$2:$A$251,$A45))</f>
        <v/>
      </c>
      <c r="CY45" s="30" t="str">
        <f aca="false">IF($A45="","",IF($CZ45="","",SUMIFS(redemptions!$C$2:$C$121,redemptions!$A$2:$A$121,$A45,redemptions!$B$2:$B$121,$CZ45)))</f>
        <v/>
      </c>
      <c r="CZ45" s="31" t="str">
        <f aca="false">IF($A45="","",IFERROR(1/(1/SUMPRODUCT(MAX((redemptions!$A$2:$A$121=$A45)*redemptions!$B$2:$B$121))),""))</f>
        <v/>
      </c>
      <c r="DA45" s="30" t="str">
        <f aca="false">IF($A45="","",IF(COUNTIFS(redemptions!$A$2:$A$121,$A45,redemptions!$H$2:$H$121,"Y")=0,"",SUMIFS(redemptions!$C$2:$C$121,redemptions!$A$2:$A$121,$A45,redemptions!$B$2:$B$121,SUMPRODUCT(MIN((redemptions!$A$2:$A$121=$A45)*(redemptions!$H$2:$H$121="Y")*redemptions!$B$2:$B$121+((redemptions!$A$2:$A$121&lt;&gt;$A45)+(redemptions!$H$2:$H$121&lt;&gt;"Y")&gt;0)*1000000)))))</f>
        <v/>
      </c>
      <c r="DB45" s="32" t="str">
        <f aca="false">IF($A45="","",SUMIFS(invoices!$E$2:$E$151,invoices!$B$2:$B$151,$A45))</f>
        <v/>
      </c>
      <c r="DC45" s="32" t="str">
        <f aca="false">IF($A45="","",IF(COUNTIFS(invoices!$B$2:$B$151,$A45,invoices!$C$2:$C$151,"standard_deposit",invoices!$H$2:$H$151,"&gt;0")=0,"",SUMIFS(invoices!$I$2:$I$151,invoices!$B$2:$B$151,$A45,invoices!$C$2:$C$151,"standard_deposit")))</f>
        <v/>
      </c>
      <c r="DD45" s="31" t="str">
        <f aca="false">IF($A45="","",IFERROR(1/(1/SUMPRODUCT(MAX((invoices!$B$2:$B$151=$A45)*(invoices!$C$2:$C$151="standard_deposit")*invoices!$H$2:$H$151))),""))</f>
        <v/>
      </c>
      <c r="DE45" s="31" t="str">
        <f aca="false">IF($A45="","",IFERROR(1/(1/SUMPRODUCT(MAX((invoices!$B$2:$B$151=$A45)*((invoices!$C$2:$C$151="founding_full")+(invoices!$C$2:$C$151="standard_balance"))*invoices!$H$2:$H$151))),""))</f>
        <v/>
      </c>
      <c r="DF45" s="32" t="str">
        <f aca="false">IF($A45="","",SUMIFS(invoices!$L$2:$L$151,invoices!$B$2:$B$151,$A45))</f>
        <v/>
      </c>
      <c r="DG45" s="32" t="str">
        <f aca="false">IF($A45="","",SUMIFS(costs!$E$2:$E$301,costs!$C$2:$C$301,$A45))</f>
        <v/>
      </c>
      <c r="DH45" s="32" t="str">
        <f aca="false">IF($A45="","",ROUND(IF(SUMIFS(campaigns!$BO$2:$BO$51,campaigns!$B$2:$B$51,$B45)=0,0,$BO45/SUMIFS(campaigns!$BO$2:$BO$51,campaigns!$B$2:$B$51,$B45))*(SUMIFS(costs!$E$2:$E$301,costs!$B$2:$B$301,$B45)-SUMPRODUCT((costs!$B$2:$B$301=$B45)*(LEN(costs!$C$2:$C$301)&gt;0)*costs!$E$2:$E$301)),2))</f>
        <v/>
      </c>
      <c r="DI45" s="33" t="str">
        <f aca="false">IF($A45="","",SUMIFS(hours!$E$2:$E$1501,hours!$C$2:$C$1501,$A45))</f>
        <v/>
      </c>
      <c r="DJ45" s="33" t="str">
        <f aca="false">IF($A45="","",ROUND(IF(SUMIFS(campaigns!$BO$2:$BO$51,campaigns!$B$2:$B$51,$B45)=0,0,$BO45/SUMIFS(campaigns!$BO$2:$BO$51,campaigns!$B$2:$B$51,$B45))*(SUMIFS(hours!$E$2:$E$1501,hours!$B$2:$B$1501,$B45)-SUMPRODUCT((hours!$B$2:$B$1501=$B45)*(LEN(hours!$C$2:$C$1501)&gt;0)*hours!$E$2:$E$1501)),2))</f>
        <v/>
      </c>
      <c r="DK45" s="32" t="str">
        <f aca="false">IF($A45="","",$DB45-$DF45-$DG45-$DH45)</f>
        <v/>
      </c>
      <c r="DL45" s="32" t="str">
        <f aca="false">IF($A45="","",IF(N($DI45)+N($DJ45)=0,"",ROUND($DK45/($DI45+$DJ45),2)))</f>
        <v/>
      </c>
      <c r="DM45" s="34" t="str">
        <f aca="false">IF($A45="","",IF(N($BP45)=0,"",COUNTIFS(approvals!$A$2:$A$251,$A45,approvals!$Q$2:$Q$251,"Y",approvals!$AK$2:$AK$251,"Y")/$BP45))</f>
        <v/>
      </c>
      <c r="DN45" s="33" t="str">
        <f aca="false">IF($A45="","",IF(COUNTIFS(approvals!$A$2:$A$251,$A45,approvals!$AC$2:$AC$251,"&gt;=0")=0,"",ROUND(SUMIFS(approvals!$AC$2:$AC$251,approvals!$A$2:$A$251,$A45)/COUNTIFS(approvals!$A$2:$A$251,$A45,approvals!$AC$2:$AC$251,"&gt;=0"),1)))</f>
        <v/>
      </c>
      <c r="DO45" s="31" t="str">
        <f aca="false">IF($A45="","",IFERROR(IF(INDEX(drops!$T$2:$T$21,MATCH($B45,drops!$A$2:$A$21,0))="","",INDEX(drops!$T$2:$T$21,MATCH($B45,drops!$A$2:$A$21,0))),""))</f>
        <v/>
      </c>
      <c r="DP45" s="31" t="str">
        <f aca="false">IF($A45="","",IFERROR(IF(INDEX(drops!$U$2:$U$21,MATCH($B45,drops!$A$2:$A$21,0))="","",INDEX(drops!$U$2:$U$21,MATCH($B45,drops!$A$2:$A$21,0))),""))</f>
        <v/>
      </c>
      <c r="DQ45" s="31" t="str">
        <f aca="false">IF($A45="","",IFERROR(IF(INDEX(drops!$W$2:$W$21,MATCH($B45,drops!$A$2:$A$21,0))="","",INDEX(drops!$W$2:$W$21,MATCH($B45,drops!$A$2:$A$21,0))),""))</f>
        <v/>
      </c>
      <c r="DR45" s="30" t="str">
        <f aca="false">IF($A45="","",IF($CE45="","",IF($CE45&gt;=config!$B$31,"pass","miss")))</f>
        <v/>
      </c>
      <c r="DS45" s="30" t="str">
        <f aca="false">IF($A45="","",IF($CI45="","",IF($CI45&gt;=config!$B$30,"pass","miss")))</f>
        <v/>
      </c>
      <c r="DT45" s="30" t="str">
        <f aca="true">IF($A45="","",IF($AT45="",IF($DO45="","",IF(IF(config!$B$37&lt;&gt;"",config!$B$37,TODAY())&gt;$DO45,"late","due")),IF($AT45&lt;=$DO45,"pass","late")))</f>
        <v/>
      </c>
      <c r="DU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","")&amp;IF($BZ45&lt;0,"reserve below zero: check inventory;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","")&amp;IF(AND($DA45="",$DQ45&lt;&gt;"",IF(config!$B$37&lt;&gt;"",config!$B$37,TODAY())&gt;$DQ45),"day-30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","")&amp;IF($DT45="late","report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f>
        <v/>
      </c>
      <c r="CL46" s="30" t="str">
        <f aca="false">IF($A46="","",SUMIFS(approvals!$AQ$2:$AQ$251,approvals!$A$2:$A$251,$A46))</f>
        <v/>
      </c>
      <c r="CM46" s="30" t="str">
        <f aca="false">IF($A46="","",SUMIFS(approvals!$AR$2:$AR$251,approvals!$A$2:$A$251,$A46))</f>
        <v/>
      </c>
      <c r="CN46" s="30" t="str">
        <f aca="false">IF($A46="","",SUMIFS(approvals!$AS$2:$AS$251,approvals!$A$2:$A$251,$A46))</f>
        <v/>
      </c>
      <c r="CO46" s="30" t="str">
        <f aca="false">IF($A46="","",SUMIFS(approvals!$AT$2:$AT$251,approvals!$A$2:$A$251,$A46))</f>
        <v/>
      </c>
      <c r="CP46" s="33" t="str">
        <f aca="false">IF($A46="","",IF(N($CO46)=0,"",ROUND(SUMIFS(approvals!$AU$2:$AU$251,approvals!$A$2:$A$251,$A46)/$CO46,1)))</f>
        <v/>
      </c>
      <c r="CQ46" s="30" t="str">
        <f aca="false">IF($A46="","",SUMIFS(approvals!$AV$2:$AV$251,approvals!$A$2:$A$251,$A46))</f>
        <v/>
      </c>
      <c r="CR46" s="30" t="str">
        <f aca="false">IF($A46="","",SUMIFS(approvals!$AW$2:$AW$251,approvals!$A$2:$A$251,$A46))</f>
        <v/>
      </c>
      <c r="CS46" s="30" t="str">
        <f aca="false">IF($A46="","",SUMIFS(approvals!$AX$2:$AX$251,approvals!$A$2:$A$251,$A46))</f>
        <v/>
      </c>
      <c r="CT46" s="30" t="str">
        <f aca="false">IF($A46="","",SUMIFS(approvals!$AY$2:$AY$251,approvals!$A$2:$A$251,$A46))</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f>
        <v/>
      </c>
      <c r="CW46" s="30" t="str">
        <f aca="false">IF($A46="","",SUMIFS(approvals!$AN$2:$AN$251,approvals!$A$2:$A$251,$A46))</f>
        <v/>
      </c>
      <c r="CX46" s="30" t="str">
        <f aca="false">IF($A46="","",SUMIFS(approvals!$AO$2:$AO$251,approvals!$A$2:$A$251,$A46))</f>
        <v/>
      </c>
      <c r="CY46" s="30" t="str">
        <f aca="false">IF($A46="","",IF($CZ46="","",SUMIFS(redemptions!$C$2:$C$121,redemptions!$A$2:$A$121,$A46,redemptions!$B$2:$B$121,$CZ46)))</f>
        <v/>
      </c>
      <c r="CZ46" s="31" t="str">
        <f aca="false">IF($A46="","",IFERROR(1/(1/SUMPRODUCT(MAX((redemptions!$A$2:$A$121=$A46)*redemptions!$B$2:$B$121))),""))</f>
        <v/>
      </c>
      <c r="DA46" s="30" t="str">
        <f aca="false">IF($A46="","",IF(COUNTIFS(redemptions!$A$2:$A$121,$A46,redemptions!$H$2:$H$121,"Y")=0,"",SUMIFS(redemptions!$C$2:$C$121,redemptions!$A$2:$A$121,$A46,redemptions!$B$2:$B$121,SUMPRODUCT(MIN((redemptions!$A$2:$A$121=$A46)*(redemptions!$H$2:$H$121="Y")*redemptions!$B$2:$B$121+((redemptions!$A$2:$A$121&lt;&gt;$A46)+(redemptions!$H$2:$H$121&lt;&gt;"Y")&gt;0)*1000000)))))</f>
        <v/>
      </c>
      <c r="DB46" s="32" t="str">
        <f aca="false">IF($A46="","",SUMIFS(invoices!$E$2:$E$151,invoices!$B$2:$B$151,$A46))</f>
        <v/>
      </c>
      <c r="DC46" s="32" t="str">
        <f aca="false">IF($A46="","",IF(COUNTIFS(invoices!$B$2:$B$151,$A46,invoices!$C$2:$C$151,"standard_deposit",invoices!$H$2:$H$151,"&gt;0")=0,"",SUMIFS(invoices!$I$2:$I$151,invoices!$B$2:$B$151,$A46,invoices!$C$2:$C$151,"standard_deposit")))</f>
        <v/>
      </c>
      <c r="DD46" s="31" t="str">
        <f aca="false">IF($A46="","",IFERROR(1/(1/SUMPRODUCT(MAX((invoices!$B$2:$B$151=$A46)*(invoices!$C$2:$C$151="standard_deposit")*invoices!$H$2:$H$151))),""))</f>
        <v/>
      </c>
      <c r="DE46" s="31" t="str">
        <f aca="false">IF($A46="","",IFERROR(1/(1/SUMPRODUCT(MAX((invoices!$B$2:$B$151=$A46)*((invoices!$C$2:$C$151="founding_full")+(invoices!$C$2:$C$151="standard_balance"))*invoices!$H$2:$H$151))),""))</f>
        <v/>
      </c>
      <c r="DF46" s="32" t="str">
        <f aca="false">IF($A46="","",SUMIFS(invoices!$L$2:$L$151,invoices!$B$2:$B$151,$A46))</f>
        <v/>
      </c>
      <c r="DG46" s="32" t="str">
        <f aca="false">IF($A46="","",SUMIFS(costs!$E$2:$E$301,costs!$C$2:$C$301,$A46))</f>
        <v/>
      </c>
      <c r="DH46" s="32" t="str">
        <f aca="false">IF($A46="","",ROUND(IF(SUMIFS(campaigns!$BO$2:$BO$51,campaigns!$B$2:$B$51,$B46)=0,0,$BO46/SUMIFS(campaigns!$BO$2:$BO$51,campaigns!$B$2:$B$51,$B46))*(SUMIFS(costs!$E$2:$E$301,costs!$B$2:$B$301,$B46)-SUMPRODUCT((costs!$B$2:$B$301=$B46)*(LEN(costs!$C$2:$C$301)&gt;0)*costs!$E$2:$E$301)),2))</f>
        <v/>
      </c>
      <c r="DI46" s="33" t="str">
        <f aca="false">IF($A46="","",SUMIFS(hours!$E$2:$E$1501,hours!$C$2:$C$1501,$A46))</f>
        <v/>
      </c>
      <c r="DJ46" s="33" t="str">
        <f aca="false">IF($A46="","",ROUND(IF(SUMIFS(campaigns!$BO$2:$BO$51,campaigns!$B$2:$B$51,$B46)=0,0,$BO46/SUMIFS(campaigns!$BO$2:$BO$51,campaigns!$B$2:$B$51,$B46))*(SUMIFS(hours!$E$2:$E$1501,hours!$B$2:$B$1501,$B46)-SUMPRODUCT((hours!$B$2:$B$1501=$B46)*(LEN(hours!$C$2:$C$1501)&gt;0)*hours!$E$2:$E$1501)),2))</f>
        <v/>
      </c>
      <c r="DK46" s="32" t="str">
        <f aca="false">IF($A46="","",$DB46-$DF46-$DG46-$DH46)</f>
        <v/>
      </c>
      <c r="DL46" s="32" t="str">
        <f aca="false">IF($A46="","",IF(N($DI46)+N($DJ46)=0,"",ROUND($DK46/($DI46+$DJ46),2)))</f>
        <v/>
      </c>
      <c r="DM46" s="34" t="str">
        <f aca="false">IF($A46="","",IF(N($BP46)=0,"",COUNTIFS(approvals!$A$2:$A$251,$A46,approvals!$Q$2:$Q$251,"Y",approvals!$AK$2:$AK$251,"Y")/$BP46))</f>
        <v/>
      </c>
      <c r="DN46" s="33" t="str">
        <f aca="false">IF($A46="","",IF(COUNTIFS(approvals!$A$2:$A$251,$A46,approvals!$AC$2:$AC$251,"&gt;=0")=0,"",ROUND(SUMIFS(approvals!$AC$2:$AC$251,approvals!$A$2:$A$251,$A46)/COUNTIFS(approvals!$A$2:$A$251,$A46,approvals!$AC$2:$AC$251,"&gt;=0"),1)))</f>
        <v/>
      </c>
      <c r="DO46" s="31" t="str">
        <f aca="false">IF($A46="","",IFERROR(IF(INDEX(drops!$T$2:$T$21,MATCH($B46,drops!$A$2:$A$21,0))="","",INDEX(drops!$T$2:$T$21,MATCH($B46,drops!$A$2:$A$21,0))),""))</f>
        <v/>
      </c>
      <c r="DP46" s="31" t="str">
        <f aca="false">IF($A46="","",IFERROR(IF(INDEX(drops!$U$2:$U$21,MATCH($B46,drops!$A$2:$A$21,0))="","",INDEX(drops!$U$2:$U$21,MATCH($B46,drops!$A$2:$A$21,0))),""))</f>
        <v/>
      </c>
      <c r="DQ46" s="31" t="str">
        <f aca="false">IF($A46="","",IFERROR(IF(INDEX(drops!$W$2:$W$21,MATCH($B46,drops!$A$2:$A$21,0))="","",INDEX(drops!$W$2:$W$21,MATCH($B46,drops!$A$2:$A$21,0))),""))</f>
        <v/>
      </c>
      <c r="DR46" s="30" t="str">
        <f aca="false">IF($A46="","",IF($CE46="","",IF($CE46&gt;=config!$B$31,"pass","miss")))</f>
        <v/>
      </c>
      <c r="DS46" s="30" t="str">
        <f aca="false">IF($A46="","",IF($CI46="","",IF($CI46&gt;=config!$B$30,"pass","miss")))</f>
        <v/>
      </c>
      <c r="DT46" s="30" t="str">
        <f aca="true">IF($A46="","",IF($AT46="",IF($DO46="","",IF(IF(config!$B$37&lt;&gt;"",config!$B$37,TODAY())&gt;$DO46,"late","due")),IF($AT46&lt;=$DO46,"pass","late")))</f>
        <v/>
      </c>
      <c r="DU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","")&amp;IF($BZ46&lt;0,"reserve below zero: check inventory;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","")&amp;IF(AND($DA46="",$DQ46&lt;&gt;"",IF(config!$B$37&lt;&gt;"",config!$B$37,TODAY())&gt;$DQ46),"day-30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","")&amp;IF($DT46="late","report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f>
        <v/>
      </c>
      <c r="CL47" s="30" t="str">
        <f aca="false">IF($A47="","",SUMIFS(approvals!$AQ$2:$AQ$251,approvals!$A$2:$A$251,$A47))</f>
        <v/>
      </c>
      <c r="CM47" s="30" t="str">
        <f aca="false">IF($A47="","",SUMIFS(approvals!$AR$2:$AR$251,approvals!$A$2:$A$251,$A47))</f>
        <v/>
      </c>
      <c r="CN47" s="30" t="str">
        <f aca="false">IF($A47="","",SUMIFS(approvals!$AS$2:$AS$251,approvals!$A$2:$A$251,$A47))</f>
        <v/>
      </c>
      <c r="CO47" s="30" t="str">
        <f aca="false">IF($A47="","",SUMIFS(approvals!$AT$2:$AT$251,approvals!$A$2:$A$251,$A47))</f>
        <v/>
      </c>
      <c r="CP47" s="33" t="str">
        <f aca="false">IF($A47="","",IF(N($CO47)=0,"",ROUND(SUMIFS(approvals!$AU$2:$AU$251,approvals!$A$2:$A$251,$A47)/$CO47,1)))</f>
        <v/>
      </c>
      <c r="CQ47" s="30" t="str">
        <f aca="false">IF($A47="","",SUMIFS(approvals!$AV$2:$AV$251,approvals!$A$2:$A$251,$A47))</f>
        <v/>
      </c>
      <c r="CR47" s="30" t="str">
        <f aca="false">IF($A47="","",SUMIFS(approvals!$AW$2:$AW$251,approvals!$A$2:$A$251,$A47))</f>
        <v/>
      </c>
      <c r="CS47" s="30" t="str">
        <f aca="false">IF($A47="","",SUMIFS(approvals!$AX$2:$AX$251,approvals!$A$2:$A$251,$A47))</f>
        <v/>
      </c>
      <c r="CT47" s="30" t="str">
        <f aca="false">IF($A47="","",SUMIFS(approvals!$AY$2:$AY$251,approvals!$A$2:$A$251,$A47))</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f>
        <v/>
      </c>
      <c r="CW47" s="30" t="str">
        <f aca="false">IF($A47="","",SUMIFS(approvals!$AN$2:$AN$251,approvals!$A$2:$A$251,$A47))</f>
        <v/>
      </c>
      <c r="CX47" s="30" t="str">
        <f aca="false">IF($A47="","",SUMIFS(approvals!$AO$2:$AO$251,approvals!$A$2:$A$251,$A47))</f>
        <v/>
      </c>
      <c r="CY47" s="30" t="str">
        <f aca="false">IF($A47="","",IF($CZ47="","",SUMIFS(redemptions!$C$2:$C$121,redemptions!$A$2:$A$121,$A47,redemptions!$B$2:$B$121,$CZ47)))</f>
        <v/>
      </c>
      <c r="CZ47" s="31" t="str">
        <f aca="false">IF($A47="","",IFERROR(1/(1/SUMPRODUCT(MAX((redemptions!$A$2:$A$121=$A47)*redemptions!$B$2:$B$121))),""))</f>
        <v/>
      </c>
      <c r="DA47" s="30" t="str">
        <f aca="false">IF($A47="","",IF(COUNTIFS(redemptions!$A$2:$A$121,$A47,redemptions!$H$2:$H$121,"Y")=0,"",SUMIFS(redemptions!$C$2:$C$121,redemptions!$A$2:$A$121,$A47,redemptions!$B$2:$B$121,SUMPRODUCT(MIN((redemptions!$A$2:$A$121=$A47)*(redemptions!$H$2:$H$121="Y")*redemptions!$B$2:$B$121+((redemptions!$A$2:$A$121&lt;&gt;$A47)+(redemptions!$H$2:$H$121&lt;&gt;"Y")&gt;0)*1000000)))))</f>
        <v/>
      </c>
      <c r="DB47" s="32" t="str">
        <f aca="false">IF($A47="","",SUMIFS(invoices!$E$2:$E$151,invoices!$B$2:$B$151,$A47))</f>
        <v/>
      </c>
      <c r="DC47" s="32" t="str">
        <f aca="false">IF($A47="","",IF(COUNTIFS(invoices!$B$2:$B$151,$A47,invoices!$C$2:$C$151,"standard_deposit",invoices!$H$2:$H$151,"&gt;0")=0,"",SUMIFS(invoices!$I$2:$I$151,invoices!$B$2:$B$151,$A47,invoices!$C$2:$C$151,"standard_deposit")))</f>
        <v/>
      </c>
      <c r="DD47" s="31" t="str">
        <f aca="false">IF($A47="","",IFERROR(1/(1/SUMPRODUCT(MAX((invoices!$B$2:$B$151=$A47)*(invoices!$C$2:$C$151="standard_deposit")*invoices!$H$2:$H$151))),""))</f>
        <v/>
      </c>
      <c r="DE47" s="31" t="str">
        <f aca="false">IF($A47="","",IFERROR(1/(1/SUMPRODUCT(MAX((invoices!$B$2:$B$151=$A47)*((invoices!$C$2:$C$151="founding_full")+(invoices!$C$2:$C$151="standard_balance"))*invoices!$H$2:$H$151))),""))</f>
        <v/>
      </c>
      <c r="DF47" s="32" t="str">
        <f aca="false">IF($A47="","",SUMIFS(invoices!$L$2:$L$151,invoices!$B$2:$B$151,$A47))</f>
        <v/>
      </c>
      <c r="DG47" s="32" t="str">
        <f aca="false">IF($A47="","",SUMIFS(costs!$E$2:$E$301,costs!$C$2:$C$301,$A47))</f>
        <v/>
      </c>
      <c r="DH47" s="32" t="str">
        <f aca="false">IF($A47="","",ROUND(IF(SUMIFS(campaigns!$BO$2:$BO$51,campaigns!$B$2:$B$51,$B47)=0,0,$BO47/SUMIFS(campaigns!$BO$2:$BO$51,campaigns!$B$2:$B$51,$B47))*(SUMIFS(costs!$E$2:$E$301,costs!$B$2:$B$301,$B47)-SUMPRODUCT((costs!$B$2:$B$301=$B47)*(LEN(costs!$C$2:$C$301)&gt;0)*costs!$E$2:$E$301)),2))</f>
        <v/>
      </c>
      <c r="DI47" s="33" t="str">
        <f aca="false">IF($A47="","",SUMIFS(hours!$E$2:$E$1501,hours!$C$2:$C$1501,$A47))</f>
        <v/>
      </c>
      <c r="DJ47" s="33" t="str">
        <f aca="false">IF($A47="","",ROUND(IF(SUMIFS(campaigns!$BO$2:$BO$51,campaigns!$B$2:$B$51,$B47)=0,0,$BO47/SUMIFS(campaigns!$BO$2:$BO$51,campaigns!$B$2:$B$51,$B47))*(SUMIFS(hours!$E$2:$E$1501,hours!$B$2:$B$1501,$B47)-SUMPRODUCT((hours!$B$2:$B$1501=$B47)*(LEN(hours!$C$2:$C$1501)&gt;0)*hours!$E$2:$E$1501)),2))</f>
        <v/>
      </c>
      <c r="DK47" s="32" t="str">
        <f aca="false">IF($A47="","",$DB47-$DF47-$DG47-$DH47)</f>
        <v/>
      </c>
      <c r="DL47" s="32" t="str">
        <f aca="false">IF($A47="","",IF(N($DI47)+N($DJ47)=0,"",ROUND($DK47/($DI47+$DJ47),2)))</f>
        <v/>
      </c>
      <c r="DM47" s="34" t="str">
        <f aca="false">IF($A47="","",IF(N($BP47)=0,"",COUNTIFS(approvals!$A$2:$A$251,$A47,approvals!$Q$2:$Q$251,"Y",approvals!$AK$2:$AK$251,"Y")/$BP47))</f>
        <v/>
      </c>
      <c r="DN47" s="33" t="str">
        <f aca="false">IF($A47="","",IF(COUNTIFS(approvals!$A$2:$A$251,$A47,approvals!$AC$2:$AC$251,"&gt;=0")=0,"",ROUND(SUMIFS(approvals!$AC$2:$AC$251,approvals!$A$2:$A$251,$A47)/COUNTIFS(approvals!$A$2:$A$251,$A47,approvals!$AC$2:$AC$251,"&gt;=0"),1)))</f>
        <v/>
      </c>
      <c r="DO47" s="31" t="str">
        <f aca="false">IF($A47="","",IFERROR(IF(INDEX(drops!$T$2:$T$21,MATCH($B47,drops!$A$2:$A$21,0))="","",INDEX(drops!$T$2:$T$21,MATCH($B47,drops!$A$2:$A$21,0))),""))</f>
        <v/>
      </c>
      <c r="DP47" s="31" t="str">
        <f aca="false">IF($A47="","",IFERROR(IF(INDEX(drops!$U$2:$U$21,MATCH($B47,drops!$A$2:$A$21,0))="","",INDEX(drops!$U$2:$U$21,MATCH($B47,drops!$A$2:$A$21,0))),""))</f>
        <v/>
      </c>
      <c r="DQ47" s="31" t="str">
        <f aca="false">IF($A47="","",IFERROR(IF(INDEX(drops!$W$2:$W$21,MATCH($B47,drops!$A$2:$A$21,0))="","",INDEX(drops!$W$2:$W$21,MATCH($B47,drops!$A$2:$A$21,0))),""))</f>
        <v/>
      </c>
      <c r="DR47" s="30" t="str">
        <f aca="false">IF($A47="","",IF($CE47="","",IF($CE47&gt;=config!$B$31,"pass","miss")))</f>
        <v/>
      </c>
      <c r="DS47" s="30" t="str">
        <f aca="false">IF($A47="","",IF($CI47="","",IF($CI47&gt;=config!$B$30,"pass","miss")))</f>
        <v/>
      </c>
      <c r="DT47" s="30" t="str">
        <f aca="true">IF($A47="","",IF($AT47="",IF($DO47="","",IF(IF(config!$B$37&lt;&gt;"",config!$B$37,TODAY())&gt;$DO47,"late","due")),IF($AT47&lt;=$DO47,"pass","late")))</f>
        <v/>
      </c>
      <c r="DU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","")&amp;IF($BZ47&lt;0,"reserve below zero: check inventory;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","")&amp;IF(AND($DA47="",$DQ47&lt;&gt;"",IF(config!$B$37&lt;&gt;"",config!$B$37,TODAY())&gt;$DQ47),"day-30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","")&amp;IF($DT47="late","report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f>
        <v/>
      </c>
      <c r="CL48" s="30" t="str">
        <f aca="false">IF($A48="","",SUMIFS(approvals!$AQ$2:$AQ$251,approvals!$A$2:$A$251,$A48))</f>
        <v/>
      </c>
      <c r="CM48" s="30" t="str">
        <f aca="false">IF($A48="","",SUMIFS(approvals!$AR$2:$AR$251,approvals!$A$2:$A$251,$A48))</f>
        <v/>
      </c>
      <c r="CN48" s="30" t="str">
        <f aca="false">IF($A48="","",SUMIFS(approvals!$AS$2:$AS$251,approvals!$A$2:$A$251,$A48))</f>
        <v/>
      </c>
      <c r="CO48" s="30" t="str">
        <f aca="false">IF($A48="","",SUMIFS(approvals!$AT$2:$AT$251,approvals!$A$2:$A$251,$A48))</f>
        <v/>
      </c>
      <c r="CP48" s="33" t="str">
        <f aca="false">IF($A48="","",IF(N($CO48)=0,"",ROUND(SUMIFS(approvals!$AU$2:$AU$251,approvals!$A$2:$A$251,$A48)/$CO48,1)))</f>
        <v/>
      </c>
      <c r="CQ48" s="30" t="str">
        <f aca="false">IF($A48="","",SUMIFS(approvals!$AV$2:$AV$251,approvals!$A$2:$A$251,$A48))</f>
        <v/>
      </c>
      <c r="CR48" s="30" t="str">
        <f aca="false">IF($A48="","",SUMIFS(approvals!$AW$2:$AW$251,approvals!$A$2:$A$251,$A48))</f>
        <v/>
      </c>
      <c r="CS48" s="30" t="str">
        <f aca="false">IF($A48="","",SUMIFS(approvals!$AX$2:$AX$251,approvals!$A$2:$A$251,$A48))</f>
        <v/>
      </c>
      <c r="CT48" s="30" t="str">
        <f aca="false">IF($A48="","",SUMIFS(approvals!$AY$2:$AY$251,approvals!$A$2:$A$251,$A48))</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f>
        <v/>
      </c>
      <c r="CW48" s="30" t="str">
        <f aca="false">IF($A48="","",SUMIFS(approvals!$AN$2:$AN$251,approvals!$A$2:$A$251,$A48))</f>
        <v/>
      </c>
      <c r="CX48" s="30" t="str">
        <f aca="false">IF($A48="","",SUMIFS(approvals!$AO$2:$AO$251,approvals!$A$2:$A$251,$A48))</f>
        <v/>
      </c>
      <c r="CY48" s="30" t="str">
        <f aca="false">IF($A48="","",IF($CZ48="","",SUMIFS(redemptions!$C$2:$C$121,redemptions!$A$2:$A$121,$A48,redemptions!$B$2:$B$121,$CZ48)))</f>
        <v/>
      </c>
      <c r="CZ48" s="31" t="str">
        <f aca="false">IF($A48="","",IFERROR(1/(1/SUMPRODUCT(MAX((redemptions!$A$2:$A$121=$A48)*redemptions!$B$2:$B$121))),""))</f>
        <v/>
      </c>
      <c r="DA48" s="30" t="str">
        <f aca="false">IF($A48="","",IF(COUNTIFS(redemptions!$A$2:$A$121,$A48,redemptions!$H$2:$H$121,"Y")=0,"",SUMIFS(redemptions!$C$2:$C$121,redemptions!$A$2:$A$121,$A48,redemptions!$B$2:$B$121,SUMPRODUCT(MIN((redemptions!$A$2:$A$121=$A48)*(redemptions!$H$2:$H$121="Y")*redemptions!$B$2:$B$121+((redemptions!$A$2:$A$121&lt;&gt;$A48)+(redemptions!$H$2:$H$121&lt;&gt;"Y")&gt;0)*1000000)))))</f>
        <v/>
      </c>
      <c r="DB48" s="32" t="str">
        <f aca="false">IF($A48="","",SUMIFS(invoices!$E$2:$E$151,invoices!$B$2:$B$151,$A48))</f>
        <v/>
      </c>
      <c r="DC48" s="32" t="str">
        <f aca="false">IF($A48="","",IF(COUNTIFS(invoices!$B$2:$B$151,$A48,invoices!$C$2:$C$151,"standard_deposit",invoices!$H$2:$H$151,"&gt;0")=0,"",SUMIFS(invoices!$I$2:$I$151,invoices!$B$2:$B$151,$A48,invoices!$C$2:$C$151,"standard_deposit")))</f>
        <v/>
      </c>
      <c r="DD48" s="31" t="str">
        <f aca="false">IF($A48="","",IFERROR(1/(1/SUMPRODUCT(MAX((invoices!$B$2:$B$151=$A48)*(invoices!$C$2:$C$151="standard_deposit")*invoices!$H$2:$H$151))),""))</f>
        <v/>
      </c>
      <c r="DE48" s="31" t="str">
        <f aca="false">IF($A48="","",IFERROR(1/(1/SUMPRODUCT(MAX((invoices!$B$2:$B$151=$A48)*((invoices!$C$2:$C$151="founding_full")+(invoices!$C$2:$C$151="standard_balance"))*invoices!$H$2:$H$151))),""))</f>
        <v/>
      </c>
      <c r="DF48" s="32" t="str">
        <f aca="false">IF($A48="","",SUMIFS(invoices!$L$2:$L$151,invoices!$B$2:$B$151,$A48))</f>
        <v/>
      </c>
      <c r="DG48" s="32" t="str">
        <f aca="false">IF($A48="","",SUMIFS(costs!$E$2:$E$301,costs!$C$2:$C$301,$A48))</f>
        <v/>
      </c>
      <c r="DH48" s="32" t="str">
        <f aca="false">IF($A48="","",ROUND(IF(SUMIFS(campaigns!$BO$2:$BO$51,campaigns!$B$2:$B$51,$B48)=0,0,$BO48/SUMIFS(campaigns!$BO$2:$BO$51,campaigns!$B$2:$B$51,$B48))*(SUMIFS(costs!$E$2:$E$301,costs!$B$2:$B$301,$B48)-SUMPRODUCT((costs!$B$2:$B$301=$B48)*(LEN(costs!$C$2:$C$301)&gt;0)*costs!$E$2:$E$301)),2))</f>
        <v/>
      </c>
      <c r="DI48" s="33" t="str">
        <f aca="false">IF($A48="","",SUMIFS(hours!$E$2:$E$1501,hours!$C$2:$C$1501,$A48))</f>
        <v/>
      </c>
      <c r="DJ48" s="33" t="str">
        <f aca="false">IF($A48="","",ROUND(IF(SUMIFS(campaigns!$BO$2:$BO$51,campaigns!$B$2:$B$51,$B48)=0,0,$BO48/SUMIFS(campaigns!$BO$2:$BO$51,campaigns!$B$2:$B$51,$B48))*(SUMIFS(hours!$E$2:$E$1501,hours!$B$2:$B$1501,$B48)-SUMPRODUCT((hours!$B$2:$B$1501=$B48)*(LEN(hours!$C$2:$C$1501)&gt;0)*hours!$E$2:$E$1501)),2))</f>
        <v/>
      </c>
      <c r="DK48" s="32" t="str">
        <f aca="false">IF($A48="","",$DB48-$DF48-$DG48-$DH48)</f>
        <v/>
      </c>
      <c r="DL48" s="32" t="str">
        <f aca="false">IF($A48="","",IF(N($DI48)+N($DJ48)=0,"",ROUND($DK48/($DI48+$DJ48),2)))</f>
        <v/>
      </c>
      <c r="DM48" s="34" t="str">
        <f aca="false">IF($A48="","",IF(N($BP48)=0,"",COUNTIFS(approvals!$A$2:$A$251,$A48,approvals!$Q$2:$Q$251,"Y",approvals!$AK$2:$AK$251,"Y")/$BP48))</f>
        <v/>
      </c>
      <c r="DN48" s="33" t="str">
        <f aca="false">IF($A48="","",IF(COUNTIFS(approvals!$A$2:$A$251,$A48,approvals!$AC$2:$AC$251,"&gt;=0")=0,"",ROUND(SUMIFS(approvals!$AC$2:$AC$251,approvals!$A$2:$A$251,$A48)/COUNTIFS(approvals!$A$2:$A$251,$A48,approvals!$AC$2:$AC$251,"&gt;=0"),1)))</f>
        <v/>
      </c>
      <c r="DO48" s="31" t="str">
        <f aca="false">IF($A48="","",IFERROR(IF(INDEX(drops!$T$2:$T$21,MATCH($B48,drops!$A$2:$A$21,0))="","",INDEX(drops!$T$2:$T$21,MATCH($B48,drops!$A$2:$A$21,0))),""))</f>
        <v/>
      </c>
      <c r="DP48" s="31" t="str">
        <f aca="false">IF($A48="","",IFERROR(IF(INDEX(drops!$U$2:$U$21,MATCH($B48,drops!$A$2:$A$21,0))="","",INDEX(drops!$U$2:$U$21,MATCH($B48,drops!$A$2:$A$21,0))),""))</f>
        <v/>
      </c>
      <c r="DQ48" s="31" t="str">
        <f aca="false">IF($A48="","",IFERROR(IF(INDEX(drops!$W$2:$W$21,MATCH($B48,drops!$A$2:$A$21,0))="","",INDEX(drops!$W$2:$W$21,MATCH($B48,drops!$A$2:$A$21,0))),""))</f>
        <v/>
      </c>
      <c r="DR48" s="30" t="str">
        <f aca="false">IF($A48="","",IF($CE48="","",IF($CE48&gt;=config!$B$31,"pass","miss")))</f>
        <v/>
      </c>
      <c r="DS48" s="30" t="str">
        <f aca="false">IF($A48="","",IF($CI48="","",IF($CI48&gt;=config!$B$30,"pass","miss")))</f>
        <v/>
      </c>
      <c r="DT48" s="30" t="str">
        <f aca="true">IF($A48="","",IF($AT48="",IF($DO48="","",IF(IF(config!$B$37&lt;&gt;"",config!$B$37,TODAY())&gt;$DO48,"late","due")),IF($AT48&lt;=$DO48,"pass","late")))</f>
        <v/>
      </c>
      <c r="DU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","")&amp;IF($BZ48&lt;0,"reserve below zero: check inventory;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","")&amp;IF(AND($DA48="",$DQ48&lt;&gt;"",IF(config!$B$37&lt;&gt;"",config!$B$37,TODAY())&gt;$DQ48),"day-30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","")&amp;IF($DT48="late","report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f>
        <v/>
      </c>
      <c r="CL49" s="30" t="str">
        <f aca="false">IF($A49="","",SUMIFS(approvals!$AQ$2:$AQ$251,approvals!$A$2:$A$251,$A49))</f>
        <v/>
      </c>
      <c r="CM49" s="30" t="str">
        <f aca="false">IF($A49="","",SUMIFS(approvals!$AR$2:$AR$251,approvals!$A$2:$A$251,$A49))</f>
        <v/>
      </c>
      <c r="CN49" s="30" t="str">
        <f aca="false">IF($A49="","",SUMIFS(approvals!$AS$2:$AS$251,approvals!$A$2:$A$251,$A49))</f>
        <v/>
      </c>
      <c r="CO49" s="30" t="str">
        <f aca="false">IF($A49="","",SUMIFS(approvals!$AT$2:$AT$251,approvals!$A$2:$A$251,$A49))</f>
        <v/>
      </c>
      <c r="CP49" s="33" t="str">
        <f aca="false">IF($A49="","",IF(N($CO49)=0,"",ROUND(SUMIFS(approvals!$AU$2:$AU$251,approvals!$A$2:$A$251,$A49)/$CO49,1)))</f>
        <v/>
      </c>
      <c r="CQ49" s="30" t="str">
        <f aca="false">IF($A49="","",SUMIFS(approvals!$AV$2:$AV$251,approvals!$A$2:$A$251,$A49))</f>
        <v/>
      </c>
      <c r="CR49" s="30" t="str">
        <f aca="false">IF($A49="","",SUMIFS(approvals!$AW$2:$AW$251,approvals!$A$2:$A$251,$A49))</f>
        <v/>
      </c>
      <c r="CS49" s="30" t="str">
        <f aca="false">IF($A49="","",SUMIFS(approvals!$AX$2:$AX$251,approvals!$A$2:$A$251,$A49))</f>
        <v/>
      </c>
      <c r="CT49" s="30" t="str">
        <f aca="false">IF($A49="","",SUMIFS(approvals!$AY$2:$AY$251,approvals!$A$2:$A$251,$A49))</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f>
        <v/>
      </c>
      <c r="CW49" s="30" t="str">
        <f aca="false">IF($A49="","",SUMIFS(approvals!$AN$2:$AN$251,approvals!$A$2:$A$251,$A49))</f>
        <v/>
      </c>
      <c r="CX49" s="30" t="str">
        <f aca="false">IF($A49="","",SUMIFS(approvals!$AO$2:$AO$251,approvals!$A$2:$A$251,$A49))</f>
        <v/>
      </c>
      <c r="CY49" s="30" t="str">
        <f aca="false">IF($A49="","",IF($CZ49="","",SUMIFS(redemptions!$C$2:$C$121,redemptions!$A$2:$A$121,$A49,redemptions!$B$2:$B$121,$CZ49)))</f>
        <v/>
      </c>
      <c r="CZ49" s="31" t="str">
        <f aca="false">IF($A49="","",IFERROR(1/(1/SUMPRODUCT(MAX((redemptions!$A$2:$A$121=$A49)*redemptions!$B$2:$B$121))),""))</f>
        <v/>
      </c>
      <c r="DA49" s="30" t="str">
        <f aca="false">IF($A49="","",IF(COUNTIFS(redemptions!$A$2:$A$121,$A49,redemptions!$H$2:$H$121,"Y")=0,"",SUMIFS(redemptions!$C$2:$C$121,redemptions!$A$2:$A$121,$A49,redemptions!$B$2:$B$121,SUMPRODUCT(MIN((redemptions!$A$2:$A$121=$A49)*(redemptions!$H$2:$H$121="Y")*redemptions!$B$2:$B$121+((redemptions!$A$2:$A$121&lt;&gt;$A49)+(redemptions!$H$2:$H$121&lt;&gt;"Y")&gt;0)*1000000)))))</f>
        <v/>
      </c>
      <c r="DB49" s="32" t="str">
        <f aca="false">IF($A49="","",SUMIFS(invoices!$E$2:$E$151,invoices!$B$2:$B$151,$A49))</f>
        <v/>
      </c>
      <c r="DC49" s="32" t="str">
        <f aca="false">IF($A49="","",IF(COUNTIFS(invoices!$B$2:$B$151,$A49,invoices!$C$2:$C$151,"standard_deposit",invoices!$H$2:$H$151,"&gt;0")=0,"",SUMIFS(invoices!$I$2:$I$151,invoices!$B$2:$B$151,$A49,invoices!$C$2:$C$151,"standard_deposit")))</f>
        <v/>
      </c>
      <c r="DD49" s="31" t="str">
        <f aca="false">IF($A49="","",IFERROR(1/(1/SUMPRODUCT(MAX((invoices!$B$2:$B$151=$A49)*(invoices!$C$2:$C$151="standard_deposit")*invoices!$H$2:$H$151))),""))</f>
        <v/>
      </c>
      <c r="DE49" s="31" t="str">
        <f aca="false">IF($A49="","",IFERROR(1/(1/SUMPRODUCT(MAX((invoices!$B$2:$B$151=$A49)*((invoices!$C$2:$C$151="founding_full")+(invoices!$C$2:$C$151="standard_balance"))*invoices!$H$2:$H$151))),""))</f>
        <v/>
      </c>
      <c r="DF49" s="32" t="str">
        <f aca="false">IF($A49="","",SUMIFS(invoices!$L$2:$L$151,invoices!$B$2:$B$151,$A49))</f>
        <v/>
      </c>
      <c r="DG49" s="32" t="str">
        <f aca="false">IF($A49="","",SUMIFS(costs!$E$2:$E$301,costs!$C$2:$C$301,$A49))</f>
        <v/>
      </c>
      <c r="DH49" s="32" t="str">
        <f aca="false">IF($A49="","",ROUND(IF(SUMIFS(campaigns!$BO$2:$BO$51,campaigns!$B$2:$B$51,$B49)=0,0,$BO49/SUMIFS(campaigns!$BO$2:$BO$51,campaigns!$B$2:$B$51,$B49))*(SUMIFS(costs!$E$2:$E$301,costs!$B$2:$B$301,$B49)-SUMPRODUCT((costs!$B$2:$B$301=$B49)*(LEN(costs!$C$2:$C$301)&gt;0)*costs!$E$2:$E$301)),2))</f>
        <v/>
      </c>
      <c r="DI49" s="33" t="str">
        <f aca="false">IF($A49="","",SUMIFS(hours!$E$2:$E$1501,hours!$C$2:$C$1501,$A49))</f>
        <v/>
      </c>
      <c r="DJ49" s="33" t="str">
        <f aca="false">IF($A49="","",ROUND(IF(SUMIFS(campaigns!$BO$2:$BO$51,campaigns!$B$2:$B$51,$B49)=0,0,$BO49/SUMIFS(campaigns!$BO$2:$BO$51,campaigns!$B$2:$B$51,$B49))*(SUMIFS(hours!$E$2:$E$1501,hours!$B$2:$B$1501,$B49)-SUMPRODUCT((hours!$B$2:$B$1501=$B49)*(LEN(hours!$C$2:$C$1501)&gt;0)*hours!$E$2:$E$1501)),2))</f>
        <v/>
      </c>
      <c r="DK49" s="32" t="str">
        <f aca="false">IF($A49="","",$DB49-$DF49-$DG49-$DH49)</f>
        <v/>
      </c>
      <c r="DL49" s="32" t="str">
        <f aca="false">IF($A49="","",IF(N($DI49)+N($DJ49)=0,"",ROUND($DK49/($DI49+$DJ49),2)))</f>
        <v/>
      </c>
      <c r="DM49" s="34" t="str">
        <f aca="false">IF($A49="","",IF(N($BP49)=0,"",COUNTIFS(approvals!$A$2:$A$251,$A49,approvals!$Q$2:$Q$251,"Y",approvals!$AK$2:$AK$251,"Y")/$BP49))</f>
        <v/>
      </c>
      <c r="DN49" s="33" t="str">
        <f aca="false">IF($A49="","",IF(COUNTIFS(approvals!$A$2:$A$251,$A49,approvals!$AC$2:$AC$251,"&gt;=0")=0,"",ROUND(SUMIFS(approvals!$AC$2:$AC$251,approvals!$A$2:$A$251,$A49)/COUNTIFS(approvals!$A$2:$A$251,$A49,approvals!$AC$2:$AC$251,"&gt;=0"),1)))</f>
        <v/>
      </c>
      <c r="DO49" s="31" t="str">
        <f aca="false">IF($A49="","",IFERROR(IF(INDEX(drops!$T$2:$T$21,MATCH($B49,drops!$A$2:$A$21,0))="","",INDEX(drops!$T$2:$T$21,MATCH($B49,drops!$A$2:$A$21,0))),""))</f>
        <v/>
      </c>
      <c r="DP49" s="31" t="str">
        <f aca="false">IF($A49="","",IFERROR(IF(INDEX(drops!$U$2:$U$21,MATCH($B49,drops!$A$2:$A$21,0))="","",INDEX(drops!$U$2:$U$21,MATCH($B49,drops!$A$2:$A$21,0))),""))</f>
        <v/>
      </c>
      <c r="DQ49" s="31" t="str">
        <f aca="false">IF($A49="","",IFERROR(IF(INDEX(drops!$W$2:$W$21,MATCH($B49,drops!$A$2:$A$21,0))="","",INDEX(drops!$W$2:$W$21,MATCH($B49,drops!$A$2:$A$21,0))),""))</f>
        <v/>
      </c>
      <c r="DR49" s="30" t="str">
        <f aca="false">IF($A49="","",IF($CE49="","",IF($CE49&gt;=config!$B$31,"pass","miss")))</f>
        <v/>
      </c>
      <c r="DS49" s="30" t="str">
        <f aca="false">IF($A49="","",IF($CI49="","",IF($CI49&gt;=config!$B$30,"pass","miss")))</f>
        <v/>
      </c>
      <c r="DT49" s="30" t="str">
        <f aca="true">IF($A49="","",IF($AT49="",IF($DO49="","",IF(IF(config!$B$37&lt;&gt;"",config!$B$37,TODAY())&gt;$DO49,"late","due")),IF($AT49&lt;=$DO49,"pass","late")))</f>
        <v/>
      </c>
      <c r="DU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","")&amp;IF($BZ49&lt;0,"reserve below zero: check inventory;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","")&amp;IF(AND($DA49="",$DQ49&lt;&gt;"",IF(config!$B$37&lt;&gt;"",config!$B$37,TODAY())&gt;$DQ49),"day-30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","")&amp;IF($DT49="late","report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f>
        <v/>
      </c>
      <c r="CL50" s="30" t="str">
        <f aca="false">IF($A50="","",SUMIFS(approvals!$AQ$2:$AQ$251,approvals!$A$2:$A$251,$A50))</f>
        <v/>
      </c>
      <c r="CM50" s="30" t="str">
        <f aca="false">IF($A50="","",SUMIFS(approvals!$AR$2:$AR$251,approvals!$A$2:$A$251,$A50))</f>
        <v/>
      </c>
      <c r="CN50" s="30" t="str">
        <f aca="false">IF($A50="","",SUMIFS(approvals!$AS$2:$AS$251,approvals!$A$2:$A$251,$A50))</f>
        <v/>
      </c>
      <c r="CO50" s="30" t="str">
        <f aca="false">IF($A50="","",SUMIFS(approvals!$AT$2:$AT$251,approvals!$A$2:$A$251,$A50))</f>
        <v/>
      </c>
      <c r="CP50" s="33" t="str">
        <f aca="false">IF($A50="","",IF(N($CO50)=0,"",ROUND(SUMIFS(approvals!$AU$2:$AU$251,approvals!$A$2:$A$251,$A50)/$CO50,1)))</f>
        <v/>
      </c>
      <c r="CQ50" s="30" t="str">
        <f aca="false">IF($A50="","",SUMIFS(approvals!$AV$2:$AV$251,approvals!$A$2:$A$251,$A50))</f>
        <v/>
      </c>
      <c r="CR50" s="30" t="str">
        <f aca="false">IF($A50="","",SUMIFS(approvals!$AW$2:$AW$251,approvals!$A$2:$A$251,$A50))</f>
        <v/>
      </c>
      <c r="CS50" s="30" t="str">
        <f aca="false">IF($A50="","",SUMIFS(approvals!$AX$2:$AX$251,approvals!$A$2:$A$251,$A50))</f>
        <v/>
      </c>
      <c r="CT50" s="30" t="str">
        <f aca="false">IF($A50="","",SUMIFS(approvals!$AY$2:$AY$251,approvals!$A$2:$A$251,$A50))</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f>
        <v/>
      </c>
      <c r="CW50" s="30" t="str">
        <f aca="false">IF($A50="","",SUMIFS(approvals!$AN$2:$AN$251,approvals!$A$2:$A$251,$A50))</f>
        <v/>
      </c>
      <c r="CX50" s="30" t="str">
        <f aca="false">IF($A50="","",SUMIFS(approvals!$AO$2:$AO$251,approvals!$A$2:$A$251,$A50))</f>
        <v/>
      </c>
      <c r="CY50" s="30" t="str">
        <f aca="false">IF($A50="","",IF($CZ50="","",SUMIFS(redemptions!$C$2:$C$121,redemptions!$A$2:$A$121,$A50,redemptions!$B$2:$B$121,$CZ50)))</f>
        <v/>
      </c>
      <c r="CZ50" s="31" t="str">
        <f aca="false">IF($A50="","",IFERROR(1/(1/SUMPRODUCT(MAX((redemptions!$A$2:$A$121=$A50)*redemptions!$B$2:$B$121))),""))</f>
        <v/>
      </c>
      <c r="DA50" s="30" t="str">
        <f aca="false">IF($A50="","",IF(COUNTIFS(redemptions!$A$2:$A$121,$A50,redemptions!$H$2:$H$121,"Y")=0,"",SUMIFS(redemptions!$C$2:$C$121,redemptions!$A$2:$A$121,$A50,redemptions!$B$2:$B$121,SUMPRODUCT(MIN((redemptions!$A$2:$A$121=$A50)*(redemptions!$H$2:$H$121="Y")*redemptions!$B$2:$B$121+((redemptions!$A$2:$A$121&lt;&gt;$A50)+(redemptions!$H$2:$H$121&lt;&gt;"Y")&gt;0)*1000000)))))</f>
        <v/>
      </c>
      <c r="DB50" s="32" t="str">
        <f aca="false">IF($A50="","",SUMIFS(invoices!$E$2:$E$151,invoices!$B$2:$B$151,$A50))</f>
        <v/>
      </c>
      <c r="DC50" s="32" t="str">
        <f aca="false">IF($A50="","",IF(COUNTIFS(invoices!$B$2:$B$151,$A50,invoices!$C$2:$C$151,"standard_deposit",invoices!$H$2:$H$151,"&gt;0")=0,"",SUMIFS(invoices!$I$2:$I$151,invoices!$B$2:$B$151,$A50,invoices!$C$2:$C$151,"standard_deposit")))</f>
        <v/>
      </c>
      <c r="DD50" s="31" t="str">
        <f aca="false">IF($A50="","",IFERROR(1/(1/SUMPRODUCT(MAX((invoices!$B$2:$B$151=$A50)*(invoices!$C$2:$C$151="standard_deposit")*invoices!$H$2:$H$151))),""))</f>
        <v/>
      </c>
      <c r="DE50" s="31" t="str">
        <f aca="false">IF($A50="","",IFERROR(1/(1/SUMPRODUCT(MAX((invoices!$B$2:$B$151=$A50)*((invoices!$C$2:$C$151="founding_full")+(invoices!$C$2:$C$151="standard_balance"))*invoices!$H$2:$H$151))),""))</f>
        <v/>
      </c>
      <c r="DF50" s="32" t="str">
        <f aca="false">IF($A50="","",SUMIFS(invoices!$L$2:$L$151,invoices!$B$2:$B$151,$A50))</f>
        <v/>
      </c>
      <c r="DG50" s="32" t="str">
        <f aca="false">IF($A50="","",SUMIFS(costs!$E$2:$E$301,costs!$C$2:$C$301,$A50))</f>
        <v/>
      </c>
      <c r="DH50" s="32" t="str">
        <f aca="false">IF($A50="","",ROUND(IF(SUMIFS(campaigns!$BO$2:$BO$51,campaigns!$B$2:$B$51,$B50)=0,0,$BO50/SUMIFS(campaigns!$BO$2:$BO$51,campaigns!$B$2:$B$51,$B50))*(SUMIFS(costs!$E$2:$E$301,costs!$B$2:$B$301,$B50)-SUMPRODUCT((costs!$B$2:$B$301=$B50)*(LEN(costs!$C$2:$C$301)&gt;0)*costs!$E$2:$E$301)),2))</f>
        <v/>
      </c>
      <c r="DI50" s="33" t="str">
        <f aca="false">IF($A50="","",SUMIFS(hours!$E$2:$E$1501,hours!$C$2:$C$1501,$A50))</f>
        <v/>
      </c>
      <c r="DJ50" s="33" t="str">
        <f aca="false">IF($A50="","",ROUND(IF(SUMIFS(campaigns!$BO$2:$BO$51,campaigns!$B$2:$B$51,$B50)=0,0,$BO50/SUMIFS(campaigns!$BO$2:$BO$51,campaigns!$B$2:$B$51,$B50))*(SUMIFS(hours!$E$2:$E$1501,hours!$B$2:$B$1501,$B50)-SUMPRODUCT((hours!$B$2:$B$1501=$B50)*(LEN(hours!$C$2:$C$1501)&gt;0)*hours!$E$2:$E$1501)),2))</f>
        <v/>
      </c>
      <c r="DK50" s="32" t="str">
        <f aca="false">IF($A50="","",$DB50-$DF50-$DG50-$DH50)</f>
        <v/>
      </c>
      <c r="DL50" s="32" t="str">
        <f aca="false">IF($A50="","",IF(N($DI50)+N($DJ50)=0,"",ROUND($DK50/($DI50+$DJ50),2)))</f>
        <v/>
      </c>
      <c r="DM50" s="34" t="str">
        <f aca="false">IF($A50="","",IF(N($BP50)=0,"",COUNTIFS(approvals!$A$2:$A$251,$A50,approvals!$Q$2:$Q$251,"Y",approvals!$AK$2:$AK$251,"Y")/$BP50))</f>
        <v/>
      </c>
      <c r="DN50" s="33" t="str">
        <f aca="false">IF($A50="","",IF(COUNTIFS(approvals!$A$2:$A$251,$A50,approvals!$AC$2:$AC$251,"&gt;=0")=0,"",ROUND(SUMIFS(approvals!$AC$2:$AC$251,approvals!$A$2:$A$251,$A50)/COUNTIFS(approvals!$A$2:$A$251,$A50,approvals!$AC$2:$AC$251,"&gt;=0"),1)))</f>
        <v/>
      </c>
      <c r="DO50" s="31" t="str">
        <f aca="false">IF($A50="","",IFERROR(IF(INDEX(drops!$T$2:$T$21,MATCH($B50,drops!$A$2:$A$21,0))="","",INDEX(drops!$T$2:$T$21,MATCH($B50,drops!$A$2:$A$21,0))),""))</f>
        <v/>
      </c>
      <c r="DP50" s="31" t="str">
        <f aca="false">IF($A50="","",IFERROR(IF(INDEX(drops!$U$2:$U$21,MATCH($B50,drops!$A$2:$A$21,0))="","",INDEX(drops!$U$2:$U$21,MATCH($B50,drops!$A$2:$A$21,0))),""))</f>
        <v/>
      </c>
      <c r="DQ50" s="31" t="str">
        <f aca="false">IF($A50="","",IFERROR(IF(INDEX(drops!$W$2:$W$21,MATCH($B50,drops!$A$2:$A$21,0))="","",INDEX(drops!$W$2:$W$21,MATCH($B50,drops!$A$2:$A$21,0))),""))</f>
        <v/>
      </c>
      <c r="DR50" s="30" t="str">
        <f aca="false">IF($A50="","",IF($CE50="","",IF($CE50&gt;=config!$B$31,"pass","miss")))</f>
        <v/>
      </c>
      <c r="DS50" s="30" t="str">
        <f aca="false">IF($A50="","",IF($CI50="","",IF($CI50&gt;=config!$B$30,"pass","miss")))</f>
        <v/>
      </c>
      <c r="DT50" s="30" t="str">
        <f aca="true">IF($A50="","",IF($AT50="",IF($DO50="","",IF(IF(config!$B$37&lt;&gt;"",config!$B$37,TODAY())&gt;$DO50,"late","due")),IF($AT50&lt;=$DO50,"pass","late")))</f>
        <v/>
      </c>
      <c r="DU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","")&amp;IF($BZ50&lt;0,"reserve below zero: check inventory;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","")&amp;IF(AND($DA50="",$DQ50&lt;&gt;"",IF(config!$B$37&lt;&gt;"",config!$B$37,TODAY())&gt;$DQ50),"day-30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","")&amp;IF($DT50="late","report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f>
        <v/>
      </c>
      <c r="CL51" s="30" t="str">
        <f aca="false">IF($A51="","",SUMIFS(approvals!$AQ$2:$AQ$251,approvals!$A$2:$A$251,$A51))</f>
        <v/>
      </c>
      <c r="CM51" s="30" t="str">
        <f aca="false">IF($A51="","",SUMIFS(approvals!$AR$2:$AR$251,approvals!$A$2:$A$251,$A51))</f>
        <v/>
      </c>
      <c r="CN51" s="30" t="str">
        <f aca="false">IF($A51="","",SUMIFS(approvals!$AS$2:$AS$251,approvals!$A$2:$A$251,$A51))</f>
        <v/>
      </c>
      <c r="CO51" s="30" t="str">
        <f aca="false">IF($A51="","",SUMIFS(approvals!$AT$2:$AT$251,approvals!$A$2:$A$251,$A51))</f>
        <v/>
      </c>
      <c r="CP51" s="33" t="str">
        <f aca="false">IF($A51="","",IF(N($CO51)=0,"",ROUND(SUMIFS(approvals!$AU$2:$AU$251,approvals!$A$2:$A$251,$A51)/$CO51,1)))</f>
        <v/>
      </c>
      <c r="CQ51" s="30" t="str">
        <f aca="false">IF($A51="","",SUMIFS(approvals!$AV$2:$AV$251,approvals!$A$2:$A$251,$A51))</f>
        <v/>
      </c>
      <c r="CR51" s="30" t="str">
        <f aca="false">IF($A51="","",SUMIFS(approvals!$AW$2:$AW$251,approvals!$A$2:$A$251,$A51))</f>
        <v/>
      </c>
      <c r="CS51" s="30" t="str">
        <f aca="false">IF($A51="","",SUMIFS(approvals!$AX$2:$AX$251,approvals!$A$2:$A$251,$A51))</f>
        <v/>
      </c>
      <c r="CT51" s="30" t="str">
        <f aca="false">IF($A51="","",SUMIFS(approvals!$AY$2:$AY$251,approvals!$A$2:$A$251,$A51))</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f>
        <v/>
      </c>
      <c r="CW51" s="30" t="str">
        <f aca="false">IF($A51="","",SUMIFS(approvals!$AN$2:$AN$251,approvals!$A$2:$A$251,$A51))</f>
        <v/>
      </c>
      <c r="CX51" s="30" t="str">
        <f aca="false">IF($A51="","",SUMIFS(approvals!$AO$2:$AO$251,approvals!$A$2:$A$251,$A51))</f>
        <v/>
      </c>
      <c r="CY51" s="30" t="str">
        <f aca="false">IF($A51="","",IF($CZ51="","",SUMIFS(redemptions!$C$2:$C$121,redemptions!$A$2:$A$121,$A51,redemptions!$B$2:$B$121,$CZ51)))</f>
        <v/>
      </c>
      <c r="CZ51" s="31" t="str">
        <f aca="false">IF($A51="","",IFERROR(1/(1/SUMPRODUCT(MAX((redemptions!$A$2:$A$121=$A51)*redemptions!$B$2:$B$121))),""))</f>
        <v/>
      </c>
      <c r="DA51" s="30" t="str">
        <f aca="false">IF($A51="","",IF(COUNTIFS(redemptions!$A$2:$A$121,$A51,redemptions!$H$2:$H$121,"Y")=0,"",SUMIFS(redemptions!$C$2:$C$121,redemptions!$A$2:$A$121,$A51,redemptions!$B$2:$B$121,SUMPRODUCT(MIN((redemptions!$A$2:$A$121=$A51)*(redemptions!$H$2:$H$121="Y")*redemptions!$B$2:$B$121+((redemptions!$A$2:$A$121&lt;&gt;$A51)+(redemptions!$H$2:$H$121&lt;&gt;"Y")&gt;0)*1000000)))))</f>
        <v/>
      </c>
      <c r="DB51" s="32" t="str">
        <f aca="false">IF($A51="","",SUMIFS(invoices!$E$2:$E$151,invoices!$B$2:$B$151,$A51))</f>
        <v/>
      </c>
      <c r="DC51" s="32" t="str">
        <f aca="false">IF($A51="","",IF(COUNTIFS(invoices!$B$2:$B$151,$A51,invoices!$C$2:$C$151,"standard_deposit",invoices!$H$2:$H$151,"&gt;0")=0,"",SUMIFS(invoices!$I$2:$I$151,invoices!$B$2:$B$151,$A51,invoices!$C$2:$C$151,"standard_deposit")))</f>
        <v/>
      </c>
      <c r="DD51" s="31" t="str">
        <f aca="false">IF($A51="","",IFERROR(1/(1/SUMPRODUCT(MAX((invoices!$B$2:$B$151=$A51)*(invoices!$C$2:$C$151="standard_deposit")*invoices!$H$2:$H$151))),""))</f>
        <v/>
      </c>
      <c r="DE51" s="31" t="str">
        <f aca="false">IF($A51="","",IFERROR(1/(1/SUMPRODUCT(MAX((invoices!$B$2:$B$151=$A51)*((invoices!$C$2:$C$151="founding_full")+(invoices!$C$2:$C$151="standard_balance"))*invoices!$H$2:$H$151))),""))</f>
        <v/>
      </c>
      <c r="DF51" s="32" t="str">
        <f aca="false">IF($A51="","",SUMIFS(invoices!$L$2:$L$151,invoices!$B$2:$B$151,$A51))</f>
        <v/>
      </c>
      <c r="DG51" s="32" t="str">
        <f aca="false">IF($A51="","",SUMIFS(costs!$E$2:$E$301,costs!$C$2:$C$301,$A51))</f>
        <v/>
      </c>
      <c r="DH51" s="32" t="str">
        <f aca="false">IF($A51="","",ROUND(IF(SUMIFS(campaigns!$BO$2:$BO$51,campaigns!$B$2:$B$51,$B51)=0,0,$BO51/SUMIFS(campaigns!$BO$2:$BO$51,campaigns!$B$2:$B$51,$B51))*(SUMIFS(costs!$E$2:$E$301,costs!$B$2:$B$301,$B51)-SUMPRODUCT((costs!$B$2:$B$301=$B51)*(LEN(costs!$C$2:$C$301)&gt;0)*costs!$E$2:$E$301)),2))</f>
        <v/>
      </c>
      <c r="DI51" s="33" t="str">
        <f aca="false">IF($A51="","",SUMIFS(hours!$E$2:$E$1501,hours!$C$2:$C$1501,$A51))</f>
        <v/>
      </c>
      <c r="DJ51" s="33" t="str">
        <f aca="false">IF($A51="","",ROUND(IF(SUMIFS(campaigns!$BO$2:$BO$51,campaigns!$B$2:$B$51,$B51)=0,0,$BO51/SUMIFS(campaigns!$BO$2:$BO$51,campaigns!$B$2:$B$51,$B51))*(SUMIFS(hours!$E$2:$E$1501,hours!$B$2:$B$1501,$B51)-SUMPRODUCT((hours!$B$2:$B$1501=$B51)*(LEN(hours!$C$2:$C$1501)&gt;0)*hours!$E$2:$E$1501)),2))</f>
        <v/>
      </c>
      <c r="DK51" s="32" t="str">
        <f aca="false">IF($A51="","",$DB51-$DF51-$DG51-$DH51)</f>
        <v/>
      </c>
      <c r="DL51" s="32" t="str">
        <f aca="false">IF($A51="","",IF(N($DI51)+N($DJ51)=0,"",ROUND($DK51/($DI51+$DJ51),2)))</f>
        <v/>
      </c>
      <c r="DM51" s="34" t="str">
        <f aca="false">IF($A51="","",IF(N($BP51)=0,"",COUNTIFS(approvals!$A$2:$A$251,$A51,approvals!$Q$2:$Q$251,"Y",approvals!$AK$2:$AK$251,"Y")/$BP51))</f>
        <v/>
      </c>
      <c r="DN51" s="33" t="str">
        <f aca="false">IF($A51="","",IF(COUNTIFS(approvals!$A$2:$A$251,$A51,approvals!$AC$2:$AC$251,"&gt;=0")=0,"",ROUND(SUMIFS(approvals!$AC$2:$AC$251,approvals!$A$2:$A$251,$A51)/COUNTIFS(approvals!$A$2:$A$251,$A51,approvals!$AC$2:$AC$251,"&gt;=0"),1)))</f>
        <v/>
      </c>
      <c r="DO51" s="31" t="str">
        <f aca="false">IF($A51="","",IFERROR(IF(INDEX(drops!$T$2:$T$21,MATCH($B51,drops!$A$2:$A$21,0))="","",INDEX(drops!$T$2:$T$21,MATCH($B51,drops!$A$2:$A$21,0))),""))</f>
        <v/>
      </c>
      <c r="DP51" s="31" t="str">
        <f aca="false">IF($A51="","",IFERROR(IF(INDEX(drops!$U$2:$U$21,MATCH($B51,drops!$A$2:$A$21,0))="","",INDEX(drops!$U$2:$U$21,MATCH($B51,drops!$A$2:$A$21,0))),""))</f>
        <v/>
      </c>
      <c r="DQ51" s="31" t="str">
        <f aca="false">IF($A51="","",IFERROR(IF(INDEX(drops!$W$2:$W$21,MATCH($B51,drops!$A$2:$A$21,0))="","",INDEX(drops!$W$2:$W$21,MATCH($B51,drops!$A$2:$A$21,0))),""))</f>
        <v/>
      </c>
      <c r="DR51" s="30" t="str">
        <f aca="false">IF($A51="","",IF($CE51="","",IF($CE51&gt;=config!$B$31,"pass","miss")))</f>
        <v/>
      </c>
      <c r="DS51" s="30" t="str">
        <f aca="false">IF($A51="","",IF($CI51="","",IF($CI51&gt;=config!$B$30,"pass","miss")))</f>
        <v/>
      </c>
      <c r="DT51" s="30" t="str">
        <f aca="true">IF($A51="","",IF($AT51="",IF($DO51="","",IF(IF(config!$B$37&lt;&gt;"",config!$B$37,TODAY())&gt;$DO51,"late","due")),IF($AT51&lt;=$DO51,"pass","late")))</f>
        <v/>
      </c>
      <c r="DU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","")&amp;IF($BZ51&lt;0,"reserve below zero: check inventory;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","")&amp;IF(AND($DA51="",$DQ51&lt;&gt;"",IF(config!$B$37&lt;&gt;"",config!$B$37,TODAY())&gt;$DQ51),"day-30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","")&amp;IF($DT51="late","report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U2:DU51">
    <cfRule type="expression" priority="2" aboveAverage="0" equalAverage="0" bottom="0" percent="0" rank="0" text="" dxfId="1">
      <formula>LEN(DU2)&gt;0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347</v>
      </c>
      <c r="B1" s="28" t="s">
        <v>514</v>
      </c>
      <c r="C1" s="28" t="s">
        <v>515</v>
      </c>
      <c r="D1" s="28" t="s">
        <v>516</v>
      </c>
      <c r="E1" s="28" t="s">
        <v>517</v>
      </c>
      <c r="F1" s="28" t="s">
        <v>518</v>
      </c>
      <c r="G1" s="28" t="s">
        <v>519</v>
      </c>
      <c r="H1" s="28" t="s">
        <v>520</v>
      </c>
      <c r="I1" s="28" t="s">
        <v>77</v>
      </c>
      <c r="J1" s="28" t="s">
        <v>302</v>
      </c>
      <c r="K1" s="29" t="s">
        <v>399</v>
      </c>
      <c r="L1" s="29" t="s">
        <v>521</v>
      </c>
      <c r="M1" s="29" t="s">
        <v>400</v>
      </c>
      <c r="N1" s="29" t="s">
        <v>353</v>
      </c>
      <c r="O1" s="29" t="s">
        <v>522</v>
      </c>
      <c r="P1" s="29" t="s">
        <v>523</v>
      </c>
      <c r="Q1" s="29" t="s">
        <v>524</v>
      </c>
      <c r="R1" s="29" t="s">
        <v>525</v>
      </c>
      <c r="S1" s="29" t="s">
        <v>526</v>
      </c>
      <c r="T1" s="29" t="s">
        <v>527</v>
      </c>
      <c r="U1" s="29" t="s">
        <v>528</v>
      </c>
      <c r="V1" s="29" t="s">
        <v>529</v>
      </c>
      <c r="W1" s="29" t="s">
        <v>530</v>
      </c>
      <c r="X1" s="29" t="s">
        <v>531</v>
      </c>
      <c r="Y1" s="29" t="s">
        <v>532</v>
      </c>
      <c r="Z1" s="29" t="s">
        <v>533</v>
      </c>
      <c r="AA1" s="29" t="s">
        <v>534</v>
      </c>
      <c r="AB1" s="29" t="s">
        <v>535</v>
      </c>
      <c r="AC1" s="29" t="s">
        <v>536</v>
      </c>
      <c r="AD1" s="29" t="s">
        <v>537</v>
      </c>
      <c r="AE1" s="29" t="s">
        <v>538</v>
      </c>
      <c r="AF1" s="29" t="s">
        <v>539</v>
      </c>
      <c r="AG1" s="29" t="s">
        <v>540</v>
      </c>
      <c r="AH1" s="29" t="s">
        <v>320</v>
      </c>
      <c r="AI1" s="29" t="s">
        <v>541</v>
      </c>
      <c r="AJ1" s="29" t="s">
        <v>542</v>
      </c>
    </row>
    <row r="2" customFormat="false" ht="15" hidden="false" customHeight="false" outlineLevel="0" collapsed="false">
      <c r="A2" s="0" t="s">
        <v>460</v>
      </c>
      <c r="B2" s="35" t="s">
        <v>543</v>
      </c>
      <c r="C2" s="10" t="s">
        <v>544</v>
      </c>
      <c r="D2" s="10" t="s">
        <v>545</v>
      </c>
      <c r="E2" s="10" t="s">
        <v>546</v>
      </c>
      <c r="F2" s="10" t="s">
        <v>547</v>
      </c>
      <c r="G2" s="10" t="s">
        <v>473</v>
      </c>
      <c r="H2" s="11" t="n">
        <v>46568</v>
      </c>
      <c r="I2" s="10" t="s">
        <v>548</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479</v>
      </c>
      <c r="B3" s="35" t="s">
        <v>549</v>
      </c>
      <c r="C3" s="10" t="s">
        <v>550</v>
      </c>
      <c r="D3" s="10" t="s">
        <v>545</v>
      </c>
      <c r="E3" s="10" t="s">
        <v>551</v>
      </c>
      <c r="F3" s="10" t="s">
        <v>547</v>
      </c>
      <c r="G3" s="10" t="s">
        <v>473</v>
      </c>
      <c r="H3" s="11" t="n">
        <v>46843</v>
      </c>
      <c r="I3" s="10" t="s">
        <v>548</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491</v>
      </c>
      <c r="B4" s="35" t="s">
        <v>552</v>
      </c>
      <c r="C4" s="10" t="s">
        <v>553</v>
      </c>
      <c r="D4" s="10" t="s">
        <v>545</v>
      </c>
      <c r="E4" s="10" t="s">
        <v>554</v>
      </c>
      <c r="F4" s="10" t="s">
        <v>547</v>
      </c>
      <c r="G4" s="10" t="s">
        <v>473</v>
      </c>
      <c r="H4" s="11" t="n">
        <v>46843</v>
      </c>
      <c r="I4" s="10" t="s">
        <v>548</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499</v>
      </c>
      <c r="B5" s="35" t="s">
        <v>555</v>
      </c>
      <c r="C5" s="10" t="s">
        <v>556</v>
      </c>
      <c r="D5" s="10" t="s">
        <v>545</v>
      </c>
      <c r="E5" s="10" t="s">
        <v>557</v>
      </c>
      <c r="F5" s="10" t="s">
        <v>547</v>
      </c>
      <c r="G5" s="10" t="s">
        <v>473</v>
      </c>
      <c r="H5" s="11" t="n">
        <v>46843</v>
      </c>
      <c r="I5" s="10" t="s">
        <v>548</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508</v>
      </c>
      <c r="B6" s="35" t="s">
        <v>558</v>
      </c>
      <c r="C6" s="10" t="s">
        <v>559</v>
      </c>
      <c r="D6" s="10" t="s">
        <v>545</v>
      </c>
      <c r="E6" s="10" t="s">
        <v>560</v>
      </c>
      <c r="F6" s="10" t="s">
        <v>547</v>
      </c>
      <c r="G6" s="10" t="s">
        <v>473</v>
      </c>
      <c r="H6" s="11" t="n">
        <v>46843</v>
      </c>
      <c r="I6" s="10" t="s">
        <v>548</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20"/>
    <col collapsed="false" customWidth="true" hidden="false" outlineLevel="0" max="15" min="15" style="0" width="24"/>
    <col collapsed="false" customWidth="true" hidden="false" outlineLevel="0" max="16" min="16" style="0" width="14"/>
    <col collapsed="false" customWidth="true" hidden="false" outlineLevel="0" max="17" min="17" style="0" width="9"/>
    <col collapsed="false" customWidth="true" hidden="false" outlineLevel="0" max="19" min="18" style="0" width="14"/>
    <col collapsed="false" customWidth="true" hidden="false" outlineLevel="0" max="20" min="20" style="0" width="20"/>
    <col collapsed="false" customWidth="true" hidden="false" outlineLevel="0" max="22" min="21" style="0" width="14"/>
    <col collapsed="false" customWidth="true" hidden="false" outlineLevel="0" max="23" min="23" style="0" width="7"/>
    <col collapsed="false" customWidth="true" hidden="false" outlineLevel="0" max="25" min="24" style="0" width="14"/>
    <col collapsed="false" customWidth="true" hidden="false" outlineLevel="0" max="26" min="26" style="0" width="7"/>
    <col collapsed="false" customWidth="true" hidden="false" outlineLevel="0" max="27" min="27" style="0" width="8"/>
    <col collapsed="false" customWidth="true" hidden="false" outlineLevel="0" max="28" min="28" style="0" width="24"/>
    <col collapsed="false" customWidth="true" hidden="false" outlineLevel="0" max="29" min="29" style="0" width="20"/>
    <col collapsed="false" customWidth="true" hidden="false" outlineLevel="0" max="30" min="30" style="0" width="14"/>
    <col collapsed="false" customWidth="true" hidden="false" outlineLevel="0" max="32" min="31" style="0" width="7"/>
    <col collapsed="false" customWidth="true" hidden="false" outlineLevel="0" max="35" min="33" style="0" width="14"/>
    <col collapsed="false" customWidth="true" hidden="false" outlineLevel="0" max="36" min="36" style="0" width="9"/>
    <col collapsed="false" customWidth="true" hidden="false" outlineLevel="0" max="37" min="37" style="0" width="22"/>
    <col collapsed="false" customWidth="true" hidden="false" outlineLevel="0" max="40" min="38" style="0" width="8"/>
  </cols>
  <sheetData>
    <row r="1" customFormat="false" ht="15" hidden="false" customHeight="false" outlineLevel="0" collapsed="false">
      <c r="A1" s="28" t="s">
        <v>561</v>
      </c>
      <c r="B1" s="28" t="s">
        <v>562</v>
      </c>
      <c r="C1" s="28" t="s">
        <v>563</v>
      </c>
      <c r="D1" s="28" t="s">
        <v>564</v>
      </c>
      <c r="E1" s="28" t="s">
        <v>565</v>
      </c>
      <c r="F1" s="28" t="s">
        <v>566</v>
      </c>
      <c r="G1" s="28" t="s">
        <v>567</v>
      </c>
      <c r="H1" s="28" t="s">
        <v>568</v>
      </c>
      <c r="I1" s="28" t="s">
        <v>569</v>
      </c>
      <c r="J1" s="28" t="s">
        <v>570</v>
      </c>
      <c r="K1" s="28" t="s">
        <v>77</v>
      </c>
      <c r="L1" s="28" t="s">
        <v>571</v>
      </c>
      <c r="M1" s="28" t="s">
        <v>302</v>
      </c>
      <c r="N1" s="29" t="s">
        <v>136</v>
      </c>
      <c r="O1" s="29" t="s">
        <v>572</v>
      </c>
      <c r="P1" s="29" t="s">
        <v>573</v>
      </c>
      <c r="Q1" s="29" t="s">
        <v>574</v>
      </c>
      <c r="R1" s="29" t="s">
        <v>523</v>
      </c>
      <c r="S1" s="29" t="s">
        <v>526</v>
      </c>
      <c r="T1" s="29" t="s">
        <v>525</v>
      </c>
      <c r="U1" s="29" t="s">
        <v>575</v>
      </c>
      <c r="V1" s="29" t="s">
        <v>576</v>
      </c>
      <c r="W1" s="29" t="s">
        <v>577</v>
      </c>
      <c r="X1" s="29" t="s">
        <v>578</v>
      </c>
      <c r="Y1" s="29" t="s">
        <v>579</v>
      </c>
      <c r="Z1" s="29" t="s">
        <v>580</v>
      </c>
      <c r="AA1" s="29" t="s">
        <v>581</v>
      </c>
      <c r="AB1" s="29" t="s">
        <v>582</v>
      </c>
      <c r="AC1" s="29" t="s">
        <v>583</v>
      </c>
      <c r="AD1" s="29" t="s">
        <v>351</v>
      </c>
      <c r="AE1" s="29" t="s">
        <v>584</v>
      </c>
      <c r="AF1" s="29" t="s">
        <v>585</v>
      </c>
      <c r="AG1" s="29" t="s">
        <v>586</v>
      </c>
      <c r="AH1" s="29" t="s">
        <v>587</v>
      </c>
      <c r="AI1" s="29" t="s">
        <v>588</v>
      </c>
      <c r="AJ1" s="29" t="s">
        <v>589</v>
      </c>
      <c r="AK1" s="29" t="s">
        <v>590</v>
      </c>
      <c r="AL1" s="29" t="s">
        <v>591</v>
      </c>
      <c r="AM1" s="29" t="s">
        <v>592</v>
      </c>
      <c r="AN1" s="29" t="s">
        <v>593</v>
      </c>
    </row>
    <row r="2" customFormat="false" ht="15" hidden="false" customHeight="false" outlineLevel="0" collapsed="false">
      <c r="A2" s="0" t="s">
        <v>594</v>
      </c>
      <c r="C2" s="36" t="n">
        <v>40.7398</v>
      </c>
      <c r="D2" s="36" t="n">
        <v>-73.9893</v>
      </c>
      <c r="G2" s="10" t="s">
        <v>487</v>
      </c>
      <c r="H2" s="10" t="s">
        <v>595</v>
      </c>
      <c r="I2" s="10" t="s">
        <v>596</v>
      </c>
      <c r="J2" s="11"/>
      <c r="K2" s="10" t="s">
        <v>548</v>
      </c>
      <c r="L2" s="11"/>
      <c r="N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O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P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Q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R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S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T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U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V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W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X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Y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Z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A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B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C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D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E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F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G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H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I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W2="Y",$S2,""))))</f>
        <v>SAMPLE (212) 555-0101</v>
      </c>
      <c r="AJ2" s="30" t="str">
        <f aca="false">IF($A2="","",IF($Q2="","unknown",IF($Q2&lt;40,"under-40",IF($Q2&lt;=75,"40-75",IF($Q2&lt;=150,"76-150",IF($Q2&lt;=250,"151-250",IF($Q2&lt;=500,"251-500","over-500")))))))</f>
        <v>40-75</v>
      </c>
      <c r="AK2" s="30" t="str">
        <f aca="false">IF($A2="","",IF($N2="","not on in_signed_offices: paste the outreach file",IF($Q2="","no Tuesday headcount",IF($Q2&lt;30,"below the hard floor of 30",IF($Q2&lt;40,"30 to 39: founder's call",IF($Q2&gt;250,"over 250: outside the plan","OK"))))))</f>
        <v>OK</v>
      </c>
      <c r="AL2" s="30" t="n">
        <f aca="false">IF(OR($A2="",$Q2=""),"",MIN(config!$B$16,MAX(config!$B$15,MROUND(config!$B$13+config!$B$14*$Q2,config!$B$17))))</f>
        <v>40</v>
      </c>
      <c r="AM2" s="30" t="n">
        <f aca="true">IF($A2="","",COUNTIFS(stops!$B$2:$B$151,$A2,stops!$P$2:$P$151,"&lt;="&amp;IF(config!$B$37&lt;&gt;"",config!$B$37,TODAY())))</f>
        <v>1</v>
      </c>
      <c r="AN2" s="30" t="n">
        <f aca="false">IF($A2="","",COUNTIFS(stops!$B$2:$B$151,$A2,stops!$L$2:$L$151,"declined"))</f>
        <v>0</v>
      </c>
    </row>
    <row r="3" customFormat="false" ht="15" hidden="false" customHeight="false" outlineLevel="0" collapsed="false">
      <c r="A3" s="0" t="s">
        <v>597</v>
      </c>
      <c r="C3" s="36" t="n">
        <v>40.7411</v>
      </c>
      <c r="D3" s="36" t="n">
        <v>-73.9874</v>
      </c>
      <c r="G3" s="10" t="s">
        <v>473</v>
      </c>
      <c r="H3" s="10" t="s">
        <v>598</v>
      </c>
      <c r="I3" s="10" t="s">
        <v>596</v>
      </c>
      <c r="J3" s="11"/>
      <c r="K3" s="10" t="s">
        <v>548</v>
      </c>
      <c r="L3" s="11"/>
      <c r="N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O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P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Q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R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S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T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U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V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W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X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Y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Z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A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B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C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D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E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F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G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H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I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W3="Y",$S3,""))))</f>
        <v>SAMPLE (212) 555-0102</v>
      </c>
      <c r="AJ3" s="30" t="str">
        <f aca="false">IF($A3="","",IF($Q3="","unknown",IF($Q3&lt;40,"under-40",IF($Q3&lt;=75,"40-75",IF($Q3&lt;=150,"76-150",IF($Q3&lt;=250,"151-250",IF($Q3&lt;=500,"251-500","over-500")))))))</f>
        <v>40-75</v>
      </c>
      <c r="AK3" s="30" t="str">
        <f aca="false">IF($A3="","",IF($N3="","not on in_signed_offices: paste the outreach file",IF($Q3="","no Tuesday headcount",IF($Q3&lt;30,"below the hard floor of 30",IF($Q3&lt;40,"30 to 39: founder's call",IF($Q3&gt;250,"over 250: outside the plan","OK"))))))</f>
        <v>OK</v>
      </c>
      <c r="AL3" s="30" t="n">
        <f aca="false">IF(OR($A3="",$Q3=""),"",MIN(config!$B$16,MAX(config!$B$15,MROUND(config!$B$13+config!$B$14*$Q3,config!$B$17))))</f>
        <v>40</v>
      </c>
      <c r="AM3" s="30" t="n">
        <f aca="true">IF($A3="","",COUNTIFS(stops!$B$2:$B$151,$A3,stops!$P$2:$P$151,"&lt;="&amp;IF(config!$B$37&lt;&gt;"",config!$B$37,TODAY())))</f>
        <v>1</v>
      </c>
      <c r="AN3" s="30" t="n">
        <f aca="false">IF($A3="","",COUNTIFS(stops!$B$2:$B$151,$A3,stops!$L$2:$L$151,"declined"))</f>
        <v>0</v>
      </c>
    </row>
    <row r="4" customFormat="false" ht="15" hidden="false" customHeight="false" outlineLevel="0" collapsed="false">
      <c r="A4" s="0" t="s">
        <v>599</v>
      </c>
      <c r="C4" s="36" t="n">
        <v>40.7389</v>
      </c>
      <c r="D4" s="36" t="n">
        <v>-73.9917</v>
      </c>
      <c r="G4" s="10" t="s">
        <v>487</v>
      </c>
      <c r="H4" s="10" t="s">
        <v>600</v>
      </c>
      <c r="I4" s="10" t="s">
        <v>601</v>
      </c>
      <c r="J4" s="11" t="n">
        <v>46379</v>
      </c>
      <c r="K4" s="10" t="s">
        <v>548</v>
      </c>
      <c r="L4" s="11"/>
      <c r="N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O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P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Q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R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S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T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U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V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W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X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Y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Z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A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B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C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D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E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F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G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H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I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W4="Y",$S4,""))))</f>
        <v>SAMPLE (212) 555-0103</v>
      </c>
      <c r="AJ4" s="30" t="str">
        <f aca="false">IF($A4="","",IF($Q4="","unknown",IF($Q4&lt;40,"under-40",IF($Q4&lt;=75,"40-75",IF($Q4&lt;=150,"76-150",IF($Q4&lt;=250,"151-250",IF($Q4&lt;=500,"251-500","over-500")))))))</f>
        <v>76-150</v>
      </c>
      <c r="AK4" s="30" t="str">
        <f aca="false">IF($A4="","",IF($N4="","not on in_signed_offices: paste the outreach file",IF($Q4="","no Tuesday headcount",IF($Q4&lt;30,"below the hard floor of 30",IF($Q4&lt;40,"30 to 39: founder's call",IF($Q4&gt;250,"over 250: outside the plan","OK"))))))</f>
        <v>OK</v>
      </c>
      <c r="AL4" s="30" t="n">
        <f aca="false">IF(OR($A4="",$Q4=""),"",MIN(config!$B$16,MAX(config!$B$15,MROUND(config!$B$13+config!$B$14*$Q4,config!$B$17))))</f>
        <v>50</v>
      </c>
      <c r="AM4" s="30" t="n">
        <f aca="true">IF($A4="","",COUNTIFS(stops!$B$2:$B$151,$A4,stops!$P$2:$P$151,"&lt;="&amp;IF(config!$B$37&lt;&gt;"",config!$B$37,TODAY())))</f>
        <v>1</v>
      </c>
      <c r="AN4" s="30" t="n">
        <f aca="false">IF($A4="","",COUNTIFS(stops!$B$2:$B$151,$A4,stops!$L$2:$L$151,"declined"))</f>
        <v>0</v>
      </c>
    </row>
    <row r="5" customFormat="false" ht="15" hidden="false" customHeight="false" outlineLevel="0" collapsed="false">
      <c r="A5" s="0" t="s">
        <v>602</v>
      </c>
      <c r="C5" s="36" t="n">
        <v>40.7376</v>
      </c>
      <c r="D5" s="36" t="n">
        <v>-73.9879</v>
      </c>
      <c r="G5" s="10" t="s">
        <v>473</v>
      </c>
      <c r="H5" s="10" t="s">
        <v>603</v>
      </c>
      <c r="I5" s="10" t="s">
        <v>596</v>
      </c>
      <c r="J5" s="11"/>
      <c r="K5" s="10" t="s">
        <v>548</v>
      </c>
      <c r="L5" s="11"/>
      <c r="N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O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P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Q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R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S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T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U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V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W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X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Y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Z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A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B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C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D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E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F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G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H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I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W5="Y",$S5,""))))</f>
        <v>SAMPLE (212) 555-0104</v>
      </c>
      <c r="AJ5" s="30" t="str">
        <f aca="false">IF($A5="","",IF($Q5="","unknown",IF($Q5&lt;40,"under-40",IF($Q5&lt;=75,"40-75",IF($Q5&lt;=150,"76-150",IF($Q5&lt;=250,"151-250",IF($Q5&lt;=500,"251-500","over-500")))))))</f>
        <v>76-150</v>
      </c>
      <c r="AK5" s="30" t="str">
        <f aca="false">IF($A5="","",IF($N5="","not on in_signed_offices: paste the outreach file",IF($Q5="","no Tuesday headcount",IF($Q5&lt;30,"below the hard floor of 30",IF($Q5&lt;40,"30 to 39: founder's call",IF($Q5&gt;250,"over 250: outside the plan","OK"))))))</f>
        <v>OK</v>
      </c>
      <c r="AL5" s="30" t="n">
        <f aca="false">IF(OR($A5="",$Q5=""),"",MIN(config!$B$16,MAX(config!$B$15,MROUND(config!$B$13+config!$B$14*$Q5,config!$B$17))))</f>
        <v>50</v>
      </c>
      <c r="AM5" s="30" t="n">
        <f aca="true">IF($A5="","",COUNTIFS(stops!$B$2:$B$151,$A5,stops!$P$2:$P$151,"&lt;="&amp;IF(config!$B$37&lt;&gt;"",config!$B$37,TODAY())))</f>
        <v>1</v>
      </c>
      <c r="AN5" s="30" t="n">
        <f aca="false">IF($A5="","",COUNTIFS(stops!$B$2:$B$151,$A5,stops!$L$2:$L$151,"declined"))</f>
        <v>0</v>
      </c>
    </row>
    <row r="6" customFormat="false" ht="15" hidden="false" customHeight="false" outlineLevel="0" collapsed="false">
      <c r="A6" s="0" t="s">
        <v>604</v>
      </c>
      <c r="C6" s="36" t="n">
        <v>40.7425</v>
      </c>
      <c r="D6" s="36" t="n">
        <v>-73.9901</v>
      </c>
      <c r="G6" s="10" t="s">
        <v>473</v>
      </c>
      <c r="H6" s="10" t="s">
        <v>605</v>
      </c>
      <c r="I6" s="10" t="s">
        <v>601</v>
      </c>
      <c r="J6" s="11" t="n">
        <v>46379</v>
      </c>
      <c r="K6" s="10" t="s">
        <v>548</v>
      </c>
      <c r="L6" s="11"/>
      <c r="N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O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P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Q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R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S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T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U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V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W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X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Y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Z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A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B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C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D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E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F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G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H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I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W6="Y",$S6,""))))</f>
        <v>SAMPLE (212) 555-0105</v>
      </c>
      <c r="AJ6" s="30" t="str">
        <f aca="false">IF($A6="","",IF($Q6="","unknown",IF($Q6&lt;40,"under-40",IF($Q6&lt;=75,"40-75",IF($Q6&lt;=150,"76-150",IF($Q6&lt;=250,"151-250",IF($Q6&lt;=500,"251-500","over-500")))))))</f>
        <v>151-250</v>
      </c>
      <c r="AK6" s="30" t="str">
        <f aca="false">IF($A6="","",IF($N6="","not on in_signed_offices: paste the outreach file",IF($Q6="","no Tuesday headcount",IF($Q6&lt;30,"below the hard floor of 30",IF($Q6&lt;40,"30 to 39: founder's call",IF($Q6&gt;250,"over 250: outside the plan","OK"))))))</f>
        <v>OK</v>
      </c>
      <c r="AL6" s="30" t="n">
        <f aca="false">IF(OR($A6="",$Q6=""),"",MIN(config!$B$16,MAX(config!$B$15,MROUND(config!$B$13+config!$B$14*$Q6,config!$B$17))))</f>
        <v>70</v>
      </c>
      <c r="AM6" s="30" t="n">
        <f aca="true">IF($A6="","",COUNTIFS(stops!$B$2:$B$151,$A6,stops!$P$2:$P$151,"&lt;="&amp;IF(config!$B$37&lt;&gt;"",config!$B$37,TODAY())))</f>
        <v>1</v>
      </c>
      <c r="AN6" s="30" t="n">
        <f aca="false">IF($A6="","",COUNTIFS(stops!$B$2:$B$151,$A6,stops!$L$2:$L$151,"declined"))</f>
        <v>0</v>
      </c>
    </row>
    <row r="7" customFormat="false" ht="15" hidden="false" customHeight="false" outlineLevel="0" collapsed="false">
      <c r="A7" s="0" t="s">
        <v>606</v>
      </c>
      <c r="C7" s="36" t="n">
        <v>40.7433</v>
      </c>
      <c r="D7" s="36" t="n">
        <v>-73.9878</v>
      </c>
      <c r="G7" s="10" t="s">
        <v>487</v>
      </c>
      <c r="H7" s="10" t="s">
        <v>607</v>
      </c>
      <c r="I7" s="10" t="s">
        <v>596</v>
      </c>
      <c r="J7" s="11"/>
      <c r="K7" s="10" t="s">
        <v>548</v>
      </c>
      <c r="L7" s="11"/>
      <c r="N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O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P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Q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R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S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T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U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V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W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X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Y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Z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A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B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C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D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E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F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G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H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I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W7="Y",$S7,""))))</f>
        <v>SAMPLE (212) 555-0106</v>
      </c>
      <c r="AJ7" s="30" t="str">
        <f aca="false">IF($A7="","",IF($Q7="","unknown",IF($Q7&lt;40,"under-40",IF($Q7&lt;=75,"40-75",IF($Q7&lt;=150,"76-150",IF($Q7&lt;=250,"151-250",IF($Q7&lt;=500,"251-500","over-500")))))))</f>
        <v>40-75</v>
      </c>
      <c r="AK7" s="30" t="str">
        <f aca="false">IF($A7="","",IF($N7="","not on in_signed_offices: paste the outreach file",IF($Q7="","no Tuesday headcount",IF($Q7&lt;30,"below the hard floor of 30",IF($Q7&lt;40,"30 to 39: founder's call",IF($Q7&gt;250,"over 250: outside the plan","OK"))))))</f>
        <v>OK</v>
      </c>
      <c r="AL7" s="30" t="n">
        <f aca="false">IF(OR($A7="",$Q7=""),"",MIN(config!$B$16,MAX(config!$B$15,MROUND(config!$B$13+config!$B$14*$Q7,config!$B$17))))</f>
        <v>45</v>
      </c>
      <c r="AM7" s="30" t="n">
        <f aca="true">IF($A7="","",COUNTIFS(stops!$B$2:$B$151,$A7,stops!$P$2:$P$151,"&lt;="&amp;IF(config!$B$37&lt;&gt;"",config!$B$37,TODAY())))</f>
        <v>0</v>
      </c>
      <c r="AN7" s="30" t="n">
        <f aca="false">IF($A7="","",COUNTIFS(stops!$B$2:$B$151,$A7,stops!$L$2:$L$151,"declined"))</f>
        <v>0</v>
      </c>
    </row>
    <row r="8" customFormat="false" ht="15" hidden="false" customHeight="false" outlineLevel="0" collapsed="false">
      <c r="A8" s="0" t="s">
        <v>608</v>
      </c>
      <c r="C8" s="36" t="n">
        <v>40.7402</v>
      </c>
      <c r="D8" s="36" t="n">
        <v>-73.9851</v>
      </c>
      <c r="G8" s="10" t="s">
        <v>473</v>
      </c>
      <c r="H8" s="10" t="s">
        <v>609</v>
      </c>
      <c r="I8" s="10" t="s">
        <v>596</v>
      </c>
      <c r="J8" s="11"/>
      <c r="K8" s="10" t="s">
        <v>548</v>
      </c>
      <c r="L8" s="11"/>
      <c r="N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O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P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Q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R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S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T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U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V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W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X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Y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Z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A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B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C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D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E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F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G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H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I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W8="Y",$S8,""))))</f>
        <v>SAMPLE (212) 555-0107</v>
      </c>
      <c r="AJ8" s="30" t="str">
        <f aca="false">IF($A8="","",IF($Q8="","unknown",IF($Q8&lt;40,"under-40",IF($Q8&lt;=75,"40-75",IF($Q8&lt;=150,"76-150",IF($Q8&lt;=250,"151-250",IF($Q8&lt;=500,"251-500","over-500")))))))</f>
        <v>76-150</v>
      </c>
      <c r="AK8" s="30" t="str">
        <f aca="false">IF($A8="","",IF($N8="","not on in_signed_offices: paste the outreach file",IF($Q8="","no Tuesday headcount",IF($Q8&lt;30,"below the hard floor of 30",IF($Q8&lt;40,"30 to 39: founder's call",IF($Q8&gt;250,"over 250: outside the plan","OK"))))))</f>
        <v>OK</v>
      </c>
      <c r="AL8" s="30" t="n">
        <f aca="false">IF(OR($A8="",$Q8=""),"",MIN(config!$B$16,MAX(config!$B$15,MROUND(config!$B$13+config!$B$14*$Q8,config!$B$17))))</f>
        <v>60</v>
      </c>
      <c r="AM8" s="30" t="n">
        <f aca="true">IF($A8="","",COUNTIFS(stops!$B$2:$B$151,$A8,stops!$P$2:$P$151,"&lt;="&amp;IF(config!$B$37&lt;&gt;"",config!$B$37,TODAY())))</f>
        <v>0</v>
      </c>
      <c r="AN8" s="30" t="n">
        <f aca="false">IF($A8="","",COUNTIFS(stops!$B$2:$B$151,$A8,stops!$L$2:$L$151,"declined"))</f>
        <v>0</v>
      </c>
    </row>
    <row r="9" customFormat="false" ht="15" hidden="false" customHeight="false" outlineLevel="0" collapsed="false">
      <c r="A9" s="0" t="s">
        <v>610</v>
      </c>
      <c r="C9" s="36" t="n">
        <v>40.7417</v>
      </c>
      <c r="D9" s="36" t="n">
        <v>-73.9925</v>
      </c>
      <c r="G9" s="10" t="s">
        <v>473</v>
      </c>
      <c r="H9" s="10" t="s">
        <v>611</v>
      </c>
      <c r="I9" s="10" t="s">
        <v>601</v>
      </c>
      <c r="J9" s="11" t="n">
        <v>46416</v>
      </c>
      <c r="K9" s="10" t="s">
        <v>548</v>
      </c>
      <c r="L9" s="11"/>
      <c r="N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O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P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Q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R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S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T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U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V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W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X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Y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Z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A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B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C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D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E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F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G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H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I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W9="Y",$S9,""))))</f>
        <v>SAMPLE (212) 555-0108</v>
      </c>
      <c r="AJ9" s="30" t="str">
        <f aca="false">IF($A9="","",IF($Q9="","unknown",IF($Q9&lt;40,"under-40",IF($Q9&lt;=75,"40-75",IF($Q9&lt;=150,"76-150",IF($Q9&lt;=250,"151-250",IF($Q9&lt;=500,"251-500","over-500")))))))</f>
        <v>76-150</v>
      </c>
      <c r="AK9" s="30" t="str">
        <f aca="false">IF($A9="","",IF($N9="","not on in_signed_offices: paste the outreach file",IF($Q9="","no Tuesday headcount",IF($Q9&lt;30,"below the hard floor of 30",IF($Q9&lt;40,"30 to 39: founder's call",IF($Q9&gt;250,"over 250: outside the plan","OK"))))))</f>
        <v>OK</v>
      </c>
      <c r="AL9" s="30" t="n">
        <f aca="false">IF(OR($A9="",$Q9=""),"",MIN(config!$B$16,MAX(config!$B$15,MROUND(config!$B$13+config!$B$14*$Q9,config!$B$17))))</f>
        <v>45</v>
      </c>
      <c r="AM9" s="30" t="n">
        <f aca="true">IF($A9="","",COUNTIFS(stops!$B$2:$B$151,$A9,stops!$P$2:$P$151,"&lt;="&amp;IF(config!$B$37&lt;&gt;"",config!$B$37,TODAY())))</f>
        <v>0</v>
      </c>
      <c r="AN9" s="30" t="n">
        <f aca="false">IF($A9="","",COUNTIFS(stops!$B$2:$B$151,$A9,stops!$L$2:$L$151,"declined"))</f>
        <v>0</v>
      </c>
    </row>
    <row r="10" customFormat="false" ht="15" hidden="false" customHeight="false" outlineLevel="0" collapsed="false">
      <c r="A10" s="0" t="s">
        <v>612</v>
      </c>
      <c r="C10" s="36" t="n">
        <v>40.7381</v>
      </c>
      <c r="D10" s="36" t="n">
        <v>-73.9937</v>
      </c>
      <c r="G10" s="10" t="s">
        <v>487</v>
      </c>
      <c r="H10" s="10" t="s">
        <v>613</v>
      </c>
      <c r="I10" s="10" t="s">
        <v>596</v>
      </c>
      <c r="J10" s="11"/>
      <c r="K10" s="10" t="s">
        <v>548</v>
      </c>
      <c r="L10" s="11"/>
      <c r="N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O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P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Q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R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S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T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U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V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W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X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Y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Z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A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B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C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D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E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F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G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H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I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W10="Y",$S10,""))))</f>
        <v>SAMPLE (212) 555-0109</v>
      </c>
      <c r="AJ10" s="30" t="str">
        <f aca="false">IF($A10="","",IF($Q10="","unknown",IF($Q10&lt;40,"under-40",IF($Q10&lt;=75,"40-75",IF($Q10&lt;=150,"76-150",IF($Q10&lt;=250,"151-250",IF($Q10&lt;=500,"251-500","over-500")))))))</f>
        <v>151-250</v>
      </c>
      <c r="AK10" s="30" t="str">
        <f aca="false">IF($A10="","",IF($N10="","not on in_signed_offices: paste the outreach file",IF($Q10="","no Tuesday headcount",IF($Q10&lt;30,"below the hard floor of 30",IF($Q10&lt;40,"30 to 39: founder's call",IF($Q10&gt;250,"over 250: outside the plan","OK"))))))</f>
        <v>OK</v>
      </c>
      <c r="AL10" s="30" t="n">
        <f aca="false">IF(OR($A10="",$Q10=""),"",MIN(config!$B$16,MAX(config!$B$15,MROUND(config!$B$13+config!$B$14*$Q10,config!$B$17))))</f>
        <v>75</v>
      </c>
      <c r="AM10" s="30" t="n">
        <f aca="true">IF($A10="","",COUNTIFS(stops!$B$2:$B$151,$A10,stops!$P$2:$P$151,"&lt;="&amp;IF(config!$B$37&lt;&gt;"",config!$B$37,TODAY())))</f>
        <v>0</v>
      </c>
      <c r="AN10" s="30" t="n">
        <f aca="false">IF($A10="","",COUNTIFS(stops!$B$2:$B$151,$A10,stops!$L$2:$L$151,"declined"))</f>
        <v>0</v>
      </c>
    </row>
    <row r="11" customFormat="false" ht="15" hidden="false" customHeight="false" outlineLevel="0" collapsed="false">
      <c r="A11" s="0" t="s">
        <v>614</v>
      </c>
      <c r="C11" s="36" t="n">
        <v>40.7369</v>
      </c>
      <c r="D11" s="36" t="n">
        <v>-73.9906</v>
      </c>
      <c r="G11" s="10" t="s">
        <v>487</v>
      </c>
      <c r="H11" s="10" t="s">
        <v>615</v>
      </c>
      <c r="I11" s="10" t="s">
        <v>596</v>
      </c>
      <c r="J11" s="11"/>
      <c r="K11" s="10" t="s">
        <v>548</v>
      </c>
      <c r="L11" s="11"/>
      <c r="N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O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P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Q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R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S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T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U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V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W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X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Y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Z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A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B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C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D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E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F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G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H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I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W11="Y",$S11,""))))</f>
        <v>SAMPLE (212) 555-0110</v>
      </c>
      <c r="AJ11" s="30" t="str">
        <f aca="false">IF($A11="","",IF($Q11="","unknown",IF($Q11&lt;40,"under-40",IF($Q11&lt;=75,"40-75",IF($Q11&lt;=150,"76-150",IF($Q11&lt;=250,"151-250",IF($Q11&lt;=500,"251-500","over-500")))))))</f>
        <v>40-75</v>
      </c>
      <c r="AK11" s="30" t="str">
        <f aca="false">IF($A11="","",IF($N11="","not on in_signed_offices: paste the outreach file",IF($Q11="","no Tuesday headcount",IF($Q11&lt;30,"below the hard floor of 30",IF($Q11&lt;40,"30 to 39: founder's call",IF($Q11&gt;250,"over 250: outside the plan","OK"))))))</f>
        <v>OK</v>
      </c>
      <c r="AL11" s="30" t="n">
        <f aca="false">IF(OR($A11="",$Q11=""),"",MIN(config!$B$16,MAX(config!$B$15,MROUND(config!$B$13+config!$B$14*$Q11,config!$B$17))))</f>
        <v>40</v>
      </c>
      <c r="AM11" s="30" t="n">
        <f aca="true">IF($A11="","",COUNTIFS(stops!$B$2:$B$151,$A11,stops!$P$2:$P$151,"&lt;="&amp;IF(config!$B$37&lt;&gt;"",config!$B$37,TODAY())))</f>
        <v>0</v>
      </c>
      <c r="AN11" s="30" t="n">
        <f aca="false">IF($A11="","",COUNTIFS(stops!$B$2:$B$151,$A11,stops!$L$2:$L$151,"declined"))</f>
        <v>0</v>
      </c>
    </row>
    <row r="12" customFormat="false" ht="15" hidden="false" customHeight="false" outlineLevel="0" collapsed="false">
      <c r="C12" s="36"/>
      <c r="D12" s="36"/>
      <c r="G12" s="10"/>
      <c r="I12" s="10"/>
      <c r="J12" s="11"/>
      <c r="K12" s="10"/>
      <c r="L12" s="11"/>
      <c r="N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O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P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Q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R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S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T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U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V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W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X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Y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Z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A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B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C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D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E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F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G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H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I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W12="Y",$S12,""))))</f>
        <v/>
      </c>
      <c r="AJ12" s="30" t="str">
        <f aca="false">IF($A12="","",IF($Q12="","unknown",IF($Q12&lt;40,"under-40",IF($Q12&lt;=75,"40-75",IF($Q12&lt;=150,"76-150",IF($Q12&lt;=250,"151-250",IF($Q12&lt;=500,"251-500","over-500")))))))</f>
        <v/>
      </c>
      <c r="AK12" s="30" t="str">
        <f aca="false">IF($A12="","",IF($N12="","not on in_signed_offices: paste the outreach file",IF($Q12="","no Tuesday headcount",IF($Q12&lt;30,"below the hard floor of 30",IF($Q12&lt;40,"30 to 39: founder's call",IF($Q12&gt;250,"over 250: outside the plan","OK"))))))</f>
        <v/>
      </c>
      <c r="AL12" s="30" t="str">
        <f aca="false">IF(OR($A12="",$Q12=""),"",MIN(config!$B$16,MAX(config!$B$15,MROUND(config!$B$13+config!$B$14*$Q12,config!$B$17))))</f>
        <v/>
      </c>
      <c r="AM12" s="30" t="str">
        <f aca="true">IF($A12="","",COUNTIFS(stops!$B$2:$B$151,$A12,stops!$P$2:$P$151,"&lt;="&amp;IF(config!$B$37&lt;&gt;"",config!$B$37,TODAY())))</f>
        <v/>
      </c>
      <c r="AN12" s="30" t="str">
        <f aca="false">IF($A12="","",COUNTIFS(stops!$B$2:$B$151,$A12,stops!$L$2:$L$151,"declined"))</f>
        <v/>
      </c>
    </row>
    <row r="13" customFormat="false" ht="15" hidden="false" customHeight="false" outlineLevel="0" collapsed="false">
      <c r="C13" s="36"/>
      <c r="D13" s="36"/>
      <c r="G13" s="10"/>
      <c r="I13" s="10"/>
      <c r="J13" s="11"/>
      <c r="K13" s="10"/>
      <c r="L13" s="11"/>
      <c r="N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O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P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Q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R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S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T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U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V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W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X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Y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Z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A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B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C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D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E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F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G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H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I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W13="Y",$S13,""))))</f>
        <v/>
      </c>
      <c r="AJ13" s="30" t="str">
        <f aca="false">IF($A13="","",IF($Q13="","unknown",IF($Q13&lt;40,"under-40",IF($Q13&lt;=75,"40-75",IF($Q13&lt;=150,"76-150",IF($Q13&lt;=250,"151-250",IF($Q13&lt;=500,"251-500","over-500")))))))</f>
        <v/>
      </c>
      <c r="AK13" s="30" t="str">
        <f aca="false">IF($A13="","",IF($N13="","not on in_signed_offices: paste the outreach file",IF($Q13="","no Tuesday headcount",IF($Q13&lt;30,"below the hard floor of 30",IF($Q13&lt;40,"30 to 39: founder's call",IF($Q13&gt;250,"over 250: outside the plan","OK"))))))</f>
        <v/>
      </c>
      <c r="AL13" s="30" t="str">
        <f aca="false">IF(OR($A13="",$Q13=""),"",MIN(config!$B$16,MAX(config!$B$15,MROUND(config!$B$13+config!$B$14*$Q13,config!$B$17))))</f>
        <v/>
      </c>
      <c r="AM13" s="30" t="str">
        <f aca="true">IF($A13="","",COUNTIFS(stops!$B$2:$B$151,$A13,stops!$P$2:$P$151,"&lt;="&amp;IF(config!$B$37&lt;&gt;"",config!$B$37,TODAY())))</f>
        <v/>
      </c>
      <c r="AN13" s="30" t="str">
        <f aca="false">IF($A13="","",COUNTIFS(stops!$B$2:$B$151,$A13,stops!$L$2:$L$151,"declined"))</f>
        <v/>
      </c>
    </row>
    <row r="14" customFormat="false" ht="15" hidden="false" customHeight="false" outlineLevel="0" collapsed="false">
      <c r="C14" s="36"/>
      <c r="D14" s="36"/>
      <c r="G14" s="10"/>
      <c r="I14" s="10"/>
      <c r="J14" s="11"/>
      <c r="K14" s="10"/>
      <c r="L14" s="11"/>
      <c r="N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O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P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Q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R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S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T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U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V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W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X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Y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Z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A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B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C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D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E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F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G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H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I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W14="Y",$S14,""))))</f>
        <v/>
      </c>
      <c r="AJ14" s="30" t="str">
        <f aca="false">IF($A14="","",IF($Q14="","unknown",IF($Q14&lt;40,"under-40",IF($Q14&lt;=75,"40-75",IF($Q14&lt;=150,"76-150",IF($Q14&lt;=250,"151-250",IF($Q14&lt;=500,"251-500","over-500")))))))</f>
        <v/>
      </c>
      <c r="AK14" s="30" t="str">
        <f aca="false">IF($A14="","",IF($N14="","not on in_signed_offices: paste the outreach file",IF($Q14="","no Tuesday headcount",IF($Q14&lt;30,"below the hard floor of 30",IF($Q14&lt;40,"30 to 39: founder's call",IF($Q14&gt;250,"over 250: outside the plan","OK"))))))</f>
        <v/>
      </c>
      <c r="AL14" s="30" t="str">
        <f aca="false">IF(OR($A14="",$Q14=""),"",MIN(config!$B$16,MAX(config!$B$15,MROUND(config!$B$13+config!$B$14*$Q14,config!$B$17))))</f>
        <v/>
      </c>
      <c r="AM14" s="30" t="str">
        <f aca="true">IF($A14="","",COUNTIFS(stops!$B$2:$B$151,$A14,stops!$P$2:$P$151,"&lt;="&amp;IF(config!$B$37&lt;&gt;"",config!$B$37,TODAY())))</f>
        <v/>
      </c>
      <c r="AN14" s="30" t="str">
        <f aca="false">IF($A14="","",COUNTIFS(stops!$B$2:$B$151,$A14,stops!$L$2:$L$151,"declined"))</f>
        <v/>
      </c>
    </row>
    <row r="15" customFormat="false" ht="15" hidden="false" customHeight="false" outlineLevel="0" collapsed="false">
      <c r="C15" s="36"/>
      <c r="D15" s="36"/>
      <c r="G15" s="10"/>
      <c r="I15" s="10"/>
      <c r="J15" s="11"/>
      <c r="K15" s="10"/>
      <c r="L15" s="11"/>
      <c r="N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O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P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Q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R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S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T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U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V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W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X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Y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Z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A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B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C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D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E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F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G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H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I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W15="Y",$S15,""))))</f>
        <v/>
      </c>
      <c r="AJ15" s="30" t="str">
        <f aca="false">IF($A15="","",IF($Q15="","unknown",IF($Q15&lt;40,"under-40",IF($Q15&lt;=75,"40-75",IF($Q15&lt;=150,"76-150",IF($Q15&lt;=250,"151-250",IF($Q15&lt;=500,"251-500","over-500")))))))</f>
        <v/>
      </c>
      <c r="AK15" s="30" t="str">
        <f aca="false">IF($A15="","",IF($N15="","not on in_signed_offices: paste the outreach file",IF($Q15="","no Tuesday headcount",IF($Q15&lt;30,"below the hard floor of 30",IF($Q15&lt;40,"30 to 39: founder's call",IF($Q15&gt;250,"over 250: outside the plan","OK"))))))</f>
        <v/>
      </c>
      <c r="AL15" s="30" t="str">
        <f aca="false">IF(OR($A15="",$Q15=""),"",MIN(config!$B$16,MAX(config!$B$15,MROUND(config!$B$13+config!$B$14*$Q15,config!$B$17))))</f>
        <v/>
      </c>
      <c r="AM15" s="30" t="str">
        <f aca="true">IF($A15="","",COUNTIFS(stops!$B$2:$B$151,$A15,stops!$P$2:$P$151,"&lt;="&amp;IF(config!$B$37&lt;&gt;"",config!$B$37,TODAY())))</f>
        <v/>
      </c>
      <c r="AN15" s="30" t="str">
        <f aca="false">IF($A15="","",COUNTIFS(stops!$B$2:$B$151,$A15,stops!$L$2:$L$151,"declined"))</f>
        <v/>
      </c>
    </row>
    <row r="16" customFormat="false" ht="15" hidden="false" customHeight="false" outlineLevel="0" collapsed="false">
      <c r="C16" s="36"/>
      <c r="D16" s="36"/>
      <c r="G16" s="10"/>
      <c r="I16" s="10"/>
      <c r="J16" s="11"/>
      <c r="K16" s="10"/>
      <c r="L16" s="11"/>
      <c r="N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O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P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Q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R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S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T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U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V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W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X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Y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Z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A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B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C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D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E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F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G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H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I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W16="Y",$S16,""))))</f>
        <v/>
      </c>
      <c r="AJ16" s="30" t="str">
        <f aca="false">IF($A16="","",IF($Q16="","unknown",IF($Q16&lt;40,"under-40",IF($Q16&lt;=75,"40-75",IF($Q16&lt;=150,"76-150",IF($Q16&lt;=250,"151-250",IF($Q16&lt;=500,"251-500","over-500")))))))</f>
        <v/>
      </c>
      <c r="AK16" s="30" t="str">
        <f aca="false">IF($A16="","",IF($N16="","not on in_signed_offices: paste the outreach file",IF($Q16="","no Tuesday headcount",IF($Q16&lt;30,"below the hard floor of 30",IF($Q16&lt;40,"30 to 39: founder's call",IF($Q16&gt;250,"over 250: outside the plan","OK"))))))</f>
        <v/>
      </c>
      <c r="AL16" s="30" t="str">
        <f aca="false">IF(OR($A16="",$Q16=""),"",MIN(config!$B$16,MAX(config!$B$15,MROUND(config!$B$13+config!$B$14*$Q16,config!$B$17))))</f>
        <v/>
      </c>
      <c r="AM16" s="30" t="str">
        <f aca="true">IF($A16="","",COUNTIFS(stops!$B$2:$B$151,$A16,stops!$P$2:$P$151,"&lt;="&amp;IF(config!$B$37&lt;&gt;"",config!$B$37,TODAY())))</f>
        <v/>
      </c>
      <c r="AN16" s="30" t="str">
        <f aca="false">IF($A16="","",COUNTIFS(stops!$B$2:$B$151,$A16,stops!$L$2:$L$151,"declined"))</f>
        <v/>
      </c>
    </row>
    <row r="17" customFormat="false" ht="15" hidden="false" customHeight="false" outlineLevel="0" collapsed="false">
      <c r="C17" s="36"/>
      <c r="D17" s="36"/>
      <c r="G17" s="10"/>
      <c r="I17" s="10"/>
      <c r="J17" s="11"/>
      <c r="K17" s="10"/>
      <c r="L17" s="11"/>
      <c r="N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O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P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Q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R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S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T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U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V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W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X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Y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Z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A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B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C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D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E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F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G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H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I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W17="Y",$S17,""))))</f>
        <v/>
      </c>
      <c r="AJ17" s="30" t="str">
        <f aca="false">IF($A17="","",IF($Q17="","unknown",IF($Q17&lt;40,"under-40",IF($Q17&lt;=75,"40-75",IF($Q17&lt;=150,"76-150",IF($Q17&lt;=250,"151-250",IF($Q17&lt;=500,"251-500","over-500")))))))</f>
        <v/>
      </c>
      <c r="AK17" s="30" t="str">
        <f aca="false">IF($A17="","",IF($N17="","not on in_signed_offices: paste the outreach file",IF($Q17="","no Tuesday headcount",IF($Q17&lt;30,"below the hard floor of 30",IF($Q17&lt;40,"30 to 39: founder's call",IF($Q17&gt;250,"over 250: outside the plan","OK"))))))</f>
        <v/>
      </c>
      <c r="AL17" s="30" t="str">
        <f aca="false">IF(OR($A17="",$Q17=""),"",MIN(config!$B$16,MAX(config!$B$15,MROUND(config!$B$13+config!$B$14*$Q17,config!$B$17))))</f>
        <v/>
      </c>
      <c r="AM17" s="30" t="str">
        <f aca="true">IF($A17="","",COUNTIFS(stops!$B$2:$B$151,$A17,stops!$P$2:$P$151,"&lt;="&amp;IF(config!$B$37&lt;&gt;"",config!$B$37,TODAY())))</f>
        <v/>
      </c>
      <c r="AN17" s="30" t="str">
        <f aca="false">IF($A17="","",COUNTIFS(stops!$B$2:$B$151,$A17,stops!$L$2:$L$151,"declined"))</f>
        <v/>
      </c>
    </row>
    <row r="18" customFormat="false" ht="15" hidden="false" customHeight="false" outlineLevel="0" collapsed="false">
      <c r="C18" s="36"/>
      <c r="D18" s="36"/>
      <c r="G18" s="10"/>
      <c r="I18" s="10"/>
      <c r="J18" s="11"/>
      <c r="K18" s="10"/>
      <c r="L18" s="11"/>
      <c r="N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O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P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Q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R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S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T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U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V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W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X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Y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Z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A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B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C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D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E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F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G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H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I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W18="Y",$S18,""))))</f>
        <v/>
      </c>
      <c r="AJ18" s="30" t="str">
        <f aca="false">IF($A18="","",IF($Q18="","unknown",IF($Q18&lt;40,"under-40",IF($Q18&lt;=75,"40-75",IF($Q18&lt;=150,"76-150",IF($Q18&lt;=250,"151-250",IF($Q18&lt;=500,"251-500","over-500")))))))</f>
        <v/>
      </c>
      <c r="AK18" s="30" t="str">
        <f aca="false">IF($A18="","",IF($N18="","not on in_signed_offices: paste the outreach file",IF($Q18="","no Tuesday headcount",IF($Q18&lt;30,"below the hard floor of 30",IF($Q18&lt;40,"30 to 39: founder's call",IF($Q18&gt;250,"over 250: outside the plan","OK"))))))</f>
        <v/>
      </c>
      <c r="AL18" s="30" t="str">
        <f aca="false">IF(OR($A18="",$Q18=""),"",MIN(config!$B$16,MAX(config!$B$15,MROUND(config!$B$13+config!$B$14*$Q18,config!$B$17))))</f>
        <v/>
      </c>
      <c r="AM18" s="30" t="str">
        <f aca="true">IF($A18="","",COUNTIFS(stops!$B$2:$B$151,$A18,stops!$P$2:$P$151,"&lt;="&amp;IF(config!$B$37&lt;&gt;"",config!$B$37,TODAY())))</f>
        <v/>
      </c>
      <c r="AN18" s="30" t="str">
        <f aca="false">IF($A18="","",COUNTIFS(stops!$B$2:$B$151,$A18,stops!$L$2:$L$151,"declined"))</f>
        <v/>
      </c>
    </row>
    <row r="19" customFormat="false" ht="15" hidden="false" customHeight="false" outlineLevel="0" collapsed="false">
      <c r="C19" s="36"/>
      <c r="D19" s="36"/>
      <c r="G19" s="10"/>
      <c r="I19" s="10"/>
      <c r="J19" s="11"/>
      <c r="K19" s="10"/>
      <c r="L19" s="11"/>
      <c r="N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O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P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Q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R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S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T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U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V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W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X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Y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Z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A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B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C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D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E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F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G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H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I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W19="Y",$S19,""))))</f>
        <v/>
      </c>
      <c r="AJ19" s="30" t="str">
        <f aca="false">IF($A19="","",IF($Q19="","unknown",IF($Q19&lt;40,"under-40",IF($Q19&lt;=75,"40-75",IF($Q19&lt;=150,"76-150",IF($Q19&lt;=250,"151-250",IF($Q19&lt;=500,"251-500","over-500")))))))</f>
        <v/>
      </c>
      <c r="AK19" s="30" t="str">
        <f aca="false">IF($A19="","",IF($N19="","not on in_signed_offices: paste the outreach file",IF($Q19="","no Tuesday headcount",IF($Q19&lt;30,"below the hard floor of 30",IF($Q19&lt;40,"30 to 39: founder's call",IF($Q19&gt;250,"over 250: outside the plan","OK"))))))</f>
        <v/>
      </c>
      <c r="AL19" s="30" t="str">
        <f aca="false">IF(OR($A19="",$Q19=""),"",MIN(config!$B$16,MAX(config!$B$15,MROUND(config!$B$13+config!$B$14*$Q19,config!$B$17))))</f>
        <v/>
      </c>
      <c r="AM19" s="30" t="str">
        <f aca="true">IF($A19="","",COUNTIFS(stops!$B$2:$B$151,$A19,stops!$P$2:$P$151,"&lt;="&amp;IF(config!$B$37&lt;&gt;"",config!$B$37,TODAY())))</f>
        <v/>
      </c>
      <c r="AN19" s="30" t="str">
        <f aca="false">IF($A19="","",COUNTIFS(stops!$B$2:$B$151,$A19,stops!$L$2:$L$151,"declined"))</f>
        <v/>
      </c>
    </row>
    <row r="20" customFormat="false" ht="15" hidden="false" customHeight="false" outlineLevel="0" collapsed="false">
      <c r="C20" s="36"/>
      <c r="D20" s="36"/>
      <c r="G20" s="10"/>
      <c r="I20" s="10"/>
      <c r="J20" s="11"/>
      <c r="K20" s="10"/>
      <c r="L20" s="11"/>
      <c r="N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O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P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Q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R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S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T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U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V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W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X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Y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Z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A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B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C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D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E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F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G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H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I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W20="Y",$S20,""))))</f>
        <v/>
      </c>
      <c r="AJ20" s="30" t="str">
        <f aca="false">IF($A20="","",IF($Q20="","unknown",IF($Q20&lt;40,"under-40",IF($Q20&lt;=75,"40-75",IF($Q20&lt;=150,"76-150",IF($Q20&lt;=250,"151-250",IF($Q20&lt;=500,"251-500","over-500")))))))</f>
        <v/>
      </c>
      <c r="AK20" s="30" t="str">
        <f aca="false">IF($A20="","",IF($N20="","not on in_signed_offices: paste the outreach file",IF($Q20="","no Tuesday headcount",IF($Q20&lt;30,"below the hard floor of 30",IF($Q20&lt;40,"30 to 39: founder's call",IF($Q20&gt;250,"over 250: outside the plan","OK"))))))</f>
        <v/>
      </c>
      <c r="AL20" s="30" t="str">
        <f aca="false">IF(OR($A20="",$Q20=""),"",MIN(config!$B$16,MAX(config!$B$15,MROUND(config!$B$13+config!$B$14*$Q20,config!$B$17))))</f>
        <v/>
      </c>
      <c r="AM20" s="30" t="str">
        <f aca="true">IF($A20="","",COUNTIFS(stops!$B$2:$B$151,$A20,stops!$P$2:$P$151,"&lt;="&amp;IF(config!$B$37&lt;&gt;"",config!$B$37,TODAY())))</f>
        <v/>
      </c>
      <c r="AN20" s="30" t="str">
        <f aca="false">IF($A20="","",COUNTIFS(stops!$B$2:$B$151,$A20,stops!$L$2:$L$151,"declined"))</f>
        <v/>
      </c>
    </row>
    <row r="21" customFormat="false" ht="15" hidden="false" customHeight="false" outlineLevel="0" collapsed="false">
      <c r="C21" s="36"/>
      <c r="D21" s="36"/>
      <c r="G21" s="10"/>
      <c r="I21" s="10"/>
      <c r="J21" s="11"/>
      <c r="K21" s="10"/>
      <c r="L21" s="11"/>
      <c r="N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O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P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Q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R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S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T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U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V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W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X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Y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Z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A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B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C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D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E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F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G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H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I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W21="Y",$S21,""))))</f>
        <v/>
      </c>
      <c r="AJ21" s="30" t="str">
        <f aca="false">IF($A21="","",IF($Q21="","unknown",IF($Q21&lt;40,"under-40",IF($Q21&lt;=75,"40-75",IF($Q21&lt;=150,"76-150",IF($Q21&lt;=250,"151-250",IF($Q21&lt;=500,"251-500","over-500")))))))</f>
        <v/>
      </c>
      <c r="AK21" s="30" t="str">
        <f aca="false">IF($A21="","",IF($N21="","not on in_signed_offices: paste the outreach file",IF($Q21="","no Tuesday headcount",IF($Q21&lt;30,"below the hard floor of 30",IF($Q21&lt;40,"30 to 39: founder's call",IF($Q21&gt;250,"over 250: outside the plan","OK"))))))</f>
        <v/>
      </c>
      <c r="AL21" s="30" t="str">
        <f aca="false">IF(OR($A21="",$Q21=""),"",MIN(config!$B$16,MAX(config!$B$15,MROUND(config!$B$13+config!$B$14*$Q21,config!$B$17))))</f>
        <v/>
      </c>
      <c r="AM21" s="30" t="str">
        <f aca="true">IF($A21="","",COUNTIFS(stops!$B$2:$B$151,$A21,stops!$P$2:$P$151,"&lt;="&amp;IF(config!$B$37&lt;&gt;"",config!$B$37,TODAY())))</f>
        <v/>
      </c>
      <c r="AN21" s="30" t="str">
        <f aca="false">IF($A21="","",COUNTIFS(stops!$B$2:$B$151,$A21,stops!$L$2:$L$151,"declined"))</f>
        <v/>
      </c>
    </row>
    <row r="22" customFormat="false" ht="15" hidden="false" customHeight="false" outlineLevel="0" collapsed="false">
      <c r="C22" s="36"/>
      <c r="D22" s="36"/>
      <c r="G22" s="10"/>
      <c r="I22" s="10"/>
      <c r="J22" s="11"/>
      <c r="K22" s="10"/>
      <c r="L22" s="11"/>
      <c r="N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O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P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Q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R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S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T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U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V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W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X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Y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Z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A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B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C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D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E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F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G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H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I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W22="Y",$S22,""))))</f>
        <v/>
      </c>
      <c r="AJ22" s="30" t="str">
        <f aca="false">IF($A22="","",IF($Q22="","unknown",IF($Q22&lt;40,"under-40",IF($Q22&lt;=75,"40-75",IF($Q22&lt;=150,"76-150",IF($Q22&lt;=250,"151-250",IF($Q22&lt;=500,"251-500","over-500")))))))</f>
        <v/>
      </c>
      <c r="AK22" s="30" t="str">
        <f aca="false">IF($A22="","",IF($N22="","not on in_signed_offices: paste the outreach file",IF($Q22="","no Tuesday headcount",IF($Q22&lt;30,"below the hard floor of 30",IF($Q22&lt;40,"30 to 39: founder's call",IF($Q22&gt;250,"over 250: outside the plan","OK"))))))</f>
        <v/>
      </c>
      <c r="AL22" s="30" t="str">
        <f aca="false">IF(OR($A22="",$Q22=""),"",MIN(config!$B$16,MAX(config!$B$15,MROUND(config!$B$13+config!$B$14*$Q22,config!$B$17))))</f>
        <v/>
      </c>
      <c r="AM22" s="30" t="str">
        <f aca="true">IF($A22="","",COUNTIFS(stops!$B$2:$B$151,$A22,stops!$P$2:$P$151,"&lt;="&amp;IF(config!$B$37&lt;&gt;"",config!$B$37,TODAY())))</f>
        <v/>
      </c>
      <c r="AN22" s="30" t="str">
        <f aca="false">IF($A22="","",COUNTIFS(stops!$B$2:$B$151,$A22,stops!$L$2:$L$151,"declined"))</f>
        <v/>
      </c>
    </row>
    <row r="23" customFormat="false" ht="15" hidden="false" customHeight="false" outlineLevel="0" collapsed="false">
      <c r="C23" s="36"/>
      <c r="D23" s="36"/>
      <c r="G23" s="10"/>
      <c r="I23" s="10"/>
      <c r="J23" s="11"/>
      <c r="K23" s="10"/>
      <c r="L23" s="11"/>
      <c r="N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O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P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Q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R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S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T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U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V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W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X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Y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Z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A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B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C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D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E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F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G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H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I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W23="Y",$S23,""))))</f>
        <v/>
      </c>
      <c r="AJ23" s="30" t="str">
        <f aca="false">IF($A23="","",IF($Q23="","unknown",IF($Q23&lt;40,"under-40",IF($Q23&lt;=75,"40-75",IF($Q23&lt;=150,"76-150",IF($Q23&lt;=250,"151-250",IF($Q23&lt;=500,"251-500","over-500")))))))</f>
        <v/>
      </c>
      <c r="AK23" s="30" t="str">
        <f aca="false">IF($A23="","",IF($N23="","not on in_signed_offices: paste the outreach file",IF($Q23="","no Tuesday headcount",IF($Q23&lt;30,"below the hard floor of 30",IF($Q23&lt;40,"30 to 39: founder's call",IF($Q23&gt;250,"over 250: outside the plan","OK"))))))</f>
        <v/>
      </c>
      <c r="AL23" s="30" t="str">
        <f aca="false">IF(OR($A23="",$Q23=""),"",MIN(config!$B$16,MAX(config!$B$15,MROUND(config!$B$13+config!$B$14*$Q23,config!$B$17))))</f>
        <v/>
      </c>
      <c r="AM23" s="30" t="str">
        <f aca="true">IF($A23="","",COUNTIFS(stops!$B$2:$B$151,$A23,stops!$P$2:$P$151,"&lt;="&amp;IF(config!$B$37&lt;&gt;"",config!$B$37,TODAY())))</f>
        <v/>
      </c>
      <c r="AN23" s="30" t="str">
        <f aca="false">IF($A23="","",COUNTIFS(stops!$B$2:$B$151,$A23,stops!$L$2:$L$151,"declined"))</f>
        <v/>
      </c>
    </row>
    <row r="24" customFormat="false" ht="15" hidden="false" customHeight="false" outlineLevel="0" collapsed="false">
      <c r="C24" s="36"/>
      <c r="D24" s="36"/>
      <c r="G24" s="10"/>
      <c r="I24" s="10"/>
      <c r="J24" s="11"/>
      <c r="K24" s="10"/>
      <c r="L24" s="11"/>
      <c r="N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O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P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Q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R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S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T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U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V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W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X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Y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Z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A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B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C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D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E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F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G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H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I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W24="Y",$S24,""))))</f>
        <v/>
      </c>
      <c r="AJ24" s="30" t="str">
        <f aca="false">IF($A24="","",IF($Q24="","unknown",IF($Q24&lt;40,"under-40",IF($Q24&lt;=75,"40-75",IF($Q24&lt;=150,"76-150",IF($Q24&lt;=250,"151-250",IF($Q24&lt;=500,"251-500","over-500")))))))</f>
        <v/>
      </c>
      <c r="AK24" s="30" t="str">
        <f aca="false">IF($A24="","",IF($N24="","not on in_signed_offices: paste the outreach file",IF($Q24="","no Tuesday headcount",IF($Q24&lt;30,"below the hard floor of 30",IF($Q24&lt;40,"30 to 39: founder's call",IF($Q24&gt;250,"over 250: outside the plan","OK"))))))</f>
        <v/>
      </c>
      <c r="AL24" s="30" t="str">
        <f aca="false">IF(OR($A24="",$Q24=""),"",MIN(config!$B$16,MAX(config!$B$15,MROUND(config!$B$13+config!$B$14*$Q24,config!$B$17))))</f>
        <v/>
      </c>
      <c r="AM24" s="30" t="str">
        <f aca="true">IF($A24="","",COUNTIFS(stops!$B$2:$B$151,$A24,stops!$P$2:$P$151,"&lt;="&amp;IF(config!$B$37&lt;&gt;"",config!$B$37,TODAY())))</f>
        <v/>
      </c>
      <c r="AN24" s="30" t="str">
        <f aca="false">IF($A24="","",COUNTIFS(stops!$B$2:$B$151,$A24,stops!$L$2:$L$151,"declined"))</f>
        <v/>
      </c>
    </row>
    <row r="25" customFormat="false" ht="15" hidden="false" customHeight="false" outlineLevel="0" collapsed="false">
      <c r="C25" s="36"/>
      <c r="D25" s="36"/>
      <c r="G25" s="10"/>
      <c r="I25" s="10"/>
      <c r="J25" s="11"/>
      <c r="K25" s="10"/>
      <c r="L25" s="11"/>
      <c r="N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O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P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Q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R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S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T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U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V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W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X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Y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Z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A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B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C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D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E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F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G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H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I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W25="Y",$S25,""))))</f>
        <v/>
      </c>
      <c r="AJ25" s="30" t="str">
        <f aca="false">IF($A25="","",IF($Q25="","unknown",IF($Q25&lt;40,"under-40",IF($Q25&lt;=75,"40-75",IF($Q25&lt;=150,"76-150",IF($Q25&lt;=250,"151-250",IF($Q25&lt;=500,"251-500","over-500")))))))</f>
        <v/>
      </c>
      <c r="AK25" s="30" t="str">
        <f aca="false">IF($A25="","",IF($N25="","not on in_signed_offices: paste the outreach file",IF($Q25="","no Tuesday headcount",IF($Q25&lt;30,"below the hard floor of 30",IF($Q25&lt;40,"30 to 39: founder's call",IF($Q25&gt;250,"over 250: outside the plan","OK"))))))</f>
        <v/>
      </c>
      <c r="AL25" s="30" t="str">
        <f aca="false">IF(OR($A25="",$Q25=""),"",MIN(config!$B$16,MAX(config!$B$15,MROUND(config!$B$13+config!$B$14*$Q25,config!$B$17))))</f>
        <v/>
      </c>
      <c r="AM25" s="30" t="str">
        <f aca="true">IF($A25="","",COUNTIFS(stops!$B$2:$B$151,$A25,stops!$P$2:$P$151,"&lt;="&amp;IF(config!$B$37&lt;&gt;"",config!$B$37,TODAY())))</f>
        <v/>
      </c>
      <c r="AN25" s="30" t="str">
        <f aca="false">IF($A25="","",COUNTIFS(stops!$B$2:$B$151,$A25,stops!$L$2:$L$151,"declined"))</f>
        <v/>
      </c>
    </row>
    <row r="26" customFormat="false" ht="15" hidden="false" customHeight="false" outlineLevel="0" collapsed="false">
      <c r="C26" s="36"/>
      <c r="D26" s="36"/>
      <c r="G26" s="10"/>
      <c r="I26" s="10"/>
      <c r="J26" s="11"/>
      <c r="K26" s="10"/>
      <c r="L26" s="11"/>
      <c r="N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O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P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Q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R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S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T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U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V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W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X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Y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Z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A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B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C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D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E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F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G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H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I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W26="Y",$S26,""))))</f>
        <v/>
      </c>
      <c r="AJ26" s="30" t="str">
        <f aca="false">IF($A26="","",IF($Q26="","unknown",IF($Q26&lt;40,"under-40",IF($Q26&lt;=75,"40-75",IF($Q26&lt;=150,"76-150",IF($Q26&lt;=250,"151-250",IF($Q26&lt;=500,"251-500","over-500")))))))</f>
        <v/>
      </c>
      <c r="AK26" s="30" t="str">
        <f aca="false">IF($A26="","",IF($N26="","not on in_signed_offices: paste the outreach file",IF($Q26="","no Tuesday headcount",IF($Q26&lt;30,"below the hard floor of 30",IF($Q26&lt;40,"30 to 39: founder's call",IF($Q26&gt;250,"over 250: outside the plan","OK"))))))</f>
        <v/>
      </c>
      <c r="AL26" s="30" t="str">
        <f aca="false">IF(OR($A26="",$Q26=""),"",MIN(config!$B$16,MAX(config!$B$15,MROUND(config!$B$13+config!$B$14*$Q26,config!$B$17))))</f>
        <v/>
      </c>
      <c r="AM26" s="30" t="str">
        <f aca="true">IF($A26="","",COUNTIFS(stops!$B$2:$B$151,$A26,stops!$P$2:$P$151,"&lt;="&amp;IF(config!$B$37&lt;&gt;"",config!$B$37,TODAY())))</f>
        <v/>
      </c>
      <c r="AN26" s="30" t="str">
        <f aca="false">IF($A26="","",COUNTIFS(stops!$B$2:$B$151,$A26,stops!$L$2:$L$151,"declined"))</f>
        <v/>
      </c>
    </row>
    <row r="27" customFormat="false" ht="15" hidden="false" customHeight="false" outlineLevel="0" collapsed="false">
      <c r="C27" s="36"/>
      <c r="D27" s="36"/>
      <c r="G27" s="10"/>
      <c r="I27" s="10"/>
      <c r="J27" s="11"/>
      <c r="K27" s="10"/>
      <c r="L27" s="11"/>
      <c r="N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O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P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Q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R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S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T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U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V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W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X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Y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Z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A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B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C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D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E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F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G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H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I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W27="Y",$S27,""))))</f>
        <v/>
      </c>
      <c r="AJ27" s="30" t="str">
        <f aca="false">IF($A27="","",IF($Q27="","unknown",IF($Q27&lt;40,"under-40",IF($Q27&lt;=75,"40-75",IF($Q27&lt;=150,"76-150",IF($Q27&lt;=250,"151-250",IF($Q27&lt;=500,"251-500","over-500")))))))</f>
        <v/>
      </c>
      <c r="AK27" s="30" t="str">
        <f aca="false">IF($A27="","",IF($N27="","not on in_signed_offices: paste the outreach file",IF($Q27="","no Tuesday headcount",IF($Q27&lt;30,"below the hard floor of 30",IF($Q27&lt;40,"30 to 39: founder's call",IF($Q27&gt;250,"over 250: outside the plan","OK"))))))</f>
        <v/>
      </c>
      <c r="AL27" s="30" t="str">
        <f aca="false">IF(OR($A27="",$Q27=""),"",MIN(config!$B$16,MAX(config!$B$15,MROUND(config!$B$13+config!$B$14*$Q27,config!$B$17))))</f>
        <v/>
      </c>
      <c r="AM27" s="30" t="str">
        <f aca="true">IF($A27="","",COUNTIFS(stops!$B$2:$B$151,$A27,stops!$P$2:$P$151,"&lt;="&amp;IF(config!$B$37&lt;&gt;"",config!$B$37,TODAY())))</f>
        <v/>
      </c>
      <c r="AN27" s="30" t="str">
        <f aca="false">IF($A27="","",COUNTIFS(stops!$B$2:$B$151,$A27,stops!$L$2:$L$151,"declined"))</f>
        <v/>
      </c>
    </row>
    <row r="28" customFormat="false" ht="15" hidden="false" customHeight="false" outlineLevel="0" collapsed="false">
      <c r="C28" s="36"/>
      <c r="D28" s="36"/>
      <c r="G28" s="10"/>
      <c r="I28" s="10"/>
      <c r="J28" s="11"/>
      <c r="K28" s="10"/>
      <c r="L28" s="11"/>
      <c r="N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O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P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Q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R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S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T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U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V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W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X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Y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Z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A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B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C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D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E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F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G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H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I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W28="Y",$S28,""))))</f>
        <v/>
      </c>
      <c r="AJ28" s="30" t="str">
        <f aca="false">IF($A28="","",IF($Q28="","unknown",IF($Q28&lt;40,"under-40",IF($Q28&lt;=75,"40-75",IF($Q28&lt;=150,"76-150",IF($Q28&lt;=250,"151-250",IF($Q28&lt;=500,"251-500","over-500")))))))</f>
        <v/>
      </c>
      <c r="AK28" s="30" t="str">
        <f aca="false">IF($A28="","",IF($N28="","not on in_signed_offices: paste the outreach file",IF($Q28="","no Tuesday headcount",IF($Q28&lt;30,"below the hard floor of 30",IF($Q28&lt;40,"30 to 39: founder's call",IF($Q28&gt;250,"over 250: outside the plan","OK"))))))</f>
        <v/>
      </c>
      <c r="AL28" s="30" t="str">
        <f aca="false">IF(OR($A28="",$Q28=""),"",MIN(config!$B$16,MAX(config!$B$15,MROUND(config!$B$13+config!$B$14*$Q28,config!$B$17))))</f>
        <v/>
      </c>
      <c r="AM28" s="30" t="str">
        <f aca="true">IF($A28="","",COUNTIFS(stops!$B$2:$B$151,$A28,stops!$P$2:$P$151,"&lt;="&amp;IF(config!$B$37&lt;&gt;"",config!$B$37,TODAY())))</f>
        <v/>
      </c>
      <c r="AN28" s="30" t="str">
        <f aca="false">IF($A28="","",COUNTIFS(stops!$B$2:$B$151,$A28,stops!$L$2:$L$151,"declined"))</f>
        <v/>
      </c>
    </row>
    <row r="29" customFormat="false" ht="15" hidden="false" customHeight="false" outlineLevel="0" collapsed="false">
      <c r="C29" s="36"/>
      <c r="D29" s="36"/>
      <c r="G29" s="10"/>
      <c r="I29" s="10"/>
      <c r="J29" s="11"/>
      <c r="K29" s="10"/>
      <c r="L29" s="11"/>
      <c r="N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O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P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Q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R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S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T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U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V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W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X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Y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Z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A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B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C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D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E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F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G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H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I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W29="Y",$S29,""))))</f>
        <v/>
      </c>
      <c r="AJ29" s="30" t="str">
        <f aca="false">IF($A29="","",IF($Q29="","unknown",IF($Q29&lt;40,"under-40",IF($Q29&lt;=75,"40-75",IF($Q29&lt;=150,"76-150",IF($Q29&lt;=250,"151-250",IF($Q29&lt;=500,"251-500","over-500")))))))</f>
        <v/>
      </c>
      <c r="AK29" s="30" t="str">
        <f aca="false">IF($A29="","",IF($N29="","not on in_signed_offices: paste the outreach file",IF($Q29="","no Tuesday headcount",IF($Q29&lt;30,"below the hard floor of 30",IF($Q29&lt;40,"30 to 39: founder's call",IF($Q29&gt;250,"over 250: outside the plan","OK"))))))</f>
        <v/>
      </c>
      <c r="AL29" s="30" t="str">
        <f aca="false">IF(OR($A29="",$Q29=""),"",MIN(config!$B$16,MAX(config!$B$15,MROUND(config!$B$13+config!$B$14*$Q29,config!$B$17))))</f>
        <v/>
      </c>
      <c r="AM29" s="30" t="str">
        <f aca="true">IF($A29="","",COUNTIFS(stops!$B$2:$B$151,$A29,stops!$P$2:$P$151,"&lt;="&amp;IF(config!$B$37&lt;&gt;"",config!$B$37,TODAY())))</f>
        <v/>
      </c>
      <c r="AN29" s="30" t="str">
        <f aca="false">IF($A29="","",COUNTIFS(stops!$B$2:$B$151,$A29,stops!$L$2:$L$151,"declined"))</f>
        <v/>
      </c>
    </row>
    <row r="30" customFormat="false" ht="15" hidden="false" customHeight="false" outlineLevel="0" collapsed="false">
      <c r="C30" s="36"/>
      <c r="D30" s="36"/>
      <c r="G30" s="10"/>
      <c r="I30" s="10"/>
      <c r="J30" s="11"/>
      <c r="K30" s="10"/>
      <c r="L30" s="11"/>
      <c r="N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O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P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Q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R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S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T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U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V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W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X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Y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Z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A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B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C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D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E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F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G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H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I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W30="Y",$S30,""))))</f>
        <v/>
      </c>
      <c r="AJ30" s="30" t="str">
        <f aca="false">IF($A30="","",IF($Q30="","unknown",IF($Q30&lt;40,"under-40",IF($Q30&lt;=75,"40-75",IF($Q30&lt;=150,"76-150",IF($Q30&lt;=250,"151-250",IF($Q30&lt;=500,"251-500","over-500")))))))</f>
        <v/>
      </c>
      <c r="AK30" s="30" t="str">
        <f aca="false">IF($A30="","",IF($N30="","not on in_signed_offices: paste the outreach file",IF($Q30="","no Tuesday headcount",IF($Q30&lt;30,"below the hard floor of 30",IF($Q30&lt;40,"30 to 39: founder's call",IF($Q30&gt;250,"over 250: outside the plan","OK"))))))</f>
        <v/>
      </c>
      <c r="AL30" s="30" t="str">
        <f aca="false">IF(OR($A30="",$Q30=""),"",MIN(config!$B$16,MAX(config!$B$15,MROUND(config!$B$13+config!$B$14*$Q30,config!$B$17))))</f>
        <v/>
      </c>
      <c r="AM30" s="30" t="str">
        <f aca="true">IF($A30="","",COUNTIFS(stops!$B$2:$B$151,$A30,stops!$P$2:$P$151,"&lt;="&amp;IF(config!$B$37&lt;&gt;"",config!$B$37,TODAY())))</f>
        <v/>
      </c>
      <c r="AN30" s="30" t="str">
        <f aca="false">IF($A30="","",COUNTIFS(stops!$B$2:$B$151,$A30,stops!$L$2:$L$151,"declined"))</f>
        <v/>
      </c>
    </row>
    <row r="31" customFormat="false" ht="15" hidden="false" customHeight="false" outlineLevel="0" collapsed="false">
      <c r="C31" s="36"/>
      <c r="D31" s="36"/>
      <c r="G31" s="10"/>
      <c r="I31" s="10"/>
      <c r="J31" s="11"/>
      <c r="K31" s="10"/>
      <c r="L31" s="11"/>
      <c r="N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O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P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Q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R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S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T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U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V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W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X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Y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Z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A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B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C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D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E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F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G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H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I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W31="Y",$S31,""))))</f>
        <v/>
      </c>
      <c r="AJ31" s="30" t="str">
        <f aca="false">IF($A31="","",IF($Q31="","unknown",IF($Q31&lt;40,"under-40",IF($Q31&lt;=75,"40-75",IF($Q31&lt;=150,"76-150",IF($Q31&lt;=250,"151-250",IF($Q31&lt;=500,"251-500","over-500")))))))</f>
        <v/>
      </c>
      <c r="AK31" s="30" t="str">
        <f aca="false">IF($A31="","",IF($N31="","not on in_signed_offices: paste the outreach file",IF($Q31="","no Tuesday headcount",IF($Q31&lt;30,"below the hard floor of 30",IF($Q31&lt;40,"30 to 39: founder's call",IF($Q31&gt;250,"over 250: outside the plan","OK"))))))</f>
        <v/>
      </c>
      <c r="AL31" s="30" t="str">
        <f aca="false">IF(OR($A31="",$Q31=""),"",MIN(config!$B$16,MAX(config!$B$15,MROUND(config!$B$13+config!$B$14*$Q31,config!$B$17))))</f>
        <v/>
      </c>
      <c r="AM31" s="30" t="str">
        <f aca="true">IF($A31="","",COUNTIFS(stops!$B$2:$B$151,$A31,stops!$P$2:$P$151,"&lt;="&amp;IF(config!$B$37&lt;&gt;"",config!$B$37,TODAY())))</f>
        <v/>
      </c>
      <c r="AN31" s="30" t="str">
        <f aca="false">IF($A31="","",COUNTIFS(stops!$B$2:$B$151,$A31,stops!$L$2:$L$151,"declined"))</f>
        <v/>
      </c>
    </row>
    <row r="32" customFormat="false" ht="15" hidden="false" customHeight="false" outlineLevel="0" collapsed="false">
      <c r="C32" s="36"/>
      <c r="D32" s="36"/>
      <c r="G32" s="10"/>
      <c r="I32" s="10"/>
      <c r="J32" s="11"/>
      <c r="K32" s="10"/>
      <c r="L32" s="11"/>
      <c r="N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O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P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Q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R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S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T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U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V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W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X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Y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Z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A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B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C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D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E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F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G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H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I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W32="Y",$S32,""))))</f>
        <v/>
      </c>
      <c r="AJ32" s="30" t="str">
        <f aca="false">IF($A32="","",IF($Q32="","unknown",IF($Q32&lt;40,"under-40",IF($Q32&lt;=75,"40-75",IF($Q32&lt;=150,"76-150",IF($Q32&lt;=250,"151-250",IF($Q32&lt;=500,"251-500","over-500")))))))</f>
        <v/>
      </c>
      <c r="AK32" s="30" t="str">
        <f aca="false">IF($A32="","",IF($N32="","not on in_signed_offices: paste the outreach file",IF($Q32="","no Tuesday headcount",IF($Q32&lt;30,"below the hard floor of 30",IF($Q32&lt;40,"30 to 39: founder's call",IF($Q32&gt;250,"over 250: outside the plan","OK"))))))</f>
        <v/>
      </c>
      <c r="AL32" s="30" t="str">
        <f aca="false">IF(OR($A32="",$Q32=""),"",MIN(config!$B$16,MAX(config!$B$15,MROUND(config!$B$13+config!$B$14*$Q32,config!$B$17))))</f>
        <v/>
      </c>
      <c r="AM32" s="30" t="str">
        <f aca="true">IF($A32="","",COUNTIFS(stops!$B$2:$B$151,$A32,stops!$P$2:$P$151,"&lt;="&amp;IF(config!$B$37&lt;&gt;"",config!$B$37,TODAY())))</f>
        <v/>
      </c>
      <c r="AN32" s="30" t="str">
        <f aca="false">IF($A32="","",COUNTIFS(stops!$B$2:$B$151,$A32,stops!$L$2:$L$151,"declined"))</f>
        <v/>
      </c>
    </row>
    <row r="33" customFormat="false" ht="15" hidden="false" customHeight="false" outlineLevel="0" collapsed="false">
      <c r="C33" s="36"/>
      <c r="D33" s="36"/>
      <c r="G33" s="10"/>
      <c r="I33" s="10"/>
      <c r="J33" s="11"/>
      <c r="K33" s="10"/>
      <c r="L33" s="11"/>
      <c r="N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O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P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Q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R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S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T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U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V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W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X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Y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Z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A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B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C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D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E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F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G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H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I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W33="Y",$S33,""))))</f>
        <v/>
      </c>
      <c r="AJ33" s="30" t="str">
        <f aca="false">IF($A33="","",IF($Q33="","unknown",IF($Q33&lt;40,"under-40",IF($Q33&lt;=75,"40-75",IF($Q33&lt;=150,"76-150",IF($Q33&lt;=250,"151-250",IF($Q33&lt;=500,"251-500","over-500")))))))</f>
        <v/>
      </c>
      <c r="AK33" s="30" t="str">
        <f aca="false">IF($A33="","",IF($N33="","not on in_signed_offices: paste the outreach file",IF($Q33="","no Tuesday headcount",IF($Q33&lt;30,"below the hard floor of 30",IF($Q33&lt;40,"30 to 39: founder's call",IF($Q33&gt;250,"over 250: outside the plan","OK"))))))</f>
        <v/>
      </c>
      <c r="AL33" s="30" t="str">
        <f aca="false">IF(OR($A33="",$Q33=""),"",MIN(config!$B$16,MAX(config!$B$15,MROUND(config!$B$13+config!$B$14*$Q33,config!$B$17))))</f>
        <v/>
      </c>
      <c r="AM33" s="30" t="str">
        <f aca="true">IF($A33="","",COUNTIFS(stops!$B$2:$B$151,$A33,stops!$P$2:$P$151,"&lt;="&amp;IF(config!$B$37&lt;&gt;"",config!$B$37,TODAY())))</f>
        <v/>
      </c>
      <c r="AN33" s="30" t="str">
        <f aca="false">IF($A33="","",COUNTIFS(stops!$B$2:$B$151,$A33,stops!$L$2:$L$151,"declined"))</f>
        <v/>
      </c>
    </row>
    <row r="34" customFormat="false" ht="15" hidden="false" customHeight="false" outlineLevel="0" collapsed="false">
      <c r="C34" s="36"/>
      <c r="D34" s="36"/>
      <c r="G34" s="10"/>
      <c r="I34" s="10"/>
      <c r="J34" s="11"/>
      <c r="K34" s="10"/>
      <c r="L34" s="11"/>
      <c r="N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O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P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Q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R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S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T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U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V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W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X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Y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Z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A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B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C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D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E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F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G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H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I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W34="Y",$S34,""))))</f>
        <v/>
      </c>
      <c r="AJ34" s="30" t="str">
        <f aca="false">IF($A34="","",IF($Q34="","unknown",IF($Q34&lt;40,"under-40",IF($Q34&lt;=75,"40-75",IF($Q34&lt;=150,"76-150",IF($Q34&lt;=250,"151-250",IF($Q34&lt;=500,"251-500","over-500")))))))</f>
        <v/>
      </c>
      <c r="AK34" s="30" t="str">
        <f aca="false">IF($A34="","",IF($N34="","not on in_signed_offices: paste the outreach file",IF($Q34="","no Tuesday headcount",IF($Q34&lt;30,"below the hard floor of 30",IF($Q34&lt;40,"30 to 39: founder's call",IF($Q34&gt;250,"over 250: outside the plan","OK"))))))</f>
        <v/>
      </c>
      <c r="AL34" s="30" t="str">
        <f aca="false">IF(OR($A34="",$Q34=""),"",MIN(config!$B$16,MAX(config!$B$15,MROUND(config!$B$13+config!$B$14*$Q34,config!$B$17))))</f>
        <v/>
      </c>
      <c r="AM34" s="30" t="str">
        <f aca="true">IF($A34="","",COUNTIFS(stops!$B$2:$B$151,$A34,stops!$P$2:$P$151,"&lt;="&amp;IF(config!$B$37&lt;&gt;"",config!$B$37,TODAY())))</f>
        <v/>
      </c>
      <c r="AN34" s="30" t="str">
        <f aca="false">IF($A34="","",COUNTIFS(stops!$B$2:$B$151,$A34,stops!$L$2:$L$151,"declined"))</f>
        <v/>
      </c>
    </row>
    <row r="35" customFormat="false" ht="15" hidden="false" customHeight="false" outlineLevel="0" collapsed="false">
      <c r="C35" s="36"/>
      <c r="D35" s="36"/>
      <c r="G35" s="10"/>
      <c r="I35" s="10"/>
      <c r="J35" s="11"/>
      <c r="K35" s="10"/>
      <c r="L35" s="11"/>
      <c r="N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O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P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Q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R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S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T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U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V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W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X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Y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Z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A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B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C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D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E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F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G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H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I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W35="Y",$S35,""))))</f>
        <v/>
      </c>
      <c r="AJ35" s="30" t="str">
        <f aca="false">IF($A35="","",IF($Q35="","unknown",IF($Q35&lt;40,"under-40",IF($Q35&lt;=75,"40-75",IF($Q35&lt;=150,"76-150",IF($Q35&lt;=250,"151-250",IF($Q35&lt;=500,"251-500","over-500")))))))</f>
        <v/>
      </c>
      <c r="AK35" s="30" t="str">
        <f aca="false">IF($A35="","",IF($N35="","not on in_signed_offices: paste the outreach file",IF($Q35="","no Tuesday headcount",IF($Q35&lt;30,"below the hard floor of 30",IF($Q35&lt;40,"30 to 39: founder's call",IF($Q35&gt;250,"over 250: outside the plan","OK"))))))</f>
        <v/>
      </c>
      <c r="AL35" s="30" t="str">
        <f aca="false">IF(OR($A35="",$Q35=""),"",MIN(config!$B$16,MAX(config!$B$15,MROUND(config!$B$13+config!$B$14*$Q35,config!$B$17))))</f>
        <v/>
      </c>
      <c r="AM35" s="30" t="str">
        <f aca="true">IF($A35="","",COUNTIFS(stops!$B$2:$B$151,$A35,stops!$P$2:$P$151,"&lt;="&amp;IF(config!$B$37&lt;&gt;"",config!$B$37,TODAY())))</f>
        <v/>
      </c>
      <c r="AN35" s="30" t="str">
        <f aca="false">IF($A35="","",COUNTIFS(stops!$B$2:$B$151,$A35,stops!$L$2:$L$151,"declined"))</f>
        <v/>
      </c>
    </row>
    <row r="36" customFormat="false" ht="15" hidden="false" customHeight="false" outlineLevel="0" collapsed="false">
      <c r="C36" s="36"/>
      <c r="D36" s="36"/>
      <c r="G36" s="10"/>
      <c r="I36" s="10"/>
      <c r="J36" s="11"/>
      <c r="K36" s="10"/>
      <c r="L36" s="11"/>
      <c r="N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O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P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Q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R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S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T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U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V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W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X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Y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Z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A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B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C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D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E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F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G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H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I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W36="Y",$S36,""))))</f>
        <v/>
      </c>
      <c r="AJ36" s="30" t="str">
        <f aca="false">IF($A36="","",IF($Q36="","unknown",IF($Q36&lt;40,"under-40",IF($Q36&lt;=75,"40-75",IF($Q36&lt;=150,"76-150",IF($Q36&lt;=250,"151-250",IF($Q36&lt;=500,"251-500","over-500")))))))</f>
        <v/>
      </c>
      <c r="AK36" s="30" t="str">
        <f aca="false">IF($A36="","",IF($N36="","not on in_signed_offices: paste the outreach file",IF($Q36="","no Tuesday headcount",IF($Q36&lt;30,"below the hard floor of 30",IF($Q36&lt;40,"30 to 39: founder's call",IF($Q36&gt;250,"over 250: outside the plan","OK"))))))</f>
        <v/>
      </c>
      <c r="AL36" s="30" t="str">
        <f aca="false">IF(OR($A36="",$Q36=""),"",MIN(config!$B$16,MAX(config!$B$15,MROUND(config!$B$13+config!$B$14*$Q36,config!$B$17))))</f>
        <v/>
      </c>
      <c r="AM36" s="30" t="str">
        <f aca="true">IF($A36="","",COUNTIFS(stops!$B$2:$B$151,$A36,stops!$P$2:$P$151,"&lt;="&amp;IF(config!$B$37&lt;&gt;"",config!$B$37,TODAY())))</f>
        <v/>
      </c>
      <c r="AN36" s="30" t="str">
        <f aca="false">IF($A36="","",COUNTIFS(stops!$B$2:$B$151,$A36,stops!$L$2:$L$151,"declined"))</f>
        <v/>
      </c>
    </row>
    <row r="37" customFormat="false" ht="15" hidden="false" customHeight="false" outlineLevel="0" collapsed="false">
      <c r="C37" s="36"/>
      <c r="D37" s="36"/>
      <c r="G37" s="10"/>
      <c r="I37" s="10"/>
      <c r="J37" s="11"/>
      <c r="K37" s="10"/>
      <c r="L37" s="11"/>
      <c r="N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O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P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Q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R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S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T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U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V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W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X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Y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Z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A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B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C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D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E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F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G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H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I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W37="Y",$S37,""))))</f>
        <v/>
      </c>
      <c r="AJ37" s="30" t="str">
        <f aca="false">IF($A37="","",IF($Q37="","unknown",IF($Q37&lt;40,"under-40",IF($Q37&lt;=75,"40-75",IF($Q37&lt;=150,"76-150",IF($Q37&lt;=250,"151-250",IF($Q37&lt;=500,"251-500","over-500")))))))</f>
        <v/>
      </c>
      <c r="AK37" s="30" t="str">
        <f aca="false">IF($A37="","",IF($N37="","not on in_signed_offices: paste the outreach file",IF($Q37="","no Tuesday headcount",IF($Q37&lt;30,"below the hard floor of 30",IF($Q37&lt;40,"30 to 39: founder's call",IF($Q37&gt;250,"over 250: outside the plan","OK"))))))</f>
        <v/>
      </c>
      <c r="AL37" s="30" t="str">
        <f aca="false">IF(OR($A37="",$Q37=""),"",MIN(config!$B$16,MAX(config!$B$15,MROUND(config!$B$13+config!$B$14*$Q37,config!$B$17))))</f>
        <v/>
      </c>
      <c r="AM37" s="30" t="str">
        <f aca="true">IF($A37="","",COUNTIFS(stops!$B$2:$B$151,$A37,stops!$P$2:$P$151,"&lt;="&amp;IF(config!$B$37&lt;&gt;"",config!$B$37,TODAY())))</f>
        <v/>
      </c>
      <c r="AN37" s="30" t="str">
        <f aca="false">IF($A37="","",COUNTIFS(stops!$B$2:$B$151,$A37,stops!$L$2:$L$151,"declined"))</f>
        <v/>
      </c>
    </row>
    <row r="38" customFormat="false" ht="15" hidden="false" customHeight="false" outlineLevel="0" collapsed="false">
      <c r="C38" s="36"/>
      <c r="D38" s="36"/>
      <c r="G38" s="10"/>
      <c r="I38" s="10"/>
      <c r="J38" s="11"/>
      <c r="K38" s="10"/>
      <c r="L38" s="11"/>
      <c r="N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O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P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Q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R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S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T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U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V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W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X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Y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Z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A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B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C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D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E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F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G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H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I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W38="Y",$S38,""))))</f>
        <v/>
      </c>
      <c r="AJ38" s="30" t="str">
        <f aca="false">IF($A38="","",IF($Q38="","unknown",IF($Q38&lt;40,"under-40",IF($Q38&lt;=75,"40-75",IF($Q38&lt;=150,"76-150",IF($Q38&lt;=250,"151-250",IF($Q38&lt;=500,"251-500","over-500")))))))</f>
        <v/>
      </c>
      <c r="AK38" s="30" t="str">
        <f aca="false">IF($A38="","",IF($N38="","not on in_signed_offices: paste the outreach file",IF($Q38="","no Tuesday headcount",IF($Q38&lt;30,"below the hard floor of 30",IF($Q38&lt;40,"30 to 39: founder's call",IF($Q38&gt;250,"over 250: outside the plan","OK"))))))</f>
        <v/>
      </c>
      <c r="AL38" s="30" t="str">
        <f aca="false">IF(OR($A38="",$Q38=""),"",MIN(config!$B$16,MAX(config!$B$15,MROUND(config!$B$13+config!$B$14*$Q38,config!$B$17))))</f>
        <v/>
      </c>
      <c r="AM38" s="30" t="str">
        <f aca="true">IF($A38="","",COUNTIFS(stops!$B$2:$B$151,$A38,stops!$P$2:$P$151,"&lt;="&amp;IF(config!$B$37&lt;&gt;"",config!$B$37,TODAY())))</f>
        <v/>
      </c>
      <c r="AN38" s="30" t="str">
        <f aca="false">IF($A38="","",COUNTIFS(stops!$B$2:$B$151,$A38,stops!$L$2:$L$151,"declined"))</f>
        <v/>
      </c>
    </row>
    <row r="39" customFormat="false" ht="15" hidden="false" customHeight="false" outlineLevel="0" collapsed="false">
      <c r="C39" s="36"/>
      <c r="D39" s="36"/>
      <c r="G39" s="10"/>
      <c r="I39" s="10"/>
      <c r="J39" s="11"/>
      <c r="K39" s="10"/>
      <c r="L39" s="11"/>
      <c r="N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O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P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Q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R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S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T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U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V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W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X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Y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Z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A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B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C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D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E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F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G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H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I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W39="Y",$S39,""))))</f>
        <v/>
      </c>
      <c r="AJ39" s="30" t="str">
        <f aca="false">IF($A39="","",IF($Q39="","unknown",IF($Q39&lt;40,"under-40",IF($Q39&lt;=75,"40-75",IF($Q39&lt;=150,"76-150",IF($Q39&lt;=250,"151-250",IF($Q39&lt;=500,"251-500","over-500")))))))</f>
        <v/>
      </c>
      <c r="AK39" s="30" t="str">
        <f aca="false">IF($A39="","",IF($N39="","not on in_signed_offices: paste the outreach file",IF($Q39="","no Tuesday headcount",IF($Q39&lt;30,"below the hard floor of 30",IF($Q39&lt;40,"30 to 39: founder's call",IF($Q39&gt;250,"over 250: outside the plan","OK"))))))</f>
        <v/>
      </c>
      <c r="AL39" s="30" t="str">
        <f aca="false">IF(OR($A39="",$Q39=""),"",MIN(config!$B$16,MAX(config!$B$15,MROUND(config!$B$13+config!$B$14*$Q39,config!$B$17))))</f>
        <v/>
      </c>
      <c r="AM39" s="30" t="str">
        <f aca="true">IF($A39="","",COUNTIFS(stops!$B$2:$B$151,$A39,stops!$P$2:$P$151,"&lt;="&amp;IF(config!$B$37&lt;&gt;"",config!$B$37,TODAY())))</f>
        <v/>
      </c>
      <c r="AN39" s="30" t="str">
        <f aca="false">IF($A39="","",COUNTIFS(stops!$B$2:$B$151,$A39,stops!$L$2:$L$151,"declined"))</f>
        <v/>
      </c>
    </row>
    <row r="40" customFormat="false" ht="15" hidden="false" customHeight="false" outlineLevel="0" collapsed="false">
      <c r="C40" s="36"/>
      <c r="D40" s="36"/>
      <c r="G40" s="10"/>
      <c r="I40" s="10"/>
      <c r="J40" s="11"/>
      <c r="K40" s="10"/>
      <c r="L40" s="11"/>
      <c r="N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O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P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Q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R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S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T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U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V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W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X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Y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Z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A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B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C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D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E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F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G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H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I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W40="Y",$S40,""))))</f>
        <v/>
      </c>
      <c r="AJ40" s="30" t="str">
        <f aca="false">IF($A40="","",IF($Q40="","unknown",IF($Q40&lt;40,"under-40",IF($Q40&lt;=75,"40-75",IF($Q40&lt;=150,"76-150",IF($Q40&lt;=250,"151-250",IF($Q40&lt;=500,"251-500","over-500")))))))</f>
        <v/>
      </c>
      <c r="AK40" s="30" t="str">
        <f aca="false">IF($A40="","",IF($N40="","not on in_signed_offices: paste the outreach file",IF($Q40="","no Tuesday headcount",IF($Q40&lt;30,"below the hard floor of 30",IF($Q40&lt;40,"30 to 39: founder's call",IF($Q40&gt;250,"over 250: outside the plan","OK"))))))</f>
        <v/>
      </c>
      <c r="AL40" s="30" t="str">
        <f aca="false">IF(OR($A40="",$Q40=""),"",MIN(config!$B$16,MAX(config!$B$15,MROUND(config!$B$13+config!$B$14*$Q40,config!$B$17))))</f>
        <v/>
      </c>
      <c r="AM40" s="30" t="str">
        <f aca="true">IF($A40="","",COUNTIFS(stops!$B$2:$B$151,$A40,stops!$P$2:$P$151,"&lt;="&amp;IF(config!$B$37&lt;&gt;"",config!$B$37,TODAY())))</f>
        <v/>
      </c>
      <c r="AN40" s="30" t="str">
        <f aca="false">IF($A40="","",COUNTIFS(stops!$B$2:$B$151,$A40,stops!$L$2:$L$151,"declined"))</f>
        <v/>
      </c>
    </row>
    <row r="41" customFormat="false" ht="15" hidden="false" customHeight="false" outlineLevel="0" collapsed="false">
      <c r="C41" s="36"/>
      <c r="D41" s="36"/>
      <c r="G41" s="10"/>
      <c r="I41" s="10"/>
      <c r="J41" s="11"/>
      <c r="K41" s="10"/>
      <c r="L41" s="11"/>
      <c r="N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O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P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Q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R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S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T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U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V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W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X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Y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Z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A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B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C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D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E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F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G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H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I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W41="Y",$S41,""))))</f>
        <v/>
      </c>
      <c r="AJ41" s="30" t="str">
        <f aca="false">IF($A41="","",IF($Q41="","unknown",IF($Q41&lt;40,"under-40",IF($Q41&lt;=75,"40-75",IF($Q41&lt;=150,"76-150",IF($Q41&lt;=250,"151-250",IF($Q41&lt;=500,"251-500","over-500")))))))</f>
        <v/>
      </c>
      <c r="AK41" s="30" t="str">
        <f aca="false">IF($A41="","",IF($N41="","not on in_signed_offices: paste the outreach file",IF($Q41="","no Tuesday headcount",IF($Q41&lt;30,"below the hard floor of 30",IF($Q41&lt;40,"30 to 39: founder's call",IF($Q41&gt;250,"over 250: outside the plan","OK"))))))</f>
        <v/>
      </c>
      <c r="AL41" s="30" t="str">
        <f aca="false">IF(OR($A41="",$Q41=""),"",MIN(config!$B$16,MAX(config!$B$15,MROUND(config!$B$13+config!$B$14*$Q41,config!$B$17))))</f>
        <v/>
      </c>
      <c r="AM41" s="30" t="str">
        <f aca="true">IF($A41="","",COUNTIFS(stops!$B$2:$B$151,$A41,stops!$P$2:$P$151,"&lt;="&amp;IF(config!$B$37&lt;&gt;"",config!$B$37,TODAY())))</f>
        <v/>
      </c>
      <c r="AN41" s="30" t="str">
        <f aca="false">IF($A41="","",COUNTIFS(stops!$B$2:$B$151,$A41,stops!$L$2:$L$151,"declined"))</f>
        <v/>
      </c>
    </row>
    <row r="42" customFormat="false" ht="15" hidden="false" customHeight="false" outlineLevel="0" collapsed="false">
      <c r="C42" s="36"/>
      <c r="D42" s="36"/>
      <c r="G42" s="10"/>
      <c r="I42" s="10"/>
      <c r="J42" s="11"/>
      <c r="K42" s="10"/>
      <c r="L42" s="11"/>
      <c r="N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O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P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Q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R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S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T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U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V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W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X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Y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Z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A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B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C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D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E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F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G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H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I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W42="Y",$S42,""))))</f>
        <v/>
      </c>
      <c r="AJ42" s="30" t="str">
        <f aca="false">IF($A42="","",IF($Q42="","unknown",IF($Q42&lt;40,"under-40",IF($Q42&lt;=75,"40-75",IF($Q42&lt;=150,"76-150",IF($Q42&lt;=250,"151-250",IF($Q42&lt;=500,"251-500","over-500")))))))</f>
        <v/>
      </c>
      <c r="AK42" s="30" t="str">
        <f aca="false">IF($A42="","",IF($N42="","not on in_signed_offices: paste the outreach file",IF($Q42="","no Tuesday headcount",IF($Q42&lt;30,"below the hard floor of 30",IF($Q42&lt;40,"30 to 39: founder's call",IF($Q42&gt;250,"over 250: outside the plan","OK"))))))</f>
        <v/>
      </c>
      <c r="AL42" s="30" t="str">
        <f aca="false">IF(OR($A42="",$Q42=""),"",MIN(config!$B$16,MAX(config!$B$15,MROUND(config!$B$13+config!$B$14*$Q42,config!$B$17))))</f>
        <v/>
      </c>
      <c r="AM42" s="30" t="str">
        <f aca="true">IF($A42="","",COUNTIFS(stops!$B$2:$B$151,$A42,stops!$P$2:$P$151,"&lt;="&amp;IF(config!$B$37&lt;&gt;"",config!$B$37,TODAY())))</f>
        <v/>
      </c>
      <c r="AN42" s="30" t="str">
        <f aca="false">IF($A42="","",COUNTIFS(stops!$B$2:$B$151,$A42,stops!$L$2:$L$151,"declined"))</f>
        <v/>
      </c>
    </row>
    <row r="43" customFormat="false" ht="15" hidden="false" customHeight="false" outlineLevel="0" collapsed="false">
      <c r="C43" s="36"/>
      <c r="D43" s="36"/>
      <c r="G43" s="10"/>
      <c r="I43" s="10"/>
      <c r="J43" s="11"/>
      <c r="K43" s="10"/>
      <c r="L43" s="11"/>
      <c r="N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O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P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Q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R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S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T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U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V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W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X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Y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Z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A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B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C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D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E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F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G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H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I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W43="Y",$S43,""))))</f>
        <v/>
      </c>
      <c r="AJ43" s="30" t="str">
        <f aca="false">IF($A43="","",IF($Q43="","unknown",IF($Q43&lt;40,"under-40",IF($Q43&lt;=75,"40-75",IF($Q43&lt;=150,"76-150",IF($Q43&lt;=250,"151-250",IF($Q43&lt;=500,"251-500","over-500")))))))</f>
        <v/>
      </c>
      <c r="AK43" s="30" t="str">
        <f aca="false">IF($A43="","",IF($N43="","not on in_signed_offices: paste the outreach file",IF($Q43="","no Tuesday headcount",IF($Q43&lt;30,"below the hard floor of 30",IF($Q43&lt;40,"30 to 39: founder's call",IF($Q43&gt;250,"over 250: outside the plan","OK"))))))</f>
        <v/>
      </c>
      <c r="AL43" s="30" t="str">
        <f aca="false">IF(OR($A43="",$Q43=""),"",MIN(config!$B$16,MAX(config!$B$15,MROUND(config!$B$13+config!$B$14*$Q43,config!$B$17))))</f>
        <v/>
      </c>
      <c r="AM43" s="30" t="str">
        <f aca="true">IF($A43="","",COUNTIFS(stops!$B$2:$B$151,$A43,stops!$P$2:$P$151,"&lt;="&amp;IF(config!$B$37&lt;&gt;"",config!$B$37,TODAY())))</f>
        <v/>
      </c>
      <c r="AN43" s="30" t="str">
        <f aca="false">IF($A43="","",COUNTIFS(stops!$B$2:$B$151,$A43,stops!$L$2:$L$151,"declined"))</f>
        <v/>
      </c>
    </row>
    <row r="44" customFormat="false" ht="15" hidden="false" customHeight="false" outlineLevel="0" collapsed="false">
      <c r="C44" s="36"/>
      <c r="D44" s="36"/>
      <c r="G44" s="10"/>
      <c r="I44" s="10"/>
      <c r="J44" s="11"/>
      <c r="K44" s="10"/>
      <c r="L44" s="11"/>
      <c r="N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O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P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Q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R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S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T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U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V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W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X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Y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Z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A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B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C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D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E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F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G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H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I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W44="Y",$S44,""))))</f>
        <v/>
      </c>
      <c r="AJ44" s="30" t="str">
        <f aca="false">IF($A44="","",IF($Q44="","unknown",IF($Q44&lt;40,"under-40",IF($Q44&lt;=75,"40-75",IF($Q44&lt;=150,"76-150",IF($Q44&lt;=250,"151-250",IF($Q44&lt;=500,"251-500","over-500")))))))</f>
        <v/>
      </c>
      <c r="AK44" s="30" t="str">
        <f aca="false">IF($A44="","",IF($N44="","not on in_signed_offices: paste the outreach file",IF($Q44="","no Tuesday headcount",IF($Q44&lt;30,"below the hard floor of 30",IF($Q44&lt;40,"30 to 39: founder's call",IF($Q44&gt;250,"over 250: outside the plan","OK"))))))</f>
        <v/>
      </c>
      <c r="AL44" s="30" t="str">
        <f aca="false">IF(OR($A44="",$Q44=""),"",MIN(config!$B$16,MAX(config!$B$15,MROUND(config!$B$13+config!$B$14*$Q44,config!$B$17))))</f>
        <v/>
      </c>
      <c r="AM44" s="30" t="str">
        <f aca="true">IF($A44="","",COUNTIFS(stops!$B$2:$B$151,$A44,stops!$P$2:$P$151,"&lt;="&amp;IF(config!$B$37&lt;&gt;"",config!$B$37,TODAY())))</f>
        <v/>
      </c>
      <c r="AN44" s="30" t="str">
        <f aca="false">IF($A44="","",COUNTIFS(stops!$B$2:$B$151,$A44,stops!$L$2:$L$151,"declined"))</f>
        <v/>
      </c>
    </row>
    <row r="45" customFormat="false" ht="15" hidden="false" customHeight="false" outlineLevel="0" collapsed="false">
      <c r="C45" s="36"/>
      <c r="D45" s="36"/>
      <c r="G45" s="10"/>
      <c r="I45" s="10"/>
      <c r="J45" s="11"/>
      <c r="K45" s="10"/>
      <c r="L45" s="11"/>
      <c r="N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O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P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Q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R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S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T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U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V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W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X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Y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Z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A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B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C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D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E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F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G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H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I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W45="Y",$S45,""))))</f>
        <v/>
      </c>
      <c r="AJ45" s="30" t="str">
        <f aca="false">IF($A45="","",IF($Q45="","unknown",IF($Q45&lt;40,"under-40",IF($Q45&lt;=75,"40-75",IF($Q45&lt;=150,"76-150",IF($Q45&lt;=250,"151-250",IF($Q45&lt;=500,"251-500","over-500")))))))</f>
        <v/>
      </c>
      <c r="AK45" s="30" t="str">
        <f aca="false">IF($A45="","",IF($N45="","not on in_signed_offices: paste the outreach file",IF($Q45="","no Tuesday headcount",IF($Q45&lt;30,"below the hard floor of 30",IF($Q45&lt;40,"30 to 39: founder's call",IF($Q45&gt;250,"over 250: outside the plan","OK"))))))</f>
        <v/>
      </c>
      <c r="AL45" s="30" t="str">
        <f aca="false">IF(OR($A45="",$Q45=""),"",MIN(config!$B$16,MAX(config!$B$15,MROUND(config!$B$13+config!$B$14*$Q45,config!$B$17))))</f>
        <v/>
      </c>
      <c r="AM45" s="30" t="str">
        <f aca="true">IF($A45="","",COUNTIFS(stops!$B$2:$B$151,$A45,stops!$P$2:$P$151,"&lt;="&amp;IF(config!$B$37&lt;&gt;"",config!$B$37,TODAY())))</f>
        <v/>
      </c>
      <c r="AN45" s="30" t="str">
        <f aca="false">IF($A45="","",COUNTIFS(stops!$B$2:$B$151,$A45,stops!$L$2:$L$151,"declined"))</f>
        <v/>
      </c>
    </row>
    <row r="46" customFormat="false" ht="15" hidden="false" customHeight="false" outlineLevel="0" collapsed="false">
      <c r="C46" s="36"/>
      <c r="D46" s="36"/>
      <c r="G46" s="10"/>
      <c r="I46" s="10"/>
      <c r="J46" s="11"/>
      <c r="K46" s="10"/>
      <c r="L46" s="11"/>
      <c r="N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O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P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Q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R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S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T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U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V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W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X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Y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Z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A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B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C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D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E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F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G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H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I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W46="Y",$S46,""))))</f>
        <v/>
      </c>
      <c r="AJ46" s="30" t="str">
        <f aca="false">IF($A46="","",IF($Q46="","unknown",IF($Q46&lt;40,"under-40",IF($Q46&lt;=75,"40-75",IF($Q46&lt;=150,"76-150",IF($Q46&lt;=250,"151-250",IF($Q46&lt;=500,"251-500","over-500")))))))</f>
        <v/>
      </c>
      <c r="AK46" s="30" t="str">
        <f aca="false">IF($A46="","",IF($N46="","not on in_signed_offices: paste the outreach file",IF($Q46="","no Tuesday headcount",IF($Q46&lt;30,"below the hard floor of 30",IF($Q46&lt;40,"30 to 39: founder's call",IF($Q46&gt;250,"over 250: outside the plan","OK"))))))</f>
        <v/>
      </c>
      <c r="AL46" s="30" t="str">
        <f aca="false">IF(OR($A46="",$Q46=""),"",MIN(config!$B$16,MAX(config!$B$15,MROUND(config!$B$13+config!$B$14*$Q46,config!$B$17))))</f>
        <v/>
      </c>
      <c r="AM46" s="30" t="str">
        <f aca="true">IF($A46="","",COUNTIFS(stops!$B$2:$B$151,$A46,stops!$P$2:$P$151,"&lt;="&amp;IF(config!$B$37&lt;&gt;"",config!$B$37,TODAY())))</f>
        <v/>
      </c>
      <c r="AN46" s="30" t="str">
        <f aca="false">IF($A46="","",COUNTIFS(stops!$B$2:$B$151,$A46,stops!$L$2:$L$151,"declined"))</f>
        <v/>
      </c>
    </row>
    <row r="47" customFormat="false" ht="15" hidden="false" customHeight="false" outlineLevel="0" collapsed="false">
      <c r="C47" s="36"/>
      <c r="D47" s="36"/>
      <c r="G47" s="10"/>
      <c r="I47" s="10"/>
      <c r="J47" s="11"/>
      <c r="K47" s="10"/>
      <c r="L47" s="11"/>
      <c r="N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O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P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Q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R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S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T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U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V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W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X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Y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Z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A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B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C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D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E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F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G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H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I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W47="Y",$S47,""))))</f>
        <v/>
      </c>
      <c r="AJ47" s="30" t="str">
        <f aca="false">IF($A47="","",IF($Q47="","unknown",IF($Q47&lt;40,"under-40",IF($Q47&lt;=75,"40-75",IF($Q47&lt;=150,"76-150",IF($Q47&lt;=250,"151-250",IF($Q47&lt;=500,"251-500","over-500")))))))</f>
        <v/>
      </c>
      <c r="AK47" s="30" t="str">
        <f aca="false">IF($A47="","",IF($N47="","not on in_signed_offices: paste the outreach file",IF($Q47="","no Tuesday headcount",IF($Q47&lt;30,"below the hard floor of 30",IF($Q47&lt;40,"30 to 39: founder's call",IF($Q47&gt;250,"over 250: outside the plan","OK"))))))</f>
        <v/>
      </c>
      <c r="AL47" s="30" t="str">
        <f aca="false">IF(OR($A47="",$Q47=""),"",MIN(config!$B$16,MAX(config!$B$15,MROUND(config!$B$13+config!$B$14*$Q47,config!$B$17))))</f>
        <v/>
      </c>
      <c r="AM47" s="30" t="str">
        <f aca="true">IF($A47="","",COUNTIFS(stops!$B$2:$B$151,$A47,stops!$P$2:$P$151,"&lt;="&amp;IF(config!$B$37&lt;&gt;"",config!$B$37,TODAY())))</f>
        <v/>
      </c>
      <c r="AN47" s="30" t="str">
        <f aca="false">IF($A47="","",COUNTIFS(stops!$B$2:$B$151,$A47,stops!$L$2:$L$151,"declined"))</f>
        <v/>
      </c>
    </row>
    <row r="48" customFormat="false" ht="15" hidden="false" customHeight="false" outlineLevel="0" collapsed="false">
      <c r="C48" s="36"/>
      <c r="D48" s="36"/>
      <c r="G48" s="10"/>
      <c r="I48" s="10"/>
      <c r="J48" s="11"/>
      <c r="K48" s="10"/>
      <c r="L48" s="11"/>
      <c r="N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O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P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Q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R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S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T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U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V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W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X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Y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Z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A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B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C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D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E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F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G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H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I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W48="Y",$S48,""))))</f>
        <v/>
      </c>
      <c r="AJ48" s="30" t="str">
        <f aca="false">IF($A48="","",IF($Q48="","unknown",IF($Q48&lt;40,"under-40",IF($Q48&lt;=75,"40-75",IF($Q48&lt;=150,"76-150",IF($Q48&lt;=250,"151-250",IF($Q48&lt;=500,"251-500","over-500")))))))</f>
        <v/>
      </c>
      <c r="AK48" s="30" t="str">
        <f aca="false">IF($A48="","",IF($N48="","not on in_signed_offices: paste the outreach file",IF($Q48="","no Tuesday headcount",IF($Q48&lt;30,"below the hard floor of 30",IF($Q48&lt;40,"30 to 39: founder's call",IF($Q48&gt;250,"over 250: outside the plan","OK"))))))</f>
        <v/>
      </c>
      <c r="AL48" s="30" t="str">
        <f aca="false">IF(OR($A48="",$Q48=""),"",MIN(config!$B$16,MAX(config!$B$15,MROUND(config!$B$13+config!$B$14*$Q48,config!$B$17))))</f>
        <v/>
      </c>
      <c r="AM48" s="30" t="str">
        <f aca="true">IF($A48="","",COUNTIFS(stops!$B$2:$B$151,$A48,stops!$P$2:$P$151,"&lt;="&amp;IF(config!$B$37&lt;&gt;"",config!$B$37,TODAY())))</f>
        <v/>
      </c>
      <c r="AN48" s="30" t="str">
        <f aca="false">IF($A48="","",COUNTIFS(stops!$B$2:$B$151,$A48,stops!$L$2:$L$151,"declined"))</f>
        <v/>
      </c>
    </row>
    <row r="49" customFormat="false" ht="15" hidden="false" customHeight="false" outlineLevel="0" collapsed="false">
      <c r="C49" s="36"/>
      <c r="D49" s="36"/>
      <c r="G49" s="10"/>
      <c r="I49" s="10"/>
      <c r="J49" s="11"/>
      <c r="K49" s="10"/>
      <c r="L49" s="11"/>
      <c r="N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O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P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Q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R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S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T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U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V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W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X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Y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Z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A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B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C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D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E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F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G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H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I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W49="Y",$S49,""))))</f>
        <v/>
      </c>
      <c r="AJ49" s="30" t="str">
        <f aca="false">IF($A49="","",IF($Q49="","unknown",IF($Q49&lt;40,"under-40",IF($Q49&lt;=75,"40-75",IF($Q49&lt;=150,"76-150",IF($Q49&lt;=250,"151-250",IF($Q49&lt;=500,"251-500","over-500")))))))</f>
        <v/>
      </c>
      <c r="AK49" s="30" t="str">
        <f aca="false">IF($A49="","",IF($N49="","not on in_signed_offices: paste the outreach file",IF($Q49="","no Tuesday headcount",IF($Q49&lt;30,"below the hard floor of 30",IF($Q49&lt;40,"30 to 39: founder's call",IF($Q49&gt;250,"over 250: outside the plan","OK"))))))</f>
        <v/>
      </c>
      <c r="AL49" s="30" t="str">
        <f aca="false">IF(OR($A49="",$Q49=""),"",MIN(config!$B$16,MAX(config!$B$15,MROUND(config!$B$13+config!$B$14*$Q49,config!$B$17))))</f>
        <v/>
      </c>
      <c r="AM49" s="30" t="str">
        <f aca="true">IF($A49="","",COUNTIFS(stops!$B$2:$B$151,$A49,stops!$P$2:$P$151,"&lt;="&amp;IF(config!$B$37&lt;&gt;"",config!$B$37,TODAY())))</f>
        <v/>
      </c>
      <c r="AN49" s="30" t="str">
        <f aca="false">IF($A49="","",COUNTIFS(stops!$B$2:$B$151,$A49,stops!$L$2:$L$151,"declined"))</f>
        <v/>
      </c>
    </row>
    <row r="50" customFormat="false" ht="15" hidden="false" customHeight="false" outlineLevel="0" collapsed="false">
      <c r="C50" s="36"/>
      <c r="D50" s="36"/>
      <c r="G50" s="10"/>
      <c r="I50" s="10"/>
      <c r="J50" s="11"/>
      <c r="K50" s="10"/>
      <c r="L50" s="11"/>
      <c r="N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O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P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Q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R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S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T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U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V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W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X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Y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Z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A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B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C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D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E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F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G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H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I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W50="Y",$S50,""))))</f>
        <v/>
      </c>
      <c r="AJ50" s="30" t="str">
        <f aca="false">IF($A50="","",IF($Q50="","unknown",IF($Q50&lt;40,"under-40",IF($Q50&lt;=75,"40-75",IF($Q50&lt;=150,"76-150",IF($Q50&lt;=250,"151-250",IF($Q50&lt;=500,"251-500","over-500")))))))</f>
        <v/>
      </c>
      <c r="AK50" s="30" t="str">
        <f aca="false">IF($A50="","",IF($N50="","not on in_signed_offices: paste the outreach file",IF($Q50="","no Tuesday headcount",IF($Q50&lt;30,"below the hard floor of 30",IF($Q50&lt;40,"30 to 39: founder's call",IF($Q50&gt;250,"over 250: outside the plan","OK"))))))</f>
        <v/>
      </c>
      <c r="AL50" s="30" t="str">
        <f aca="false">IF(OR($A50="",$Q50=""),"",MIN(config!$B$16,MAX(config!$B$15,MROUND(config!$B$13+config!$B$14*$Q50,config!$B$17))))</f>
        <v/>
      </c>
      <c r="AM50" s="30" t="str">
        <f aca="true">IF($A50="","",COUNTIFS(stops!$B$2:$B$151,$A50,stops!$P$2:$P$151,"&lt;="&amp;IF(config!$B$37&lt;&gt;"",config!$B$37,TODAY())))</f>
        <v/>
      </c>
      <c r="AN50" s="30" t="str">
        <f aca="false">IF($A50="","",COUNTIFS(stops!$B$2:$B$151,$A50,stops!$L$2:$L$151,"declined"))</f>
        <v/>
      </c>
    </row>
    <row r="51" customFormat="false" ht="15" hidden="false" customHeight="false" outlineLevel="0" collapsed="false">
      <c r="C51" s="36"/>
      <c r="D51" s="36"/>
      <c r="G51" s="10"/>
      <c r="I51" s="10"/>
      <c r="J51" s="11"/>
      <c r="K51" s="10"/>
      <c r="L51" s="11"/>
      <c r="N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O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P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Q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R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S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T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U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V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W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X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Y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Z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A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B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C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D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E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F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G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H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I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W51="Y",$S51,""))))</f>
        <v/>
      </c>
      <c r="AJ51" s="30" t="str">
        <f aca="false">IF($A51="","",IF($Q51="","unknown",IF($Q51&lt;40,"under-40",IF($Q51&lt;=75,"40-75",IF($Q51&lt;=150,"76-150",IF($Q51&lt;=250,"151-250",IF($Q51&lt;=500,"251-500","over-500")))))))</f>
        <v/>
      </c>
      <c r="AK51" s="30" t="str">
        <f aca="false">IF($A51="","",IF($N51="","not on in_signed_offices: paste the outreach file",IF($Q51="","no Tuesday headcount",IF($Q51&lt;30,"below the hard floor of 30",IF($Q51&lt;40,"30 to 39: founder's call",IF($Q51&gt;250,"over 250: outside the plan","OK"))))))</f>
        <v/>
      </c>
      <c r="AL51" s="30" t="str">
        <f aca="false">IF(OR($A51="",$Q51=""),"",MIN(config!$B$16,MAX(config!$B$15,MROUND(config!$B$13+config!$B$14*$Q51,config!$B$17))))</f>
        <v/>
      </c>
      <c r="AM51" s="30" t="str">
        <f aca="true">IF($A51="","",COUNTIFS(stops!$B$2:$B$151,$A51,stops!$P$2:$P$151,"&lt;="&amp;IF(config!$B$37&lt;&gt;"",config!$B$37,TODAY())))</f>
        <v/>
      </c>
      <c r="AN51" s="30" t="str">
        <f aca="false">IF($A51="","",COUNTIFS(stops!$B$2:$B$151,$A51,stops!$L$2:$L$151,"declined"))</f>
        <v/>
      </c>
    </row>
    <row r="52" customFormat="false" ht="15" hidden="false" customHeight="false" outlineLevel="0" collapsed="false">
      <c r="C52" s="36"/>
      <c r="D52" s="36"/>
      <c r="G52" s="10"/>
      <c r="I52" s="10"/>
      <c r="J52" s="11"/>
      <c r="K52" s="10"/>
      <c r="L52" s="11"/>
      <c r="N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O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P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Q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R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S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T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U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V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W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X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Y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Z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A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B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C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D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E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F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G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H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I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W52="Y",$S52,""))))</f>
        <v/>
      </c>
      <c r="AJ52" s="30" t="str">
        <f aca="false">IF($A52="","",IF($Q52="","unknown",IF($Q52&lt;40,"under-40",IF($Q52&lt;=75,"40-75",IF($Q52&lt;=150,"76-150",IF($Q52&lt;=250,"151-250",IF($Q52&lt;=500,"251-500","over-500")))))))</f>
        <v/>
      </c>
      <c r="AK52" s="30" t="str">
        <f aca="false">IF($A52="","",IF($N52="","not on in_signed_offices: paste the outreach file",IF($Q52="","no Tuesday headcount",IF($Q52&lt;30,"below the hard floor of 30",IF($Q52&lt;40,"30 to 39: founder's call",IF($Q52&gt;250,"over 250: outside the plan","OK"))))))</f>
        <v/>
      </c>
      <c r="AL52" s="30" t="str">
        <f aca="false">IF(OR($A52="",$Q52=""),"",MIN(config!$B$16,MAX(config!$B$15,MROUND(config!$B$13+config!$B$14*$Q52,config!$B$17))))</f>
        <v/>
      </c>
      <c r="AM52" s="30" t="str">
        <f aca="true">IF($A52="","",COUNTIFS(stops!$B$2:$B$151,$A52,stops!$P$2:$P$151,"&lt;="&amp;IF(config!$B$37&lt;&gt;"",config!$B$37,TODAY())))</f>
        <v/>
      </c>
      <c r="AN52" s="30" t="str">
        <f aca="false">IF($A52="","",COUNTIFS(stops!$B$2:$B$151,$A52,stops!$L$2:$L$151,"declined"))</f>
        <v/>
      </c>
    </row>
    <row r="53" customFormat="false" ht="15" hidden="false" customHeight="false" outlineLevel="0" collapsed="false">
      <c r="C53" s="36"/>
      <c r="D53" s="36"/>
      <c r="G53" s="10"/>
      <c r="I53" s="10"/>
      <c r="J53" s="11"/>
      <c r="K53" s="10"/>
      <c r="L53" s="11"/>
      <c r="N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O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P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Q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R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S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T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U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V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W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X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Y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Z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A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B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C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D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E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F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G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H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I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W53="Y",$S53,""))))</f>
        <v/>
      </c>
      <c r="AJ53" s="30" t="str">
        <f aca="false">IF($A53="","",IF($Q53="","unknown",IF($Q53&lt;40,"under-40",IF($Q53&lt;=75,"40-75",IF($Q53&lt;=150,"76-150",IF($Q53&lt;=250,"151-250",IF($Q53&lt;=500,"251-500","over-500")))))))</f>
        <v/>
      </c>
      <c r="AK53" s="30" t="str">
        <f aca="false">IF($A53="","",IF($N53="","not on in_signed_offices: paste the outreach file",IF($Q53="","no Tuesday headcount",IF($Q53&lt;30,"below the hard floor of 30",IF($Q53&lt;40,"30 to 39: founder's call",IF($Q53&gt;250,"over 250: outside the plan","OK"))))))</f>
        <v/>
      </c>
      <c r="AL53" s="30" t="str">
        <f aca="false">IF(OR($A53="",$Q53=""),"",MIN(config!$B$16,MAX(config!$B$15,MROUND(config!$B$13+config!$B$14*$Q53,config!$B$17))))</f>
        <v/>
      </c>
      <c r="AM53" s="30" t="str">
        <f aca="true">IF($A53="","",COUNTIFS(stops!$B$2:$B$151,$A53,stops!$P$2:$P$151,"&lt;="&amp;IF(config!$B$37&lt;&gt;"",config!$B$37,TODAY())))</f>
        <v/>
      </c>
      <c r="AN53" s="30" t="str">
        <f aca="false">IF($A53="","",COUNTIFS(stops!$B$2:$B$151,$A53,stops!$L$2:$L$151,"declined"))</f>
        <v/>
      </c>
    </row>
    <row r="54" customFormat="false" ht="15" hidden="false" customHeight="false" outlineLevel="0" collapsed="false">
      <c r="C54" s="36"/>
      <c r="D54" s="36"/>
      <c r="G54" s="10"/>
      <c r="I54" s="10"/>
      <c r="J54" s="11"/>
      <c r="K54" s="10"/>
      <c r="L54" s="11"/>
      <c r="N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O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P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Q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R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S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T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U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V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W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X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Y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Z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A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B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C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D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E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F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G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H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I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W54="Y",$S54,""))))</f>
        <v/>
      </c>
      <c r="AJ54" s="30" t="str">
        <f aca="false">IF($A54="","",IF($Q54="","unknown",IF($Q54&lt;40,"under-40",IF($Q54&lt;=75,"40-75",IF($Q54&lt;=150,"76-150",IF($Q54&lt;=250,"151-250",IF($Q54&lt;=500,"251-500","over-500")))))))</f>
        <v/>
      </c>
      <c r="AK54" s="30" t="str">
        <f aca="false">IF($A54="","",IF($N54="","not on in_signed_offices: paste the outreach file",IF($Q54="","no Tuesday headcount",IF($Q54&lt;30,"below the hard floor of 30",IF($Q54&lt;40,"30 to 39: founder's call",IF($Q54&gt;250,"over 250: outside the plan","OK"))))))</f>
        <v/>
      </c>
      <c r="AL54" s="30" t="str">
        <f aca="false">IF(OR($A54="",$Q54=""),"",MIN(config!$B$16,MAX(config!$B$15,MROUND(config!$B$13+config!$B$14*$Q54,config!$B$17))))</f>
        <v/>
      </c>
      <c r="AM54" s="30" t="str">
        <f aca="true">IF($A54="","",COUNTIFS(stops!$B$2:$B$151,$A54,stops!$P$2:$P$151,"&lt;="&amp;IF(config!$B$37&lt;&gt;"",config!$B$37,TODAY())))</f>
        <v/>
      </c>
      <c r="AN54" s="30" t="str">
        <f aca="false">IF($A54="","",COUNTIFS(stops!$B$2:$B$151,$A54,stops!$L$2:$L$151,"declined"))</f>
        <v/>
      </c>
    </row>
    <row r="55" customFormat="false" ht="15" hidden="false" customHeight="false" outlineLevel="0" collapsed="false">
      <c r="C55" s="36"/>
      <c r="D55" s="36"/>
      <c r="G55" s="10"/>
      <c r="I55" s="10"/>
      <c r="J55" s="11"/>
      <c r="K55" s="10"/>
      <c r="L55" s="11"/>
      <c r="N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O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P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Q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R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S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T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U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V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W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X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Y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Z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A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B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C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D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E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F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G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H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I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W55="Y",$S55,""))))</f>
        <v/>
      </c>
      <c r="AJ55" s="30" t="str">
        <f aca="false">IF($A55="","",IF($Q55="","unknown",IF($Q55&lt;40,"under-40",IF($Q55&lt;=75,"40-75",IF($Q55&lt;=150,"76-150",IF($Q55&lt;=250,"151-250",IF($Q55&lt;=500,"251-500","over-500")))))))</f>
        <v/>
      </c>
      <c r="AK55" s="30" t="str">
        <f aca="false">IF($A55="","",IF($N55="","not on in_signed_offices: paste the outreach file",IF($Q55="","no Tuesday headcount",IF($Q55&lt;30,"below the hard floor of 30",IF($Q55&lt;40,"30 to 39: founder's call",IF($Q55&gt;250,"over 250: outside the plan","OK"))))))</f>
        <v/>
      </c>
      <c r="AL55" s="30" t="str">
        <f aca="false">IF(OR($A55="",$Q55=""),"",MIN(config!$B$16,MAX(config!$B$15,MROUND(config!$B$13+config!$B$14*$Q55,config!$B$17))))</f>
        <v/>
      </c>
      <c r="AM55" s="30" t="str">
        <f aca="true">IF($A55="","",COUNTIFS(stops!$B$2:$B$151,$A55,stops!$P$2:$P$151,"&lt;="&amp;IF(config!$B$37&lt;&gt;"",config!$B$37,TODAY())))</f>
        <v/>
      </c>
      <c r="AN55" s="30" t="str">
        <f aca="false">IF($A55="","",COUNTIFS(stops!$B$2:$B$151,$A55,stops!$L$2:$L$151,"declined"))</f>
        <v/>
      </c>
    </row>
    <row r="56" customFormat="false" ht="15" hidden="false" customHeight="false" outlineLevel="0" collapsed="false">
      <c r="C56" s="36"/>
      <c r="D56" s="36"/>
      <c r="G56" s="10"/>
      <c r="I56" s="10"/>
      <c r="J56" s="11"/>
      <c r="K56" s="10"/>
      <c r="L56" s="11"/>
      <c r="N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O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P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Q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R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S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T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U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V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W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X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Y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Z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A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B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C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D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E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F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G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H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I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W56="Y",$S56,""))))</f>
        <v/>
      </c>
      <c r="AJ56" s="30" t="str">
        <f aca="false">IF($A56="","",IF($Q56="","unknown",IF($Q56&lt;40,"under-40",IF($Q56&lt;=75,"40-75",IF($Q56&lt;=150,"76-150",IF($Q56&lt;=250,"151-250",IF($Q56&lt;=500,"251-500","over-500")))))))</f>
        <v/>
      </c>
      <c r="AK56" s="30" t="str">
        <f aca="false">IF($A56="","",IF($N56="","not on in_signed_offices: paste the outreach file",IF($Q56="","no Tuesday headcount",IF($Q56&lt;30,"below the hard floor of 30",IF($Q56&lt;40,"30 to 39: founder's call",IF($Q56&gt;250,"over 250: outside the plan","OK"))))))</f>
        <v/>
      </c>
      <c r="AL56" s="30" t="str">
        <f aca="false">IF(OR($A56="",$Q56=""),"",MIN(config!$B$16,MAX(config!$B$15,MROUND(config!$B$13+config!$B$14*$Q56,config!$B$17))))</f>
        <v/>
      </c>
      <c r="AM56" s="30" t="str">
        <f aca="true">IF($A56="","",COUNTIFS(stops!$B$2:$B$151,$A56,stops!$P$2:$P$151,"&lt;="&amp;IF(config!$B$37&lt;&gt;"",config!$B$37,TODAY())))</f>
        <v/>
      </c>
      <c r="AN56" s="30" t="str">
        <f aca="false">IF($A56="","",COUNTIFS(stops!$B$2:$B$151,$A56,stops!$L$2:$L$151,"declined"))</f>
        <v/>
      </c>
    </row>
    <row r="57" customFormat="false" ht="15" hidden="false" customHeight="false" outlineLevel="0" collapsed="false">
      <c r="C57" s="36"/>
      <c r="D57" s="36"/>
      <c r="G57" s="10"/>
      <c r="I57" s="10"/>
      <c r="J57" s="11"/>
      <c r="K57" s="10"/>
      <c r="L57" s="11"/>
      <c r="N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O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P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Q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R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S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T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U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V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W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X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Y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Z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A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B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C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D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E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F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G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H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I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W57="Y",$S57,""))))</f>
        <v/>
      </c>
      <c r="AJ57" s="30" t="str">
        <f aca="false">IF($A57="","",IF($Q57="","unknown",IF($Q57&lt;40,"under-40",IF($Q57&lt;=75,"40-75",IF($Q57&lt;=150,"76-150",IF($Q57&lt;=250,"151-250",IF($Q57&lt;=500,"251-500","over-500")))))))</f>
        <v/>
      </c>
      <c r="AK57" s="30" t="str">
        <f aca="false">IF($A57="","",IF($N57="","not on in_signed_offices: paste the outreach file",IF($Q57="","no Tuesday headcount",IF($Q57&lt;30,"below the hard floor of 30",IF($Q57&lt;40,"30 to 39: founder's call",IF($Q57&gt;250,"over 250: outside the plan","OK"))))))</f>
        <v/>
      </c>
      <c r="AL57" s="30" t="str">
        <f aca="false">IF(OR($A57="",$Q57=""),"",MIN(config!$B$16,MAX(config!$B$15,MROUND(config!$B$13+config!$B$14*$Q57,config!$B$17))))</f>
        <v/>
      </c>
      <c r="AM57" s="30" t="str">
        <f aca="true">IF($A57="","",COUNTIFS(stops!$B$2:$B$151,$A57,stops!$P$2:$P$151,"&lt;="&amp;IF(config!$B$37&lt;&gt;"",config!$B$37,TODAY())))</f>
        <v/>
      </c>
      <c r="AN57" s="30" t="str">
        <f aca="false">IF($A57="","",COUNTIFS(stops!$B$2:$B$151,$A57,stops!$L$2:$L$151,"declined"))</f>
        <v/>
      </c>
    </row>
    <row r="58" customFormat="false" ht="15" hidden="false" customHeight="false" outlineLevel="0" collapsed="false">
      <c r="C58" s="36"/>
      <c r="D58" s="36"/>
      <c r="G58" s="10"/>
      <c r="I58" s="10"/>
      <c r="J58" s="11"/>
      <c r="K58" s="10"/>
      <c r="L58" s="11"/>
      <c r="N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O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P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Q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R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S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T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U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V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W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X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Y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Z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A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B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C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D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E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F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G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H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I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W58="Y",$S58,""))))</f>
        <v/>
      </c>
      <c r="AJ58" s="30" t="str">
        <f aca="false">IF($A58="","",IF($Q58="","unknown",IF($Q58&lt;40,"under-40",IF($Q58&lt;=75,"40-75",IF($Q58&lt;=150,"76-150",IF($Q58&lt;=250,"151-250",IF($Q58&lt;=500,"251-500","over-500")))))))</f>
        <v/>
      </c>
      <c r="AK58" s="30" t="str">
        <f aca="false">IF($A58="","",IF($N58="","not on in_signed_offices: paste the outreach file",IF($Q58="","no Tuesday headcount",IF($Q58&lt;30,"below the hard floor of 30",IF($Q58&lt;40,"30 to 39: founder's call",IF($Q58&gt;250,"over 250: outside the plan","OK"))))))</f>
        <v/>
      </c>
      <c r="AL58" s="30" t="str">
        <f aca="false">IF(OR($A58="",$Q58=""),"",MIN(config!$B$16,MAX(config!$B$15,MROUND(config!$B$13+config!$B$14*$Q58,config!$B$17))))</f>
        <v/>
      </c>
      <c r="AM58" s="30" t="str">
        <f aca="true">IF($A58="","",COUNTIFS(stops!$B$2:$B$151,$A58,stops!$P$2:$P$151,"&lt;="&amp;IF(config!$B$37&lt;&gt;"",config!$B$37,TODAY())))</f>
        <v/>
      </c>
      <c r="AN58" s="30" t="str">
        <f aca="false">IF($A58="","",COUNTIFS(stops!$B$2:$B$151,$A58,stops!$L$2:$L$151,"declined"))</f>
        <v/>
      </c>
    </row>
    <row r="59" customFormat="false" ht="15" hidden="false" customHeight="false" outlineLevel="0" collapsed="false">
      <c r="C59" s="36"/>
      <c r="D59" s="36"/>
      <c r="G59" s="10"/>
      <c r="I59" s="10"/>
      <c r="J59" s="11"/>
      <c r="K59" s="10"/>
      <c r="L59" s="11"/>
      <c r="N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O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P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Q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R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S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T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U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V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W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X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Y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Z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A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B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C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D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E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F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G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H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I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W59="Y",$S59,""))))</f>
        <v/>
      </c>
      <c r="AJ59" s="30" t="str">
        <f aca="false">IF($A59="","",IF($Q59="","unknown",IF($Q59&lt;40,"under-40",IF($Q59&lt;=75,"40-75",IF($Q59&lt;=150,"76-150",IF($Q59&lt;=250,"151-250",IF($Q59&lt;=500,"251-500","over-500")))))))</f>
        <v/>
      </c>
      <c r="AK59" s="30" t="str">
        <f aca="false">IF($A59="","",IF($N59="","not on in_signed_offices: paste the outreach file",IF($Q59="","no Tuesday headcount",IF($Q59&lt;30,"below the hard floor of 30",IF($Q59&lt;40,"30 to 39: founder's call",IF($Q59&gt;250,"over 250: outside the plan","OK"))))))</f>
        <v/>
      </c>
      <c r="AL59" s="30" t="str">
        <f aca="false">IF(OR($A59="",$Q59=""),"",MIN(config!$B$16,MAX(config!$B$15,MROUND(config!$B$13+config!$B$14*$Q59,config!$B$17))))</f>
        <v/>
      </c>
      <c r="AM59" s="30" t="str">
        <f aca="true">IF($A59="","",COUNTIFS(stops!$B$2:$B$151,$A59,stops!$P$2:$P$151,"&lt;="&amp;IF(config!$B$37&lt;&gt;"",config!$B$37,TODAY())))</f>
        <v/>
      </c>
      <c r="AN59" s="30" t="str">
        <f aca="false">IF($A59="","",COUNTIFS(stops!$B$2:$B$151,$A59,stops!$L$2:$L$151,"declined"))</f>
        <v/>
      </c>
    </row>
    <row r="60" customFormat="false" ht="15" hidden="false" customHeight="false" outlineLevel="0" collapsed="false">
      <c r="C60" s="36"/>
      <c r="D60" s="36"/>
      <c r="G60" s="10"/>
      <c r="I60" s="10"/>
      <c r="J60" s="11"/>
      <c r="K60" s="10"/>
      <c r="L60" s="11"/>
      <c r="N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O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P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Q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R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S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T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U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V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W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X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Y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Z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A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B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C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D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E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F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G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H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I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W60="Y",$S60,""))))</f>
        <v/>
      </c>
      <c r="AJ60" s="30" t="str">
        <f aca="false">IF($A60="","",IF($Q60="","unknown",IF($Q60&lt;40,"under-40",IF($Q60&lt;=75,"40-75",IF($Q60&lt;=150,"76-150",IF($Q60&lt;=250,"151-250",IF($Q60&lt;=500,"251-500","over-500")))))))</f>
        <v/>
      </c>
      <c r="AK60" s="30" t="str">
        <f aca="false">IF($A60="","",IF($N60="","not on in_signed_offices: paste the outreach file",IF($Q60="","no Tuesday headcount",IF($Q60&lt;30,"below the hard floor of 30",IF($Q60&lt;40,"30 to 39: founder's call",IF($Q60&gt;250,"over 250: outside the plan","OK"))))))</f>
        <v/>
      </c>
      <c r="AL60" s="30" t="str">
        <f aca="false">IF(OR($A60="",$Q60=""),"",MIN(config!$B$16,MAX(config!$B$15,MROUND(config!$B$13+config!$B$14*$Q60,config!$B$17))))</f>
        <v/>
      </c>
      <c r="AM60" s="30" t="str">
        <f aca="true">IF($A60="","",COUNTIFS(stops!$B$2:$B$151,$A60,stops!$P$2:$P$151,"&lt;="&amp;IF(config!$B$37&lt;&gt;"",config!$B$37,TODAY())))</f>
        <v/>
      </c>
      <c r="AN60" s="30" t="str">
        <f aca="false">IF($A60="","",COUNTIFS(stops!$B$2:$B$151,$A60,stops!$L$2:$L$151,"declined"))</f>
        <v/>
      </c>
    </row>
    <row r="61" customFormat="false" ht="15" hidden="false" customHeight="false" outlineLevel="0" collapsed="false">
      <c r="C61" s="36"/>
      <c r="D61" s="36"/>
      <c r="G61" s="10"/>
      <c r="I61" s="10"/>
      <c r="J61" s="11"/>
      <c r="K61" s="10"/>
      <c r="L61" s="11"/>
      <c r="N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O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P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Q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R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S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T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U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V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W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X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Y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Z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A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B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C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D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E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F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G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H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I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W61="Y",$S61,""))))</f>
        <v/>
      </c>
      <c r="AJ61" s="30" t="str">
        <f aca="false">IF($A61="","",IF($Q61="","unknown",IF($Q61&lt;40,"under-40",IF($Q61&lt;=75,"40-75",IF($Q61&lt;=150,"76-150",IF($Q61&lt;=250,"151-250",IF($Q61&lt;=500,"251-500","over-500")))))))</f>
        <v/>
      </c>
      <c r="AK61" s="30" t="str">
        <f aca="false">IF($A61="","",IF($N61="","not on in_signed_offices: paste the outreach file",IF($Q61="","no Tuesday headcount",IF($Q61&lt;30,"below the hard floor of 30",IF($Q61&lt;40,"30 to 39: founder's call",IF($Q61&gt;250,"over 250: outside the plan","OK"))))))</f>
        <v/>
      </c>
      <c r="AL61" s="30" t="str">
        <f aca="false">IF(OR($A61="",$Q61=""),"",MIN(config!$B$16,MAX(config!$B$15,MROUND(config!$B$13+config!$B$14*$Q61,config!$B$17))))</f>
        <v/>
      </c>
      <c r="AM61" s="30" t="str">
        <f aca="true">IF($A61="","",COUNTIFS(stops!$B$2:$B$151,$A61,stops!$P$2:$P$151,"&lt;="&amp;IF(config!$B$37&lt;&gt;"",config!$B$37,TODAY())))</f>
        <v/>
      </c>
      <c r="AN61" s="30" t="str">
        <f aca="false">IF($A61="","",COUNTIFS(stops!$B$2:$B$151,$A61,stops!$L$2:$L$151,"declined"))</f>
        <v/>
      </c>
    </row>
  </sheetData>
  <dataValidations count="3">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C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5" min="55" style="0" width="7"/>
  </cols>
  <sheetData>
    <row r="1" customFormat="false" ht="15" hidden="false" customHeight="false" outlineLevel="0" collapsed="false">
      <c r="A1" s="28" t="s">
        <v>346</v>
      </c>
      <c r="B1" s="28" t="s">
        <v>561</v>
      </c>
      <c r="C1" s="28" t="s">
        <v>616</v>
      </c>
      <c r="D1" s="28" t="s">
        <v>617</v>
      </c>
      <c r="E1" s="28" t="s">
        <v>618</v>
      </c>
      <c r="F1" s="28" t="s">
        <v>619</v>
      </c>
      <c r="G1" s="28" t="s">
        <v>620</v>
      </c>
      <c r="H1" s="29" t="s">
        <v>296</v>
      </c>
      <c r="I1" s="29" t="s">
        <v>297</v>
      </c>
      <c r="J1" s="29" t="s">
        <v>399</v>
      </c>
      <c r="K1" s="29" t="s">
        <v>136</v>
      </c>
      <c r="L1" s="29" t="s">
        <v>621</v>
      </c>
      <c r="M1" s="29" t="s">
        <v>622</v>
      </c>
      <c r="N1" s="29" t="s">
        <v>623</v>
      </c>
      <c r="O1" s="29" t="s">
        <v>624</v>
      </c>
      <c r="P1" s="29" t="s">
        <v>625</v>
      </c>
      <c r="Q1" s="29" t="s">
        <v>626</v>
      </c>
      <c r="R1" s="29" t="s">
        <v>627</v>
      </c>
      <c r="S1" s="29" t="s">
        <v>321</v>
      </c>
      <c r="T1" s="29" t="s">
        <v>628</v>
      </c>
      <c r="U1" s="29" t="s">
        <v>418</v>
      </c>
      <c r="V1" s="29" t="s">
        <v>629</v>
      </c>
      <c r="W1" s="29" t="s">
        <v>630</v>
      </c>
      <c r="X1" s="29" t="s">
        <v>631</v>
      </c>
      <c r="Y1" s="29" t="s">
        <v>632</v>
      </c>
      <c r="Z1" s="29" t="s">
        <v>633</v>
      </c>
      <c r="AA1" s="29" t="s">
        <v>419</v>
      </c>
      <c r="AB1" s="29" t="s">
        <v>634</v>
      </c>
      <c r="AC1" s="29" t="s">
        <v>635</v>
      </c>
      <c r="AD1" s="29" t="s">
        <v>422</v>
      </c>
      <c r="AE1" s="29" t="s">
        <v>636</v>
      </c>
      <c r="AF1" s="29" t="s">
        <v>637</v>
      </c>
      <c r="AG1" s="29" t="s">
        <v>423</v>
      </c>
      <c r="AH1" s="29" t="s">
        <v>638</v>
      </c>
      <c r="AI1" s="29" t="s">
        <v>639</v>
      </c>
      <c r="AJ1" s="29" t="s">
        <v>640</v>
      </c>
      <c r="AK1" s="29" t="s">
        <v>641</v>
      </c>
      <c r="AL1" s="29" t="s">
        <v>424</v>
      </c>
      <c r="AM1" s="29" t="s">
        <v>642</v>
      </c>
      <c r="AN1" s="29" t="s">
        <v>439</v>
      </c>
      <c r="AO1" s="29" t="s">
        <v>440</v>
      </c>
      <c r="AP1" s="29" t="s">
        <v>118</v>
      </c>
      <c r="AQ1" s="29" t="s">
        <v>428</v>
      </c>
      <c r="AR1" s="29" t="s">
        <v>429</v>
      </c>
      <c r="AS1" s="29" t="s">
        <v>430</v>
      </c>
      <c r="AT1" s="29" t="s">
        <v>643</v>
      </c>
      <c r="AU1" s="29" t="s">
        <v>644</v>
      </c>
      <c r="AV1" s="29" t="s">
        <v>645</v>
      </c>
      <c r="AW1" s="29" t="s">
        <v>646</v>
      </c>
      <c r="AX1" s="29" t="s">
        <v>647</v>
      </c>
      <c r="AY1" s="29" t="s">
        <v>145</v>
      </c>
      <c r="AZ1" s="29" t="s">
        <v>648</v>
      </c>
      <c r="BA1" s="29" t="s">
        <v>649</v>
      </c>
      <c r="BB1" s="29" t="s">
        <v>650</v>
      </c>
      <c r="BC1" s="29" t="s">
        <v>651</v>
      </c>
    </row>
    <row r="2" customFormat="false" ht="15" hidden="false" customHeight="false" outlineLevel="0" collapsed="false">
      <c r="A2" s="0" t="s">
        <v>459</v>
      </c>
      <c r="B2" s="0" t="s">
        <v>594</v>
      </c>
      <c r="C2" s="11" t="n">
        <v>46370</v>
      </c>
      <c r="D2" s="10" t="s">
        <v>652</v>
      </c>
      <c r="E2" s="11" t="n">
        <v>46372</v>
      </c>
      <c r="F2" s="10" t="s">
        <v>653</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IF($B2="","",IFERROR(IF(INDEX(offices!$N$2:$N$61,MATCH($B2,offices!$A$2:$A$61,0))="","",INDEX(offices!$N$2:$N$61,MATCH($B2,offices!$A$2:$A$61,0))),""))</f>
        <v>SAMPLE Northpoint Software</v>
      </c>
      <c r="L2" s="30" t="n">
        <f aca="false">IF($A2="","",IF($Q2="N","",COUNTIFS($A$2:$A2,$A2,$Q$2:$Q2,"&lt;&gt;N")))</f>
        <v>1</v>
      </c>
      <c r="M2" s="30" t="str">
        <f aca="false">IF(OR($A2="",$L2=""),"",IF(AND(config!$B$34="names_if_public",IFERROR(IF(INDEX(offices!$AF$2:$AF$61,MATCH($B2,offices!$A$2:$A$61,0))="","",INDEX(offices!$AF$2:$AF$61,MATCH($B2,offices!$A$2:$A$61,0))),"")="Y"),$K2,CHAR(64+$L2)))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C$2:$AC$61,MATCH($B2,offices!$A$2:$A$61,0))="","",INDEX(offices!$AC$2:$AC$61,MATCH($B2,offices!$A$2:$A$61,0))),"")&lt;&gt;"",ISNUMBER(SEARCH($J2,IFERROR(IF(INDEX(offices!$AC$2:$AC$61,MATCH($B2,offices!$A$2:$A$61,0))="","",INDEX(offices!$AC$2:$AC$61,MATCH($B2,offices!$A$2:$A$61,0))),"")))),"BRAND VETOED; ","")&amp;IF(ISNUMBER(SEARCH(IFERROR(IF(INDEX(campaigns!$BF$2:$BF$51,MATCH($A2,campaigns!$A$2:$A$51,0))="","",INDEX(campaigns!$BF$2:$BF$51,MATCH($A2,campaigns!$A$2:$A$51,0))),""),IFERROR(IF(INDEX(offices!$AB$2:$AB$61,MATCH($B2,offices!$A$2:$A$61,0))="","",INDEX(offices!$AB$2:$AB$61,MATCH($B2,offices!$A$2:$A$61,0))),""))),"","info: category not on the office's list; ")&amp;IF(IFERROR(IF(INDEX(offices!$AC$2:$AC$61,MATCH($B2,offices!$A$2:$A$61,0))="","",INDEX(offices!$AC$2:$AC$61,MATCH($B2,offices!$A$2:$A$61,0))),"")&lt;&gt;"","info: read the vetoes against the label; ",""))</f>
        <v/>
      </c>
      <c r="S2" s="30" t="n">
        <f aca="false">IF($A2="","",IF($G2&lt;&gt;"",$G2,IFERROR(IF(INDEX(offices!$AL$2:$AL$61,MATCH($B2,offices!$A$2:$A$61,0))="","",INDEX(offices!$AL$2:$AL$61,MATCH($B2,offices!$A$2:$A$61,0))),"")))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str">
        <f aca="false">IF($A2="","",IF(COUNTIFS(counts!$C$2:$C$701,$A2,counts!$D$2:$D$701,$B2,counts!$E$2:$E$701,"remaining_day5")=0,"",SUMIFS(counts!$F$2:$F$701,counts!$C$2:$C$701,$A2,counts!$D$2:$D$701,$B2,counts!$E$2:$E$701,"remaining_day5")))</f>
        <v/>
      </c>
      <c r="AG2" s="30" t="str">
        <f aca="false">IF(OR($A2="",$AF2=""),"",MAX(0,$AA2+$AD2-$AF2))</f>
        <v/>
      </c>
      <c r="AH2" s="30" t="str">
        <f aca="false">IF(OR($A2="",$AI2=""),"",IFERROR(IF(INDEX(photos!$H$2:$H$701,MATCH($A2&amp;"|"&amp;$B2&amp;"|later|Y|"&amp;$AI2,photos!$S$2:$S$701,0))="","",INDEX(photos!$H$2:$H$701,MATCH($A2&amp;"|"&amp;$B2&amp;"|later|Y|"&amp;$AI2,photos!$S$2:$S$701,0))),""))</f>
        <v/>
      </c>
      <c r="AI2" s="31" t="str">
        <f aca="false">IF($A2="","",IFERROR(1/(1/SUMPRODUCT(MAX((photos!$B$2:$B$701=$A2)*(photos!$C$2:$C$701=$B2)*(photos!$D$2:$D$701="later")*(photos!$O$2:$O$701="Y")*photos!$E$2:$E$701))),""))</f>
        <v/>
      </c>
      <c r="AJ2" s="30" t="str">
        <f aca="false">IF(OR($A2="",$AI2="",$I2=""),"",NETWORKDAYS($I2,$AI2,calendar!$A$2:$A$80))</f>
        <v/>
      </c>
      <c r="AK2" s="30" t="str">
        <f aca="false">IF($A2="","",IF(AND($X2&lt;&gt;"",$AH2&lt;&gt;""),"Y","N"))</f>
        <v>N</v>
      </c>
      <c r="AL2" s="30" t="n">
        <f aca="true">IF(OR($A2="",$I2=""),"",IF($BC2="Y",SUMIFS(survey_frozen!$C$2:$C$251,survey_frozen!$P$2:$P$251,$A2&amp;"|"&amp;$B2),IFERROR(COUNTIFS(INDIRECT("'"&amp;$A2&amp;"'!$B$2:$B$501"),$T2,INDIRECT("'"&amp;$A2&amp;"'!$A$2:$A$501"),"&gt;="&amp;$I2,INDIRECT("'"&amp;$A2&amp;"'!$A$2:$A$501"),"&lt;"&amp;($BA2+1)),0)))</f>
        <v>8</v>
      </c>
      <c r="AM2" s="30" t="n">
        <f aca="true">IF(OR($A2="",$I2=""),"",IF($BC2="Y",SUMIFS(survey_frozen!$D$2:$D$251,survey_frozen!$P$2:$P$251,$A2&amp;"|"&amp;$B2),IFERROR(COUNTIFS(INDIRECT("'"&amp;$A2&amp;"'!$B$2:$B$501"),$T2,INDIRECT("'"&amp;$A2&amp;"'!$A$2:$A$501"),"&gt;="&amp;$I2,INDIRECT("'"&amp;$A2&amp;"'!$A$2:$A$501"),"&lt;"&amp;($BA2+1),INDIRECT("'"&amp;$A2&amp;"'!$C$2:$C$501"),"Yes"),0)))</f>
        <v>7</v>
      </c>
      <c r="AN2" s="30" t="str">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30" t="str">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7</v>
      </c>
      <c r="AU2" s="30" t="n">
        <f aca="true">IF(OR($A2="",$I2=""),"",IF($BC2="Y",SUMIFS(survey_frozen!$I$2:$I$251,survey_frozen!$P$2:$P$251,$A2&amp;"|"&amp;$B2),IFERROR(SUMIFS(INDIRECT("'"&amp;$A2&amp;"'!$D$2:$D$501"),INDIRECT("'"&amp;$A2&amp;"'!$B$2:$B$501"),$T2,INDIRECT("'"&amp;$A2&amp;"'!$A$2:$A$501"),"&gt;="&amp;$I2,INDIRECT("'"&amp;$A2&amp;"'!$A$2:$A$501"),"&lt;"&amp;($BA2+1)),0)))</f>
        <v>27</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2</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4</v>
      </c>
      <c r="AZ2" s="30" t="str">
        <f aca="false">IF($A2="","",$A2&amp;"|"&amp;$L2)</f>
        <v>SAMPLE-CMP-001|1</v>
      </c>
      <c r="BA2" s="31" t="n">
        <f aca="false">IF($A2="","",IFERROR(IF(INDEX(drops!$R$2:$R$21,MATCH($H2,drops!$A$2:$A$21,0))="","",INDEX(drops!$R$2:$R$21,MATCH($H2,drops!$A$2:$A$21,0))),""))</f>
        <v>46406</v>
      </c>
      <c r="BB2" s="30" t="n">
        <f aca="false">IF(OR($A2="",$Q2&lt;&gt;"Y"),1000000,N($AL2))</f>
        <v>8</v>
      </c>
      <c r="BC2" s="30" t="str">
        <f aca="false">IF($A2="","",IF(COUNTIF(survey_frozen!$P$2:$P$251,$A2&amp;"|"&amp;$B2)&gt;0,"Y",""))</f>
        <v/>
      </c>
    </row>
    <row r="3" customFormat="false" ht="15" hidden="false" customHeight="false" outlineLevel="0" collapsed="false">
      <c r="A3" s="0" t="s">
        <v>459</v>
      </c>
      <c r="B3" s="0" t="s">
        <v>597</v>
      </c>
      <c r="C3" s="11" t="n">
        <v>46370</v>
      </c>
      <c r="D3" s="10" t="s">
        <v>652</v>
      </c>
      <c r="E3" s="11" t="n">
        <v>46372</v>
      </c>
      <c r="F3" s="10" t="s">
        <v>653</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IF($B3="","",IFERROR(IF(INDEX(offices!$N$2:$N$61,MATCH($B3,offices!$A$2:$A$61,0))="","",INDEX(offices!$N$2:$N$61,MATCH($B3,offices!$A$2:$A$61,0))),""))</f>
        <v>SAMPLE Ferro Architecture</v>
      </c>
      <c r="L3" s="30" t="n">
        <f aca="false">IF($A3="","",IF($Q3="N","",COUNTIFS($A$2:$A3,$A3,$Q$2:$Q3,"&lt;&gt;N")))</f>
        <v>2</v>
      </c>
      <c r="M3" s="30" t="str">
        <f aca="false">IF(OR($A3="",$L3=""),"",IF(AND(config!$B$34="names_if_public",IFERROR(IF(INDEX(offices!$AF$2:$AF$61,MATCH($B3,offices!$A$2:$A$61,0))="","",INDEX(offices!$AF$2:$AF$61,MATCH($B3,offices!$A$2:$A$61,0))),"")="Y"),$K3,CHAR(64+$L3)))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C$2:$AC$61,MATCH($B3,offices!$A$2:$A$61,0))="","",INDEX(offices!$AC$2:$AC$61,MATCH($B3,offices!$A$2:$A$61,0))),"")&lt;&gt;"",ISNUMBER(SEARCH($J3,IFERROR(IF(INDEX(offices!$AC$2:$AC$61,MATCH($B3,offices!$A$2:$A$61,0))="","",INDEX(offices!$AC$2:$AC$61,MATCH($B3,offices!$A$2:$A$61,0))),"")))),"BRAND VETOED; ","")&amp;IF(ISNUMBER(SEARCH(IFERROR(IF(INDEX(campaigns!$BF$2:$BF$51,MATCH($A3,campaigns!$A$2:$A$51,0))="","",INDEX(campaigns!$BF$2:$BF$51,MATCH($A3,campaigns!$A$2:$A$51,0))),""),IFERROR(IF(INDEX(offices!$AB$2:$AB$61,MATCH($B3,offices!$A$2:$A$61,0))="","",INDEX(offices!$AB$2:$AB$61,MATCH($B3,offices!$A$2:$A$61,0))),""))),"","info: category not on the office's list; ")&amp;IF(IFERROR(IF(INDEX(offices!$AC$2:$AC$61,MATCH($B3,offices!$A$2:$A$61,0))="","",INDEX(offices!$AC$2:$AC$61,MATCH($B3,offices!$A$2:$A$61,0))),"")&lt;&gt;"","info: read the vetoes against the label; ",""))</f>
        <v/>
      </c>
      <c r="S3" s="30" t="n">
        <f aca="false">IF($A3="","",IF($G3&lt;&gt;"",$G3,IFERROR(IF(INDEX(offices!$AL$2:$AL$61,MATCH($B3,offices!$A$2:$A$61,0))="","",INDEX(offices!$AL$2:$AL$61,MATCH($B3,offices!$A$2:$A$61,0))),"")))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str">
        <f aca="false">IF($A3="","",IF(COUNTIFS(counts!$C$2:$C$701,$A3,counts!$D$2:$D$701,$B3,counts!$E$2:$E$701,"remaining_day5")=0,"",SUMIFS(counts!$F$2:$F$701,counts!$C$2:$C$701,$A3,counts!$D$2:$D$701,$B3,counts!$E$2:$E$701,"remaining_day5")))</f>
        <v/>
      </c>
      <c r="AG3" s="30" t="str">
        <f aca="false">IF(OR($A3="",$AF3=""),"",MAX(0,$AA3+$AD3-$AF3))</f>
        <v/>
      </c>
      <c r="AH3" s="30" t="str">
        <f aca="false">IF(OR($A3="",$AI3=""),"",IFERROR(IF(INDEX(photos!$H$2:$H$701,MATCH($A3&amp;"|"&amp;$B3&amp;"|later|Y|"&amp;$AI3,photos!$S$2:$S$701,0))="","",INDEX(photos!$H$2:$H$701,MATCH($A3&amp;"|"&amp;$B3&amp;"|later|Y|"&amp;$AI3,photos!$S$2:$S$701,0))),""))</f>
        <v/>
      </c>
      <c r="AI3" s="31" t="str">
        <f aca="false">IF($A3="","",IFERROR(1/(1/SUMPRODUCT(MAX((photos!$B$2:$B$701=$A3)*(photos!$C$2:$C$701=$B3)*(photos!$D$2:$D$701="later")*(photos!$O$2:$O$701="Y")*photos!$E$2:$E$701))),""))</f>
        <v/>
      </c>
      <c r="AJ3" s="30" t="str">
        <f aca="false">IF(OR($A3="",$AI3="",$I3=""),"",NETWORKDAYS($I3,$AI3,calendar!$A$2:$A$80))</f>
        <v/>
      </c>
      <c r="AK3" s="30" t="str">
        <f aca="false">IF($A3="","",IF(AND($X3&lt;&gt;"",$AH3&lt;&gt;""),"Y","N"))</f>
        <v>N</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str">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30" t="str">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row>
    <row r="4" customFormat="false" ht="15" hidden="false" customHeight="false" outlineLevel="0" collapsed="false">
      <c r="A4" s="0" t="s">
        <v>459</v>
      </c>
      <c r="B4" s="0" t="s">
        <v>599</v>
      </c>
      <c r="C4" s="11" t="n">
        <v>46370</v>
      </c>
      <c r="D4" s="10" t="s">
        <v>652</v>
      </c>
      <c r="E4" s="11" t="n">
        <v>46372</v>
      </c>
      <c r="F4" s="10" t="s">
        <v>653</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IF($B4="","",IFERROR(IF(INDEX(offices!$N$2:$N$61,MATCH($B4,offices!$A$2:$A$61,0))="","",INDEX(offices!$N$2:$N$61,MATCH($B4,offices!$A$2:$A$61,0))),""))</f>
        <v>SAMPLE Halcyon Media</v>
      </c>
      <c r="L4" s="30" t="n">
        <f aca="false">IF($A4="","",IF($Q4="N","",COUNTIFS($A$2:$A4,$A4,$Q$2:$Q4,"&lt;&gt;N")))</f>
        <v>3</v>
      </c>
      <c r="M4" s="30" t="str">
        <f aca="false">IF(OR($A4="",$L4=""),"",IF(AND(config!$B$34="names_if_public",IFERROR(IF(INDEX(offices!$AF$2:$AF$61,MATCH($B4,offices!$A$2:$A$61,0))="","",INDEX(offices!$AF$2:$AF$61,MATCH($B4,offices!$A$2:$A$61,0))),"")="Y"),$K4,CHAR(64+$L4)))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C$2:$AC$61,MATCH($B4,offices!$A$2:$A$61,0))="","",INDEX(offices!$AC$2:$AC$61,MATCH($B4,offices!$A$2:$A$61,0))),"")&lt;&gt;"",ISNUMBER(SEARCH($J4,IFERROR(IF(INDEX(offices!$AC$2:$AC$61,MATCH($B4,offices!$A$2:$A$61,0))="","",INDEX(offices!$AC$2:$AC$61,MATCH($B4,offices!$A$2:$A$61,0))),"")))),"BRAND VETOED; ","")&amp;IF(ISNUMBER(SEARCH(IFERROR(IF(INDEX(campaigns!$BF$2:$BF$51,MATCH($A4,campaigns!$A$2:$A$51,0))="","",INDEX(campaigns!$BF$2:$BF$51,MATCH($A4,campaigns!$A$2:$A$51,0))),""),IFERROR(IF(INDEX(offices!$AB$2:$AB$61,MATCH($B4,offices!$A$2:$A$61,0))="","",INDEX(offices!$AB$2:$AB$61,MATCH($B4,offices!$A$2:$A$61,0))),""))),"","info: category not on the office's list; ")&amp;IF(IFERROR(IF(INDEX(offices!$AC$2:$AC$61,MATCH($B4,offices!$A$2:$A$61,0))="","",INDEX(offices!$AC$2:$AC$61,MATCH($B4,offices!$A$2:$A$61,0))),"")&lt;&gt;"","info: read the vetoes against the label; ",""))</f>
        <v/>
      </c>
      <c r="S4" s="30" t="n">
        <f aca="false">IF($A4="","",IF($G4&lt;&gt;"",$G4,IFERROR(IF(INDEX(offices!$AL$2:$AL$61,MATCH($B4,offices!$A$2:$A$61,0))="","",INDEX(offices!$AL$2:$AL$61,MATCH($B4,offices!$A$2:$A$61,0))),"")))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str">
        <f aca="false">IF($A4="","",IF(COUNTIFS(counts!$C$2:$C$701,$A4,counts!$D$2:$D$701,$B4,counts!$E$2:$E$701,"remaining_day5")=0,"",SUMIFS(counts!$F$2:$F$701,counts!$C$2:$C$701,$A4,counts!$D$2:$D$701,$B4,counts!$E$2:$E$701,"remaining_day5")))</f>
        <v/>
      </c>
      <c r="AG4" s="30" t="str">
        <f aca="false">IF(OR($A4="",$AF4=""),"",MAX(0,$AA4+$AD4-$AF4))</f>
        <v/>
      </c>
      <c r="AH4" s="30" t="str">
        <f aca="false">IF(OR($A4="",$AI4=""),"",IFERROR(IF(INDEX(photos!$H$2:$H$701,MATCH($A4&amp;"|"&amp;$B4&amp;"|later|Y|"&amp;$AI4,photos!$S$2:$S$701,0))="","",INDEX(photos!$H$2:$H$701,MATCH($A4&amp;"|"&amp;$B4&amp;"|later|Y|"&amp;$AI4,photos!$S$2:$S$701,0))),""))</f>
        <v/>
      </c>
      <c r="AI4" s="31" t="str">
        <f aca="false">IF($A4="","",IFERROR(1/(1/SUMPRODUCT(MAX((photos!$B$2:$B$701=$A4)*(photos!$C$2:$C$701=$B4)*(photos!$D$2:$D$701="later")*(photos!$O$2:$O$701="Y")*photos!$E$2:$E$701))),""))</f>
        <v/>
      </c>
      <c r="AJ4" s="30" t="str">
        <f aca="false">IF(OR($A4="",$AI4="",$I4=""),"",NETWORKDAYS($I4,$AI4,calendar!$A$2:$A$80))</f>
        <v/>
      </c>
      <c r="AK4" s="30" t="str">
        <f aca="false">IF($A4="","",IF(AND($X4&lt;&gt;"",$AH4&lt;&gt;""),"Y","N"))</f>
        <v>N</v>
      </c>
      <c r="AL4" s="30" t="n">
        <f aca="true">IF(OR($A4="",$I4=""),"",IF($BC4="Y",SUMIFS(survey_frozen!$C$2:$C$251,survey_frozen!$P$2:$P$251,$A4&amp;"|"&amp;$B4),IFERROR(COUNTIFS(INDIRECT("'"&amp;$A4&amp;"'!$B$2:$B$501"),$T4,INDIRECT("'"&amp;$A4&amp;"'!$A$2:$A$501"),"&gt;="&amp;$I4,INDIRECT("'"&amp;$A4&amp;"'!$A$2:$A$501"),"&lt;"&amp;($BA4+1)),0)))</f>
        <v>6</v>
      </c>
      <c r="AM4" s="30" t="n">
        <f aca="true">IF(OR($A4="",$I4=""),"",IF($BC4="Y",SUMIFS(survey_frozen!$D$2:$D$251,survey_frozen!$P$2:$P$251,$A4&amp;"|"&amp;$B4),IFERROR(COUNTIFS(INDIRECT("'"&amp;$A4&amp;"'!$B$2:$B$501"),$T4,INDIRECT("'"&amp;$A4&amp;"'!$A$2:$A$501"),"&gt;="&amp;$I4,INDIRECT("'"&amp;$A4&amp;"'!$A$2:$A$501"),"&lt;"&amp;($BA4+1),INDIRECT("'"&amp;$A4&amp;"'!$C$2:$C$501"),"Yes"),0)))</f>
        <v>3</v>
      </c>
      <c r="AN4" s="30" t="str">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30" t="str">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f>
        <v/>
      </c>
      <c r="AQ4" s="30" t="n">
        <f aca="true">IF(OR($A4="",$I4=""),"",IF($BC4="Y",SUMIFS(survey_frozen!$E$2:$E$251,survey_frozen!$P$2:$P$251,$A4&amp;"|"&amp;$B4),IFERROR(COUNTIFS(INDIRECT("'"&amp;$A4&amp;"'!$B$2:$B$501"),$T4,INDIRECT("'"&amp;$A4&amp;"'!$A$2:$A$501"),"&gt;="&amp;$I4,INDIRECT("'"&amp;$A4&amp;"'!$A$2:$A$501"),"&lt;"&amp;($BA4+1),INDIRECT("'"&amp;$A4&amp;"'!$F$2:$F$501"),"Didn't see it"),0)))</f>
        <v>2</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0</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4</v>
      </c>
      <c r="AZ4" s="30" t="str">
        <f aca="false">IF($A4="","",$A4&amp;"|"&amp;$L4)</f>
        <v>SAMPLE-CMP-001|3</v>
      </c>
      <c r="BA4" s="31" t="n">
        <f aca="false">IF($A4="","",IFERROR(IF(INDEX(drops!$R$2:$R$21,MATCH($H4,drops!$A$2:$A$21,0))="","",INDEX(drops!$R$2:$R$21,MATCH($H4,drops!$A$2:$A$21,0))),""))</f>
        <v>46406</v>
      </c>
      <c r="BB4" s="30" t="n">
        <f aca="false">IF(OR($A4="",$Q4&lt;&gt;"Y"),1000000,N($AL4))</f>
        <v>6</v>
      </c>
      <c r="BC4" s="30" t="str">
        <f aca="false">IF($A4="","",IF(COUNTIF(survey_frozen!$P$2:$P$251,$A4&amp;"|"&amp;$B4)&gt;0,"Y",""))</f>
        <v/>
      </c>
    </row>
    <row r="5" customFormat="false" ht="15" hidden="false" customHeight="false" outlineLevel="0" collapsed="false">
      <c r="A5" s="0" t="s">
        <v>459</v>
      </c>
      <c r="B5" s="0" t="s">
        <v>602</v>
      </c>
      <c r="C5" s="11" t="n">
        <v>46370</v>
      </c>
      <c r="D5" s="10" t="s">
        <v>652</v>
      </c>
      <c r="E5" s="11" t="n">
        <v>46374</v>
      </c>
      <c r="F5" s="10" t="s">
        <v>653</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IF($B5="","",IFERROR(IF(INDEX(offices!$N$2:$N$61,MATCH($B5,offices!$A$2:$A$61,0))="","",INDEX(offices!$N$2:$N$61,MATCH($B5,offices!$A$2:$A$61,0))),""))</f>
        <v>SAMPLE Union Food Fund</v>
      </c>
      <c r="L5" s="30" t="n">
        <f aca="false">IF($A5="","",IF($Q5="N","",COUNTIFS($A$2:$A5,$A5,$Q$2:$Q5,"&lt;&gt;N")))</f>
        <v>4</v>
      </c>
      <c r="M5" s="30" t="str">
        <f aca="false">IF(OR($A5="",$L5=""),"",IF(AND(config!$B$34="names_if_public",IFERROR(IF(INDEX(offices!$AF$2:$AF$61,MATCH($B5,offices!$A$2:$A$61,0))="","",INDEX(offices!$AF$2:$AF$61,MATCH($B5,offices!$A$2:$A$61,0))),"")="Y"),$K5,CHAR(64+$L5)))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C$2:$AC$61,MATCH($B5,offices!$A$2:$A$61,0))="","",INDEX(offices!$AC$2:$AC$61,MATCH($B5,offices!$A$2:$A$61,0))),"")&lt;&gt;"",ISNUMBER(SEARCH($J5,IFERROR(IF(INDEX(offices!$AC$2:$AC$61,MATCH($B5,offices!$A$2:$A$61,0))="","",INDEX(offices!$AC$2:$AC$61,MATCH($B5,offices!$A$2:$A$61,0))),"")))),"BRAND VETOED; ","")&amp;IF(ISNUMBER(SEARCH(IFERROR(IF(INDEX(campaigns!$BF$2:$BF$51,MATCH($A5,campaigns!$A$2:$A$51,0))="","",INDEX(campaigns!$BF$2:$BF$51,MATCH($A5,campaigns!$A$2:$A$51,0))),""),IFERROR(IF(INDEX(offices!$AB$2:$AB$61,MATCH($B5,offices!$A$2:$A$61,0))="","",INDEX(offices!$AB$2:$AB$61,MATCH($B5,offices!$A$2:$A$61,0))),""))),"","info: category not on the office's list; ")&amp;IF(IFERROR(IF(INDEX(offices!$AC$2:$AC$61,MATCH($B5,offices!$A$2:$A$61,0))="","",INDEX(offices!$AC$2:$AC$61,MATCH($B5,offices!$A$2:$A$61,0))),"")&lt;&gt;"","info: read the vetoes against the label; ",""))</f>
        <v/>
      </c>
      <c r="S5" s="30" t="n">
        <f aca="false">IF($A5="","",IF($G5&lt;&gt;"",$G5,IFERROR(IF(INDEX(offices!$AL$2:$AL$61,MATCH($B5,offices!$A$2:$A$61,0))="","",INDEX(offices!$AL$2:$AL$61,MATCH($B5,offices!$A$2:$A$61,0))),"")))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str">
        <f aca="false">IF($A5="","",IF(COUNTIFS(counts!$C$2:$C$701,$A5,counts!$D$2:$D$701,$B5,counts!$E$2:$E$701,"remaining_day5")=0,"",SUMIFS(counts!$F$2:$F$701,counts!$C$2:$C$701,$A5,counts!$D$2:$D$701,$B5,counts!$E$2:$E$701,"remaining_day5")))</f>
        <v/>
      </c>
      <c r="AG5" s="30" t="str">
        <f aca="false">IF(OR($A5="",$AF5=""),"",MAX(0,$AA5+$AD5-$AF5))</f>
        <v/>
      </c>
      <c r="AH5" s="30" t="str">
        <f aca="false">IF(OR($A5="",$AI5=""),"",IFERROR(IF(INDEX(photos!$H$2:$H$701,MATCH($A5&amp;"|"&amp;$B5&amp;"|later|Y|"&amp;$AI5,photos!$S$2:$S$701,0))="","",INDEX(photos!$H$2:$H$701,MATCH($A5&amp;"|"&amp;$B5&amp;"|later|Y|"&amp;$AI5,photos!$S$2:$S$701,0))),""))</f>
        <v/>
      </c>
      <c r="AI5" s="31" t="str">
        <f aca="false">IF($A5="","",IFERROR(1/(1/SUMPRODUCT(MAX((photos!$B$2:$B$701=$A5)*(photos!$C$2:$C$701=$B5)*(photos!$D$2:$D$701="later")*(photos!$O$2:$O$701="Y")*photos!$E$2:$E$701))),""))</f>
        <v/>
      </c>
      <c r="AJ5" s="30" t="str">
        <f aca="false">IF(OR($A5="",$AI5="",$I5=""),"",NETWORKDAYS($I5,$AI5,calendar!$A$2:$A$80))</f>
        <v/>
      </c>
      <c r="AK5" s="30" t="str">
        <f aca="false">IF($A5="","",IF(AND($X5&lt;&gt;"",$AH5&lt;&gt;""),"Y","N"))</f>
        <v>N</v>
      </c>
      <c r="AL5" s="30" t="n">
        <f aca="true">IF(OR($A5="",$I5=""),"",IF($BC5="Y",SUMIFS(survey_frozen!$C$2:$C$251,survey_frozen!$P$2:$P$251,$A5&amp;"|"&amp;$B5),IFERROR(COUNTIFS(INDIRECT("'"&amp;$A5&amp;"'!$B$2:$B$501"),$T5,INDIRECT("'"&amp;$A5&amp;"'!$A$2:$A$501"),"&gt;="&amp;$I5,INDIRECT("'"&amp;$A5&amp;"'!$A$2:$A$501"),"&lt;"&amp;($BA5+1)),0)))</f>
        <v>3</v>
      </c>
      <c r="AM5" s="30" t="n">
        <f aca="true">IF(OR($A5="",$I5=""),"",IF($BC5="Y",SUMIFS(survey_frozen!$D$2:$D$251,survey_frozen!$P$2:$P$251,$A5&amp;"|"&amp;$B5),IFERROR(COUNTIFS(INDIRECT("'"&amp;$A5&amp;"'!$B$2:$B$501"),$T5,INDIRECT("'"&amp;$A5&amp;"'!$A$2:$A$501"),"&gt;="&amp;$I5,INDIRECT("'"&amp;$A5&amp;"'!$A$2:$A$501"),"&lt;"&amp;($BA5+1),INDIRECT("'"&amp;$A5&amp;"'!$C$2:$C$501"),"Yes"),0)))</f>
        <v>2</v>
      </c>
      <c r="AN5" s="30" t="str">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30" t="str">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f>
        <v/>
      </c>
      <c r="AQ5" s="30" t="n">
        <f aca="true">IF(OR($A5="",$I5=""),"",IF($BC5="Y",SUMIFS(survey_frozen!$E$2:$E$251,survey_frozen!$P$2:$P$251,$A5&amp;"|"&amp;$B5),IFERROR(COUNTIFS(INDIRECT("'"&amp;$A5&amp;"'!$B$2:$B$501"),$T5,INDIRECT("'"&amp;$A5&amp;"'!$A$2:$A$501"),"&gt;="&amp;$I5,INDIRECT("'"&amp;$A5&amp;"'!$A$2:$A$501"),"&lt;"&amp;($BA5+1),INDIRECT("'"&amp;$A5&amp;"'!$F$2:$F$501"),"Didn't see it"),0)))</f>
        <v>0</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3</v>
      </c>
      <c r="BC5" s="30" t="str">
        <f aca="false">IF($A5="","",IF(COUNTIF(survey_frozen!$P$2:$P$251,$A5&amp;"|"&amp;$B5)&gt;0,"Y",""))</f>
        <v/>
      </c>
    </row>
    <row r="6" customFormat="false" ht="15" hidden="false" customHeight="false" outlineLevel="0" collapsed="false">
      <c r="A6" s="0" t="s">
        <v>459</v>
      </c>
      <c r="B6" s="0" t="s">
        <v>604</v>
      </c>
      <c r="C6" s="11" t="n">
        <v>46370</v>
      </c>
      <c r="D6" s="10" t="s">
        <v>652</v>
      </c>
      <c r="E6" s="11" t="n">
        <v>46372</v>
      </c>
      <c r="F6" s="10" t="s">
        <v>653</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IF($B6="","",IFERROR(IF(INDEX(offices!$N$2:$N$61,MATCH($B6,offices!$A$2:$A$61,0))="","",INDEX(offices!$N$2:$N$61,MATCH($B6,offices!$A$2:$A$61,0))),""))</f>
        <v>SAMPLE Studio Marlow</v>
      </c>
      <c r="L6" s="30" t="n">
        <f aca="false">IF($A6="","",IF($Q6="N","",COUNTIFS($A$2:$A6,$A6,$Q$2:$Q6,"&lt;&gt;N")))</f>
        <v>5</v>
      </c>
      <c r="M6" s="30" t="str">
        <f aca="false">IF(OR($A6="",$L6=""),"",IF(AND(config!$B$34="names_if_public",IFERROR(IF(INDEX(offices!$AF$2:$AF$61,MATCH($B6,offices!$A$2:$A$61,0))="","",INDEX(offices!$AF$2:$AF$61,MATCH($B6,offices!$A$2:$A$61,0))),"")="Y"),$K6,CHAR(64+$L6)))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C$2:$AC$61,MATCH($B6,offices!$A$2:$A$61,0))="","",INDEX(offices!$AC$2:$AC$61,MATCH($B6,offices!$A$2:$A$61,0))),"")&lt;&gt;"",ISNUMBER(SEARCH($J6,IFERROR(IF(INDEX(offices!$AC$2:$AC$61,MATCH($B6,offices!$A$2:$A$61,0))="","",INDEX(offices!$AC$2:$AC$61,MATCH($B6,offices!$A$2:$A$61,0))),"")))),"BRAND VETOED; ","")&amp;IF(ISNUMBER(SEARCH(IFERROR(IF(INDEX(campaigns!$BF$2:$BF$51,MATCH($A6,campaigns!$A$2:$A$51,0))="","",INDEX(campaigns!$BF$2:$BF$51,MATCH($A6,campaigns!$A$2:$A$51,0))),""),IFERROR(IF(INDEX(offices!$AB$2:$AB$61,MATCH($B6,offices!$A$2:$A$61,0))="","",INDEX(offices!$AB$2:$AB$61,MATCH($B6,offices!$A$2:$A$61,0))),""))),"","info: category not on the office's list; ")&amp;IF(IFERROR(IF(INDEX(offices!$AC$2:$AC$61,MATCH($B6,offices!$A$2:$A$61,0))="","",INDEX(offices!$AC$2:$AC$61,MATCH($B6,offices!$A$2:$A$61,0))),"")&lt;&gt;"","info: read the vetoes against the label; ",""))</f>
        <v/>
      </c>
      <c r="S6" s="30" t="n">
        <f aca="false">IF($A6="","",IF($G6&lt;&gt;"",$G6,IFERROR(IF(INDEX(offices!$AL$2:$AL$61,MATCH($B6,offices!$A$2:$A$61,0))="","",INDEX(offices!$AL$2:$AL$61,MATCH($B6,offices!$A$2:$A$61,0))),"")))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str">
        <f aca="false">IF($A6="","",IF(COUNTIFS(counts!$C$2:$C$701,$A6,counts!$D$2:$D$701,$B6,counts!$E$2:$E$701,"remaining_day5")=0,"",SUMIFS(counts!$F$2:$F$701,counts!$C$2:$C$701,$A6,counts!$D$2:$D$701,$B6,counts!$E$2:$E$701,"remaining_day5")))</f>
        <v/>
      </c>
      <c r="AG6" s="30" t="str">
        <f aca="false">IF(OR($A6="",$AF6=""),"",MAX(0,$AA6+$AD6-$AF6))</f>
        <v/>
      </c>
      <c r="AH6" s="30" t="str">
        <f aca="false">IF(OR($A6="",$AI6=""),"",IFERROR(IF(INDEX(photos!$H$2:$H$701,MATCH($A6&amp;"|"&amp;$B6&amp;"|later|Y|"&amp;$AI6,photos!$S$2:$S$701,0))="","",INDEX(photos!$H$2:$H$701,MATCH($A6&amp;"|"&amp;$B6&amp;"|later|Y|"&amp;$AI6,photos!$S$2:$S$701,0))),""))</f>
        <v/>
      </c>
      <c r="AI6" s="31" t="str">
        <f aca="false">IF($A6="","",IFERROR(1/(1/SUMPRODUCT(MAX((photos!$B$2:$B$701=$A6)*(photos!$C$2:$C$701=$B6)*(photos!$D$2:$D$701="later")*(photos!$O$2:$O$701="Y")*photos!$E$2:$E$701))),""))</f>
        <v/>
      </c>
      <c r="AJ6" s="30" t="str">
        <f aca="false">IF(OR($A6="",$AI6="",$I6=""),"",NETWORKDAYS($I6,$AI6,calendar!$A$2:$A$80))</f>
        <v/>
      </c>
      <c r="AK6" s="30" t="str">
        <f aca="false">IF($A6="","",IF(AND($X6&lt;&gt;"",$AH6&lt;&gt;""),"Y","N"))</f>
        <v>N</v>
      </c>
      <c r="AL6" s="30" t="n">
        <f aca="true">IF(OR($A6="",$I6=""),"",IF($BC6="Y",SUMIFS(survey_frozen!$C$2:$C$251,survey_frozen!$P$2:$P$251,$A6&amp;"|"&amp;$B6),IFERROR(COUNTIFS(INDIRECT("'"&amp;$A6&amp;"'!$B$2:$B$501"),$T6,INDIRECT("'"&amp;$A6&amp;"'!$A$2:$A$501"),"&gt;="&amp;$I6,INDIRECT("'"&amp;$A6&amp;"'!$A$2:$A$501"),"&lt;"&amp;($BA6+1)),0)))</f>
        <v>5</v>
      </c>
      <c r="AM6" s="30" t="n">
        <f aca="true">IF(OR($A6="",$I6=""),"",IF($BC6="Y",SUMIFS(survey_frozen!$D$2:$D$251,survey_frozen!$P$2:$P$251,$A6&amp;"|"&amp;$B6),IFERROR(COUNTIFS(INDIRECT("'"&amp;$A6&amp;"'!$B$2:$B$501"),$T6,INDIRECT("'"&amp;$A6&amp;"'!$A$2:$A$501"),"&gt;="&amp;$I6,INDIRECT("'"&amp;$A6&amp;"'!$A$2:$A$501"),"&lt;"&amp;($BA6+1),INDIRECT("'"&amp;$A6&amp;"'!$C$2:$C$501"),"Yes"),0)))</f>
        <v>5</v>
      </c>
      <c r="AN6" s="30" t="str">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30" t="str">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5</v>
      </c>
      <c r="AU6" s="30" t="n">
        <f aca="true">IF(OR($A6="",$I6=""),"",IF($BC6="Y",SUMIFS(survey_frozen!$I$2:$I$251,survey_frozen!$P$2:$P$251,$A6&amp;"|"&amp;$B6),IFERROR(SUMIFS(INDIRECT("'"&amp;$A6&amp;"'!$D$2:$D$501"),INDIRECT("'"&amp;$A6&amp;"'!$B$2:$B$501"),$T6,INDIRECT("'"&amp;$A6&amp;"'!$A$2:$A$501"),"&gt;="&amp;$I6,INDIRECT("'"&amp;$A6&amp;"'!$A$2:$A$501"),"&lt;"&amp;($BA6+1)),0)))</f>
        <v>21</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2</v>
      </c>
      <c r="AX6" s="30" t="n">
        <f aca="true">IF(OR($A6="",$I6=""),"",IF($BC6="Y",SUMIFS(survey_frozen!$L$2:$L$251,survey_frozen!$P$2:$P$251,$A6&amp;"|"&amp;$B6),IFERROR(COUNTIFS(INDIRECT("'"&amp;$A6&amp;"'!$B$2:$B$501"),$T6,INDIRECT("'"&amp;$A6&amp;"'!$A$2:$A$501"),"&gt;="&amp;$I6,INDIRECT("'"&amp;$A6&amp;"'!$A$2:$A$501"),"&lt;"&amp;($BA6+1),INDIRECT("'"&amp;$A6&amp;"'!$E$2:$E$501"),"No"),0)))</f>
        <v>1</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5</v>
      </c>
      <c r="BC6" s="30" t="str">
        <f aca="false">IF($A6="","",IF(COUNTIF(survey_frozen!$P$2:$P$251,$A6&amp;"|"&amp;$B6)&gt;0,"Y",""))</f>
        <v/>
      </c>
    </row>
    <row r="7" customFormat="false" ht="15" hidden="false" customHeight="false" outlineLevel="0" collapsed="false">
      <c r="A7" s="0" t="s">
        <v>478</v>
      </c>
      <c r="B7" s="0" t="s">
        <v>594</v>
      </c>
      <c r="C7" s="11" t="n">
        <v>46370</v>
      </c>
      <c r="D7" s="10" t="s">
        <v>652</v>
      </c>
      <c r="E7" s="11" t="n">
        <v>46372</v>
      </c>
      <c r="F7" s="10" t="s">
        <v>653</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IF($B7="","",IFERROR(IF(INDEX(offices!$N$2:$N$61,MATCH($B7,offices!$A$2:$A$61,0))="","",INDEX(offices!$N$2:$N$61,MATCH($B7,offices!$A$2:$A$61,0))),""))</f>
        <v>SAMPLE Northpoint Software</v>
      </c>
      <c r="L7" s="30" t="n">
        <f aca="false">IF($A7="","",IF($Q7="N","",COUNTIFS($A$2:$A7,$A7,$Q$2:$Q7,"&lt;&gt;N")))</f>
        <v>1</v>
      </c>
      <c r="M7" s="30" t="str">
        <f aca="false">IF(OR($A7="",$L7=""),"",IF(AND(config!$B$34="names_if_public",IFERROR(IF(INDEX(offices!$AF$2:$AF$61,MATCH($B7,offices!$A$2:$A$61,0))="","",INDEX(offices!$AF$2:$AF$61,MATCH($B7,offices!$A$2:$A$61,0))),"")="Y"),$K7,CHAR(64+$L7)))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C$2:$AC$61,MATCH($B7,offices!$A$2:$A$61,0))="","",INDEX(offices!$AC$2:$AC$61,MATCH($B7,offices!$A$2:$A$61,0))),"")&lt;&gt;"",ISNUMBER(SEARCH($J7,IFERROR(IF(INDEX(offices!$AC$2:$AC$61,MATCH($B7,offices!$A$2:$A$61,0))="","",INDEX(offices!$AC$2:$AC$61,MATCH($B7,offices!$A$2:$A$61,0))),"")))),"BRAND VETOED; ","")&amp;IF(ISNUMBER(SEARCH(IFERROR(IF(INDEX(campaigns!$BF$2:$BF$51,MATCH($A7,campaigns!$A$2:$A$51,0))="","",INDEX(campaigns!$BF$2:$BF$51,MATCH($A7,campaigns!$A$2:$A$51,0))),""),IFERROR(IF(INDEX(offices!$AB$2:$AB$61,MATCH($B7,offices!$A$2:$A$61,0))="","",INDEX(offices!$AB$2:$AB$61,MATCH($B7,offices!$A$2:$A$61,0))),""))),"","info: category not on the office's list; ")&amp;IF(IFERROR(IF(INDEX(offices!$AC$2:$AC$61,MATCH($B7,offices!$A$2:$A$61,0))="","",INDEX(offices!$AC$2:$AC$61,MATCH($B7,offices!$A$2:$A$61,0))),"")&lt;&gt;"","info: read the vetoes against the label; ",""))</f>
        <v/>
      </c>
      <c r="S7" s="30" t="n">
        <f aca="false">IF($A7="","",IF($G7&lt;&gt;"",$G7,IFERROR(IF(INDEX(offices!$AL$2:$AL$61,MATCH($B7,offices!$A$2:$A$61,0))="","",INDEX(offices!$AL$2:$AL$61,MATCH($B7,offices!$A$2:$A$61,0))),"")))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str">
        <f aca="false">IF($A7="","",IF(COUNTIFS(counts!$C$2:$C$701,$A7,counts!$D$2:$D$701,$B7,counts!$E$2:$E$701,"remaining_day5")=0,"",SUMIFS(counts!$F$2:$F$701,counts!$C$2:$C$701,$A7,counts!$D$2:$D$701,$B7,counts!$E$2:$E$701,"remaining_day5")))</f>
        <v/>
      </c>
      <c r="AG7" s="30" t="str">
        <f aca="false">IF(OR($A7="",$AF7=""),"",MAX(0,$AA7+$AD7-$AF7))</f>
        <v/>
      </c>
      <c r="AH7" s="30" t="str">
        <f aca="false">IF(OR($A7="",$AI7=""),"",IFERROR(IF(INDEX(photos!$H$2:$H$701,MATCH($A7&amp;"|"&amp;$B7&amp;"|later|Y|"&amp;$AI7,photos!$S$2:$S$701,0))="","",INDEX(photos!$H$2:$H$701,MATCH($A7&amp;"|"&amp;$B7&amp;"|later|Y|"&amp;$AI7,photos!$S$2:$S$701,0))),""))</f>
        <v/>
      </c>
      <c r="AI7" s="31" t="str">
        <f aca="false">IF($A7="","",IFERROR(1/(1/SUMPRODUCT(MAX((photos!$B$2:$B$701=$A7)*(photos!$C$2:$C$701=$B7)*(photos!$D$2:$D$701="later")*(photos!$O$2:$O$701="Y")*photos!$E$2:$E$701))),""))</f>
        <v/>
      </c>
      <c r="AJ7" s="30" t="str">
        <f aca="false">IF(OR($A7="",$AI7="",$I7=""),"",NETWORKDAYS($I7,$AI7,calendar!$A$2:$A$80))</f>
        <v/>
      </c>
      <c r="AK7" s="30" t="str">
        <f aca="false">IF($A7="","",IF(AND($X7&lt;&gt;"",$AH7&lt;&gt;""),"Y","N"))</f>
        <v>N</v>
      </c>
      <c r="AL7" s="30" t="n">
        <f aca="true">IF(OR($A7="",$I7=""),"",IF($BC7="Y",SUMIFS(survey_frozen!$C$2:$C$251,survey_frozen!$P$2:$P$251,$A7&amp;"|"&amp;$B7),IFERROR(COUNTIFS(INDIRECT("'"&amp;$A7&amp;"'!$B$2:$B$501"),$T7,INDIRECT("'"&amp;$A7&amp;"'!$A$2:$A$501"),"&gt;="&amp;$I7,INDIRECT("'"&amp;$A7&amp;"'!$A$2:$A$501"),"&lt;"&amp;($BA7+1)),0)))</f>
        <v>6</v>
      </c>
      <c r="AM7" s="30" t="n">
        <f aca="true">IF(OR($A7="",$I7=""),"",IF($BC7="Y",SUMIFS(survey_frozen!$D$2:$D$251,survey_frozen!$P$2:$P$251,$A7&amp;"|"&amp;$B7),IFERROR(COUNTIFS(INDIRECT("'"&amp;$A7&amp;"'!$B$2:$B$501"),$T7,INDIRECT("'"&amp;$A7&amp;"'!$A$2:$A$501"),"&gt;="&amp;$I7,INDIRECT("'"&amp;$A7&amp;"'!$A$2:$A$501"),"&lt;"&amp;($BA7+1),INDIRECT("'"&amp;$A7&amp;"'!$C$2:$C$501"),"Yes"),0)))</f>
        <v>4</v>
      </c>
      <c r="AN7" s="30" t="str">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30" t="str">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f>
        <v/>
      </c>
      <c r="AQ7" s="30" t="n">
        <f aca="true">IF(OR($A7="",$I7=""),"",IF($BC7="Y",SUMIFS(survey_frozen!$E$2:$E$251,survey_frozen!$P$2:$P$251,$A7&amp;"|"&amp;$B7),IFERROR(COUNTIFS(INDIRECT("'"&amp;$A7&amp;"'!$B$2:$B$501"),$T7,INDIRECT("'"&amp;$A7&amp;"'!$A$2:$A$501"),"&gt;="&amp;$I7,INDIRECT("'"&amp;$A7&amp;"'!$A$2:$A$501"),"&lt;"&amp;($BA7+1),INDIRECT("'"&amp;$A7&amp;"'!$F$2:$F$501"),"Didn't see it"),0)))</f>
        <v>0</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6</v>
      </c>
      <c r="BC7" s="30" t="str">
        <f aca="false">IF($A7="","",IF(COUNTIF(survey_frozen!$P$2:$P$251,$A7&amp;"|"&amp;$B7)&gt;0,"Y",""))</f>
        <v/>
      </c>
    </row>
    <row r="8" customFormat="false" ht="15" hidden="false" customHeight="false" outlineLevel="0" collapsed="false">
      <c r="A8" s="0" t="s">
        <v>478</v>
      </c>
      <c r="B8" s="0" t="s">
        <v>597</v>
      </c>
      <c r="C8" s="11" t="n">
        <v>46370</v>
      </c>
      <c r="D8" s="10" t="s">
        <v>652</v>
      </c>
      <c r="E8" s="11" t="n">
        <v>46372</v>
      </c>
      <c r="F8" s="10" t="s">
        <v>653</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IF($B8="","",IFERROR(IF(INDEX(offices!$N$2:$N$61,MATCH($B8,offices!$A$2:$A$61,0))="","",INDEX(offices!$N$2:$N$61,MATCH($B8,offices!$A$2:$A$61,0))),""))</f>
        <v>SAMPLE Ferro Architecture</v>
      </c>
      <c r="L8" s="30" t="n">
        <f aca="false">IF($A8="","",IF($Q8="N","",COUNTIFS($A$2:$A8,$A8,$Q$2:$Q8,"&lt;&gt;N")))</f>
        <v>2</v>
      </c>
      <c r="M8" s="30" t="str">
        <f aca="false">IF(OR($A8="",$L8=""),"",IF(AND(config!$B$34="names_if_public",IFERROR(IF(INDEX(offices!$AF$2:$AF$61,MATCH($B8,offices!$A$2:$A$61,0))="","",INDEX(offices!$AF$2:$AF$61,MATCH($B8,offices!$A$2:$A$61,0))),"")="Y"),$K8,CHAR(64+$L8)))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C$2:$AC$61,MATCH($B8,offices!$A$2:$A$61,0))="","",INDEX(offices!$AC$2:$AC$61,MATCH($B8,offices!$A$2:$A$61,0))),"")&lt;&gt;"",ISNUMBER(SEARCH($J8,IFERROR(IF(INDEX(offices!$AC$2:$AC$61,MATCH($B8,offices!$A$2:$A$61,0))="","",INDEX(offices!$AC$2:$AC$61,MATCH($B8,offices!$A$2:$A$61,0))),"")))),"BRAND VETOED; ","")&amp;IF(ISNUMBER(SEARCH(IFERROR(IF(INDEX(campaigns!$BF$2:$BF$51,MATCH($A8,campaigns!$A$2:$A$51,0))="","",INDEX(campaigns!$BF$2:$BF$51,MATCH($A8,campaigns!$A$2:$A$51,0))),""),IFERROR(IF(INDEX(offices!$AB$2:$AB$61,MATCH($B8,offices!$A$2:$A$61,0))="","",INDEX(offices!$AB$2:$AB$61,MATCH($B8,offices!$A$2:$A$61,0))),""))),"","info: category not on the office's list; ")&amp;IF(IFERROR(IF(INDEX(offices!$AC$2:$AC$61,MATCH($B8,offices!$A$2:$A$61,0))="","",INDEX(offices!$AC$2:$AC$61,MATCH($B8,offices!$A$2:$A$61,0))),"")&lt;&gt;"","info: read the vetoes against the label; ",""))</f>
        <v/>
      </c>
      <c r="S8" s="30" t="n">
        <f aca="false">IF($A8="","",IF($G8&lt;&gt;"",$G8,IFERROR(IF(INDEX(offices!$AL$2:$AL$61,MATCH($B8,offices!$A$2:$A$61,0))="","",INDEX(offices!$AL$2:$AL$61,MATCH($B8,offices!$A$2:$A$61,0))),"")))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str">
        <f aca="false">IF($A8="","",IF(COUNTIFS(counts!$C$2:$C$701,$A8,counts!$D$2:$D$701,$B8,counts!$E$2:$E$701,"remaining_day5")=0,"",SUMIFS(counts!$F$2:$F$701,counts!$C$2:$C$701,$A8,counts!$D$2:$D$701,$B8,counts!$E$2:$E$701,"remaining_day5")))</f>
        <v/>
      </c>
      <c r="AG8" s="30" t="str">
        <f aca="false">IF(OR($A8="",$AF8=""),"",MAX(0,$AA8+$AD8-$AF8))</f>
        <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4</v>
      </c>
      <c r="AM8" s="30" t="n">
        <f aca="true">IF(OR($A8="",$I8=""),"",IF($BC8="Y",SUMIFS(survey_frozen!$D$2:$D$251,survey_frozen!$P$2:$P$251,$A8&amp;"|"&amp;$B8),IFERROR(COUNTIFS(INDIRECT("'"&amp;$A8&amp;"'!$B$2:$B$501"),$T8,INDIRECT("'"&amp;$A8&amp;"'!$A$2:$A$501"),"&gt;="&amp;$I8,INDIRECT("'"&amp;$A8&amp;"'!$A$2:$A$501"),"&lt;"&amp;($BA8+1),INDIRECT("'"&amp;$A8&amp;"'!$C$2:$C$501"),"Yes"),0)))</f>
        <v>4</v>
      </c>
      <c r="AN8" s="30" t="str">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30" t="str">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4</v>
      </c>
      <c r="AU8" s="30" t="n">
        <f aca="true">IF(OR($A8="",$I8=""),"",IF($BC8="Y",SUMIFS(survey_frozen!$I$2:$I$251,survey_frozen!$P$2:$P$251,$A8&amp;"|"&amp;$B8),IFERROR(SUMIFS(INDIRECT("'"&amp;$A8&amp;"'!$D$2:$D$501"),INDIRECT("'"&amp;$A8&amp;"'!$B$2:$B$501"),$T8,INDIRECT("'"&amp;$A8&amp;"'!$A$2:$A$501"),"&gt;="&amp;$I8,INDIRECT("'"&amp;$A8&amp;"'!$A$2:$A$501"),"&lt;"&amp;($BA8+1)),0)))</f>
        <v>15</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3</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4</v>
      </c>
      <c r="BC8" s="30" t="str">
        <f aca="false">IF($A8="","",IF(COUNTIF(survey_frozen!$P$2:$P$251,$A8&amp;"|"&amp;$B8)&gt;0,"Y",""))</f>
        <v/>
      </c>
    </row>
    <row r="9" customFormat="false" ht="15" hidden="false" customHeight="false" outlineLevel="0" collapsed="false">
      <c r="A9" s="0" t="s">
        <v>478</v>
      </c>
      <c r="B9" s="0" t="s">
        <v>599</v>
      </c>
      <c r="C9" s="11" t="n">
        <v>46370</v>
      </c>
      <c r="D9" s="10" t="s">
        <v>652</v>
      </c>
      <c r="E9" s="11" t="n">
        <v>46372</v>
      </c>
      <c r="F9" s="10" t="s">
        <v>653</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IF($B9="","",IFERROR(IF(INDEX(offices!$N$2:$N$61,MATCH($B9,offices!$A$2:$A$61,0))="","",INDEX(offices!$N$2:$N$61,MATCH($B9,offices!$A$2:$A$61,0))),""))</f>
        <v>SAMPLE Halcyon Media</v>
      </c>
      <c r="L9" s="30" t="n">
        <f aca="false">IF($A9="","",IF($Q9="N","",COUNTIFS($A$2:$A9,$A9,$Q$2:$Q9,"&lt;&gt;N")))</f>
        <v>3</v>
      </c>
      <c r="M9" s="30" t="str">
        <f aca="false">IF(OR($A9="",$L9=""),"",IF(AND(config!$B$34="names_if_public",IFERROR(IF(INDEX(offices!$AF$2:$AF$61,MATCH($B9,offices!$A$2:$A$61,0))="","",INDEX(offices!$AF$2:$AF$61,MATCH($B9,offices!$A$2:$A$61,0))),"")="Y"),$K9,CHAR(64+$L9)))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C$2:$AC$61,MATCH($B9,offices!$A$2:$A$61,0))="","",INDEX(offices!$AC$2:$AC$61,MATCH($B9,offices!$A$2:$A$61,0))),"")&lt;&gt;"",ISNUMBER(SEARCH($J9,IFERROR(IF(INDEX(offices!$AC$2:$AC$61,MATCH($B9,offices!$A$2:$A$61,0))="","",INDEX(offices!$AC$2:$AC$61,MATCH($B9,offices!$A$2:$A$61,0))),"")))),"BRAND VETOED; ","")&amp;IF(ISNUMBER(SEARCH(IFERROR(IF(INDEX(campaigns!$BF$2:$BF$51,MATCH($A9,campaigns!$A$2:$A$51,0))="","",INDEX(campaigns!$BF$2:$BF$51,MATCH($A9,campaigns!$A$2:$A$51,0))),""),IFERROR(IF(INDEX(offices!$AB$2:$AB$61,MATCH($B9,offices!$A$2:$A$61,0))="","",INDEX(offices!$AB$2:$AB$61,MATCH($B9,offices!$A$2:$A$61,0))),""))),"","info: category not on the office's list; ")&amp;IF(IFERROR(IF(INDEX(offices!$AC$2:$AC$61,MATCH($B9,offices!$A$2:$A$61,0))="","",INDEX(offices!$AC$2:$AC$61,MATCH($B9,offices!$A$2:$A$61,0))),"")&lt;&gt;"","info: read the vetoes against the label; ",""))</f>
        <v/>
      </c>
      <c r="S9" s="30" t="n">
        <f aca="false">IF($A9="","",IF($G9&lt;&gt;"",$G9,IFERROR(IF(INDEX(offices!$AL$2:$AL$61,MATCH($B9,offices!$A$2:$A$61,0))="","",INDEX(offices!$AL$2:$AL$61,MATCH($B9,offices!$A$2:$A$61,0))),"")))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str">
        <f aca="false">IF($A9="","",IF(COUNTIFS(counts!$C$2:$C$701,$A9,counts!$D$2:$D$701,$B9,counts!$E$2:$E$701,"remaining_day5")=0,"",SUMIFS(counts!$F$2:$F$701,counts!$C$2:$C$701,$A9,counts!$D$2:$D$701,$B9,counts!$E$2:$E$701,"remaining_day5")))</f>
        <v/>
      </c>
      <c r="AG9" s="30" t="str">
        <f aca="false">IF(OR($A9="",$AF9=""),"",MAX(0,$AA9+$AD9-$AF9))</f>
        <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8</v>
      </c>
      <c r="AM9" s="30" t="n">
        <f aca="true">IF(OR($A9="",$I9=""),"",IF($BC9="Y",SUMIFS(survey_frozen!$D$2:$D$251,survey_frozen!$P$2:$P$251,$A9&amp;"|"&amp;$B9),IFERROR(COUNTIFS(INDIRECT("'"&amp;$A9&amp;"'!$B$2:$B$501"),$T9,INDIRECT("'"&amp;$A9&amp;"'!$A$2:$A$501"),"&gt;="&amp;$I9,INDIRECT("'"&amp;$A9&amp;"'!$A$2:$A$501"),"&lt;"&amp;($BA9+1),INDIRECT("'"&amp;$A9&amp;"'!$C$2:$C$501"),"Yes"),0)))</f>
        <v>5</v>
      </c>
      <c r="AN9" s="30" t="str">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30" t="str">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5</v>
      </c>
      <c r="AU9" s="30" t="n">
        <f aca="true">IF(OR($A9="",$I9=""),"",IF($BC9="Y",SUMIFS(survey_frozen!$I$2:$I$251,survey_frozen!$P$2:$P$251,$A9&amp;"|"&amp;$B9),IFERROR(SUMIFS(INDIRECT("'"&amp;$A9&amp;"'!$D$2:$D$501"),INDIRECT("'"&amp;$A9&amp;"'!$B$2:$B$501"),$T9,INDIRECT("'"&amp;$A9&amp;"'!$A$2:$A$501"),"&gt;="&amp;$I9,INDIRECT("'"&amp;$A9&amp;"'!$A$2:$A$501"),"&lt;"&amp;($BA9+1)),0)))</f>
        <v>22</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2</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5</v>
      </c>
      <c r="AZ9" s="30" t="str">
        <f aca="false">IF($A9="","",$A9&amp;"|"&amp;$L9)</f>
        <v>SAMPLE-CMP-002|3</v>
      </c>
      <c r="BA9" s="31" t="n">
        <f aca="false">IF($A9="","",IFERROR(IF(INDEX(drops!$R$2:$R$21,MATCH($H9,drops!$A$2:$A$21,0))="","",INDEX(drops!$R$2:$R$21,MATCH($H9,drops!$A$2:$A$21,0))),""))</f>
        <v>46406</v>
      </c>
      <c r="BB9" s="30" t="n">
        <f aca="false">IF(OR($A9="",$Q9&lt;&gt;"Y"),1000000,N($AL9))</f>
        <v>8</v>
      </c>
      <c r="BC9" s="30" t="str">
        <f aca="false">IF($A9="","",IF(COUNTIF(survey_frozen!$P$2:$P$251,$A9&amp;"|"&amp;$B9)&gt;0,"Y",""))</f>
        <v/>
      </c>
    </row>
    <row r="10" customFormat="false" ht="15" hidden="false" customHeight="false" outlineLevel="0" collapsed="false">
      <c r="A10" s="0" t="s">
        <v>478</v>
      </c>
      <c r="B10" s="0" t="s">
        <v>602</v>
      </c>
      <c r="C10" s="11" t="n">
        <v>46370</v>
      </c>
      <c r="D10" s="10" t="s">
        <v>652</v>
      </c>
      <c r="E10" s="11" t="n">
        <v>46374</v>
      </c>
      <c r="F10" s="10" t="s">
        <v>653</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IF($B10="","",IFERROR(IF(INDEX(offices!$N$2:$N$61,MATCH($B10,offices!$A$2:$A$61,0))="","",INDEX(offices!$N$2:$N$61,MATCH($B10,offices!$A$2:$A$61,0))),""))</f>
        <v>SAMPLE Union Food Fund</v>
      </c>
      <c r="L10" s="30" t="n">
        <f aca="false">IF($A10="","",IF($Q10="N","",COUNTIFS($A$2:$A10,$A10,$Q$2:$Q10,"&lt;&gt;N")))</f>
        <v>4</v>
      </c>
      <c r="M10" s="30" t="str">
        <f aca="false">IF(OR($A10="",$L10=""),"",IF(AND(config!$B$34="names_if_public",IFERROR(IF(INDEX(offices!$AF$2:$AF$61,MATCH($B10,offices!$A$2:$A$61,0))="","",INDEX(offices!$AF$2:$AF$61,MATCH($B10,offices!$A$2:$A$61,0))),"")="Y"),$K10,CHAR(64+$L10)))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C$2:$AC$61,MATCH($B10,offices!$A$2:$A$61,0))="","",INDEX(offices!$AC$2:$AC$61,MATCH($B10,offices!$A$2:$A$61,0))),"")&lt;&gt;"",ISNUMBER(SEARCH($J10,IFERROR(IF(INDEX(offices!$AC$2:$AC$61,MATCH($B10,offices!$A$2:$A$61,0))="","",INDEX(offices!$AC$2:$AC$61,MATCH($B10,offices!$A$2:$A$61,0))),"")))),"BRAND VETOED; ","")&amp;IF(ISNUMBER(SEARCH(IFERROR(IF(INDEX(campaigns!$BF$2:$BF$51,MATCH($A10,campaigns!$A$2:$A$51,0))="","",INDEX(campaigns!$BF$2:$BF$51,MATCH($A10,campaigns!$A$2:$A$51,0))),""),IFERROR(IF(INDEX(offices!$AB$2:$AB$61,MATCH($B10,offices!$A$2:$A$61,0))="","",INDEX(offices!$AB$2:$AB$61,MATCH($B10,offices!$A$2:$A$61,0))),""))),"","info: category not on the office's list; ")&amp;IF(IFERROR(IF(INDEX(offices!$AC$2:$AC$61,MATCH($B10,offices!$A$2:$A$61,0))="","",INDEX(offices!$AC$2:$AC$61,MATCH($B10,offices!$A$2:$A$61,0))),"")&lt;&gt;"","info: read the vetoes against the label; ",""))</f>
        <v/>
      </c>
      <c r="S10" s="30" t="n">
        <f aca="false">IF($A10="","",IF($G10&lt;&gt;"",$G10,IFERROR(IF(INDEX(offices!$AL$2:$AL$61,MATCH($B10,offices!$A$2:$A$61,0))="","",INDEX(offices!$AL$2:$AL$61,MATCH($B10,offices!$A$2:$A$61,0))),"")))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str">
        <f aca="false">IF($A10="","",IF(COUNTIFS(counts!$C$2:$C$701,$A10,counts!$D$2:$D$701,$B10,counts!$E$2:$E$701,"remaining_day5")=0,"",SUMIFS(counts!$F$2:$F$701,counts!$C$2:$C$701,$A10,counts!$D$2:$D$701,$B10,counts!$E$2:$E$701,"remaining_day5")))</f>
        <v/>
      </c>
      <c r="AG10" s="30" t="str">
        <f aca="false">IF(OR($A10="",$AF10=""),"",MAX(0,$AA10+$AD10-$AF10))</f>
        <v/>
      </c>
      <c r="AH10" s="30" t="str">
        <f aca="false">IF(OR($A10="",$AI10=""),"",IFERROR(IF(INDEX(photos!$H$2:$H$701,MATCH($A10&amp;"|"&amp;$B10&amp;"|later|Y|"&amp;$AI10,photos!$S$2:$S$701,0))="","",INDEX(photos!$H$2:$H$701,MATCH($A10&amp;"|"&amp;$B10&amp;"|later|Y|"&amp;$AI10,photos!$S$2:$S$701,0))),""))</f>
        <v/>
      </c>
      <c r="AI10" s="31" t="str">
        <f aca="false">IF($A10="","",IFERROR(1/(1/SUMPRODUCT(MAX((photos!$B$2:$B$701=$A10)*(photos!$C$2:$C$701=$B10)*(photos!$D$2:$D$701="later")*(photos!$O$2:$O$701="Y")*photos!$E$2:$E$701))),""))</f>
        <v/>
      </c>
      <c r="AJ10" s="30" t="str">
        <f aca="false">IF(OR($A10="",$AI10="",$I10=""),"",NETWORKDAYS($I10,$AI10,calendar!$A$2:$A$80))</f>
        <v/>
      </c>
      <c r="AK10" s="30" t="str">
        <f aca="false">IF($A10="","",IF(AND($X10&lt;&gt;"",$AH10&lt;&gt;""),"Y","N"))</f>
        <v>N</v>
      </c>
      <c r="AL10" s="30" t="n">
        <f aca="true">IF(OR($A10="",$I10=""),"",IF($BC10="Y",SUMIFS(survey_frozen!$C$2:$C$251,survey_frozen!$P$2:$P$251,$A10&amp;"|"&amp;$B10),IFERROR(COUNTIFS(INDIRECT("'"&amp;$A10&amp;"'!$B$2:$B$501"),$T10,INDIRECT("'"&amp;$A10&amp;"'!$A$2:$A$501"),"&gt;="&amp;$I10,INDIRECT("'"&amp;$A10&amp;"'!$A$2:$A$501"),"&lt;"&amp;($BA10+1)),0)))</f>
        <v>4</v>
      </c>
      <c r="AM10" s="30" t="n">
        <f aca="true">IF(OR($A10="",$I10=""),"",IF($BC10="Y",SUMIFS(survey_frozen!$D$2:$D$251,survey_frozen!$P$2:$P$251,$A10&amp;"|"&amp;$B10),IFERROR(COUNTIFS(INDIRECT("'"&amp;$A10&amp;"'!$B$2:$B$501"),$T10,INDIRECT("'"&amp;$A10&amp;"'!$A$2:$A$501"),"&gt;="&amp;$I10,INDIRECT("'"&amp;$A10&amp;"'!$A$2:$A$501"),"&lt;"&amp;($BA10+1),INDIRECT("'"&amp;$A10&amp;"'!$C$2:$C$501"),"Yes"),0)))</f>
        <v>3</v>
      </c>
      <c r="AN10" s="30" t="str">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30" t="str">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0</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4</v>
      </c>
      <c r="BC10" s="30" t="str">
        <f aca="false">IF($A10="","",IF(COUNTIF(survey_frozen!$P$2:$P$251,$A10&amp;"|"&amp;$B10)&gt;0,"Y",""))</f>
        <v/>
      </c>
    </row>
    <row r="11" customFormat="false" ht="15" hidden="false" customHeight="false" outlineLevel="0" collapsed="false">
      <c r="A11" s="0" t="s">
        <v>478</v>
      </c>
      <c r="B11" s="0" t="s">
        <v>604</v>
      </c>
      <c r="C11" s="11" t="n">
        <v>46370</v>
      </c>
      <c r="D11" s="10" t="s">
        <v>652</v>
      </c>
      <c r="E11" s="11" t="n">
        <v>46372</v>
      </c>
      <c r="F11" s="10" t="s">
        <v>653</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IF($B11="","",IFERROR(IF(INDEX(offices!$N$2:$N$61,MATCH($B11,offices!$A$2:$A$61,0))="","",INDEX(offices!$N$2:$N$61,MATCH($B11,offices!$A$2:$A$61,0))),""))</f>
        <v>SAMPLE Studio Marlow</v>
      </c>
      <c r="L11" s="30" t="n">
        <f aca="false">IF($A11="","",IF($Q11="N","",COUNTIFS($A$2:$A11,$A11,$Q$2:$Q11,"&lt;&gt;N")))</f>
        <v>5</v>
      </c>
      <c r="M11" s="30" t="str">
        <f aca="false">IF(OR($A11="",$L11=""),"",IF(AND(config!$B$34="names_if_public",IFERROR(IF(INDEX(offices!$AF$2:$AF$61,MATCH($B11,offices!$A$2:$A$61,0))="","",INDEX(offices!$AF$2:$AF$61,MATCH($B11,offices!$A$2:$A$61,0))),"")="Y"),$K11,CHAR(64+$L11)))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C$2:$AC$61,MATCH($B11,offices!$A$2:$A$61,0))="","",INDEX(offices!$AC$2:$AC$61,MATCH($B11,offices!$A$2:$A$61,0))),"")&lt;&gt;"",ISNUMBER(SEARCH($J11,IFERROR(IF(INDEX(offices!$AC$2:$AC$61,MATCH($B11,offices!$A$2:$A$61,0))="","",INDEX(offices!$AC$2:$AC$61,MATCH($B11,offices!$A$2:$A$61,0))),"")))),"BRAND VETOED; ","")&amp;IF(ISNUMBER(SEARCH(IFERROR(IF(INDEX(campaigns!$BF$2:$BF$51,MATCH($A11,campaigns!$A$2:$A$51,0))="","",INDEX(campaigns!$BF$2:$BF$51,MATCH($A11,campaigns!$A$2:$A$51,0))),""),IFERROR(IF(INDEX(offices!$AB$2:$AB$61,MATCH($B11,offices!$A$2:$A$61,0))="","",INDEX(offices!$AB$2:$AB$61,MATCH($B11,offices!$A$2:$A$61,0))),""))),"","info: category not on the office's list; ")&amp;IF(IFERROR(IF(INDEX(offices!$AC$2:$AC$61,MATCH($B11,offices!$A$2:$A$61,0))="","",INDEX(offices!$AC$2:$AC$61,MATCH($B11,offices!$A$2:$A$61,0))),"")&lt;&gt;"","info: read the vetoes against the label; ",""))</f>
        <v/>
      </c>
      <c r="S11" s="30" t="n">
        <f aca="false">IF($A11="","",IF($G11&lt;&gt;"",$G11,IFERROR(IF(INDEX(offices!$AL$2:$AL$61,MATCH($B11,offices!$A$2:$A$61,0))="","",INDEX(offices!$AL$2:$AL$61,MATCH($B11,offices!$A$2:$A$61,0))),"")))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str">
        <f aca="false">IF($A11="","",IF(COUNTIFS(counts!$C$2:$C$701,$A11,counts!$D$2:$D$701,$B11,counts!$E$2:$E$701,"remaining_day5")=0,"",SUMIFS(counts!$F$2:$F$701,counts!$C$2:$C$701,$A11,counts!$D$2:$D$701,$B11,counts!$E$2:$E$701,"remaining_day5")))</f>
        <v/>
      </c>
      <c r="AG11" s="30" t="str">
        <f aca="false">IF(OR($A11="",$AF11=""),"",MAX(0,$AA11+$AD11-$AF11))</f>
        <v/>
      </c>
      <c r="AH11" s="30" t="str">
        <f aca="false">IF(OR($A11="",$AI11=""),"",IFERROR(IF(INDEX(photos!$H$2:$H$701,MATCH($A11&amp;"|"&amp;$B11&amp;"|later|Y|"&amp;$AI11,photos!$S$2:$S$701,0))="","",INDEX(photos!$H$2:$H$701,MATCH($A11&amp;"|"&amp;$B11&amp;"|later|Y|"&amp;$AI11,photos!$S$2:$S$701,0))),""))</f>
        <v/>
      </c>
      <c r="AI11" s="31" t="str">
        <f aca="false">IF($A11="","",IFERROR(1/(1/SUMPRODUCT(MAX((photos!$B$2:$B$701=$A11)*(photos!$C$2:$C$701=$B11)*(photos!$D$2:$D$701="later")*(photos!$O$2:$O$701="Y")*photos!$E$2:$E$701))),""))</f>
        <v/>
      </c>
      <c r="AJ11" s="30" t="str">
        <f aca="false">IF(OR($A11="",$AI11="",$I11=""),"",NETWORKDAYS($I11,$AI11,calendar!$A$2:$A$80))</f>
        <v/>
      </c>
      <c r="AK11" s="30" t="str">
        <f aca="false">IF($A11="","",IF(AND($X11&lt;&gt;"",$AH11&lt;&gt;""),"Y","N"))</f>
        <v>N</v>
      </c>
      <c r="AL11" s="30" t="n">
        <f aca="true">IF(OR($A11="",$I11=""),"",IF($BC11="Y",SUMIFS(survey_frozen!$C$2:$C$251,survey_frozen!$P$2:$P$251,$A11&amp;"|"&amp;$B11),IFERROR(COUNTIFS(INDIRECT("'"&amp;$A11&amp;"'!$B$2:$B$501"),$T11,INDIRECT("'"&amp;$A11&amp;"'!$A$2:$A$501"),"&gt;="&amp;$I11,INDIRECT("'"&amp;$A11&amp;"'!$A$2:$A$501"),"&lt;"&amp;($BA11+1)),0)))</f>
        <v>5</v>
      </c>
      <c r="AM11" s="30" t="n">
        <f aca="true">IF(OR($A11="",$I11=""),"",IF($BC11="Y",SUMIFS(survey_frozen!$D$2:$D$251,survey_frozen!$P$2:$P$251,$A11&amp;"|"&amp;$B11),IFERROR(COUNTIFS(INDIRECT("'"&amp;$A11&amp;"'!$B$2:$B$501"),$T11,INDIRECT("'"&amp;$A11&amp;"'!$A$2:$A$501"),"&gt;="&amp;$I11,INDIRECT("'"&amp;$A11&amp;"'!$A$2:$A$501"),"&lt;"&amp;($BA11+1),INDIRECT("'"&amp;$A11&amp;"'!$C$2:$C$501"),"Yes"),0)))</f>
        <v>3</v>
      </c>
      <c r="AN11" s="30" t="str">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30" t="str">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f>
        <v/>
      </c>
      <c r="AQ11" s="30" t="n">
        <f aca="true">IF(OR($A11="",$I11=""),"",IF($BC11="Y",SUMIFS(survey_frozen!$E$2:$E$251,survey_frozen!$P$2:$P$251,$A11&amp;"|"&amp;$B11),IFERROR(COUNTIFS(INDIRECT("'"&amp;$A11&amp;"'!$B$2:$B$501"),$T11,INDIRECT("'"&amp;$A11&amp;"'!$A$2:$A$501"),"&gt;="&amp;$I11,INDIRECT("'"&amp;$A11&amp;"'!$A$2:$A$501"),"&lt;"&amp;($BA11+1),INDIRECT("'"&amp;$A11&amp;"'!$F$2:$F$501"),"Didn't see it"),0)))</f>
        <v>2</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5</v>
      </c>
      <c r="BC11" s="30" t="str">
        <f aca="false">IF($A11="","",IF(COUNTIF(survey_frozen!$P$2:$P$251,$A11&amp;"|"&amp;$B11)&gt;0,"Y",""))</f>
        <v/>
      </c>
    </row>
    <row r="12" customFormat="false" ht="15" hidden="false" customHeight="false" outlineLevel="0" collapsed="false">
      <c r="A12" s="0" t="s">
        <v>490</v>
      </c>
      <c r="B12" s="0" t="s">
        <v>594</v>
      </c>
      <c r="C12" s="11" t="n">
        <v>46391</v>
      </c>
      <c r="D12" s="10" t="s">
        <v>652</v>
      </c>
      <c r="E12" s="11" t="n">
        <v>46392</v>
      </c>
      <c r="F12" s="10" t="s">
        <v>653</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IF($B12="","",IFERROR(IF(INDEX(offices!$N$2:$N$61,MATCH($B12,offices!$A$2:$A$61,0))="","",INDEX(offices!$N$2:$N$61,MATCH($B12,offices!$A$2:$A$61,0))),""))</f>
        <v>SAMPLE Northpoint Software</v>
      </c>
      <c r="L12" s="30" t="n">
        <f aca="false">IF($A12="","",IF($Q12="N","",COUNTIFS($A$2:$A12,$A12,$Q$2:$Q12,"&lt;&gt;N")))</f>
        <v>1</v>
      </c>
      <c r="M12" s="30" t="str">
        <f aca="false">IF(OR($A12="",$L12=""),"",IF(AND(config!$B$34="names_if_public",IFERROR(IF(INDEX(offices!$AF$2:$AF$61,MATCH($B12,offices!$A$2:$A$61,0))="","",INDEX(offices!$AF$2:$AF$61,MATCH($B12,offices!$A$2:$A$61,0))),"")="Y"),$K12,CHAR(64+$L12)))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C$2:$AC$61,MATCH($B12,offices!$A$2:$A$61,0))="","",INDEX(offices!$AC$2:$AC$61,MATCH($B12,offices!$A$2:$A$61,0))),"")&lt;&gt;"",ISNUMBER(SEARCH($J12,IFERROR(IF(INDEX(offices!$AC$2:$AC$61,MATCH($B12,offices!$A$2:$A$61,0))="","",INDEX(offices!$AC$2:$AC$61,MATCH($B12,offices!$A$2:$A$61,0))),"")))),"BRAND VETOED; ","")&amp;IF(ISNUMBER(SEARCH(IFERROR(IF(INDEX(campaigns!$BF$2:$BF$51,MATCH($A12,campaigns!$A$2:$A$51,0))="","",INDEX(campaigns!$BF$2:$BF$51,MATCH($A12,campaigns!$A$2:$A$51,0))),""),IFERROR(IF(INDEX(offices!$AB$2:$AB$61,MATCH($B12,offices!$A$2:$A$61,0))="","",INDEX(offices!$AB$2:$AB$61,MATCH($B12,offices!$A$2:$A$61,0))),""))),"","info: category not on the office's list; ")&amp;IF(IFERROR(IF(INDEX(offices!$AC$2:$AC$61,MATCH($B12,offices!$A$2:$A$61,0))="","",INDEX(offices!$AC$2:$AC$61,MATCH($B12,offices!$A$2:$A$61,0))),"")&lt;&gt;"","info: read the vetoes against the label; ",""))</f>
        <v/>
      </c>
      <c r="S12" s="30" t="n">
        <f aca="false">IF($A12="","",IF($G12&lt;&gt;"",$G12,IFERROR(IF(INDEX(offices!$AL$2:$AL$61,MATCH($B12,offices!$A$2:$A$61,0))="","",INDEX(offices!$AL$2:$AL$61,MATCH($B12,offices!$A$2:$A$61,0))),"")))</f>
        <v>40</v>
      </c>
      <c r="T12" s="30" t="str">
        <f aca="false">IF($A12="","",$A12&amp;"."&amp;$B12)</f>
        <v>SAMPLE-CMP-003.SAMPLE-O-001</v>
      </c>
      <c r="U12" s="30" t="n">
        <f aca="false">IF($A12="","",SUMIFS(inventory!$G$2:$G$801,inventory!$C$2:$C$801,$A12,inventory!$D$2:$D$801,$B12,inventory!$E$2:$E$801,"delivered"))</f>
        <v>0</v>
      </c>
      <c r="V12" s="37" t="str">
        <f aca="false">IF($A12="","",IFERROR(1/(1/SUMPRODUCT(MAX((inventory!$C$2:$C$801=$A12)*(inventory!$D$2:$D$801=$B12)*(inventory!$E$2:$E$801="delivered")*(inventory!$A$2:$A$801+inventory!$B$2:$B$801)))),""))</f>
        <v/>
      </c>
      <c r="W12" s="30" t="str">
        <f aca="false">IF($A12="","",IFERROR(IF(INDEX(inventory!$J$2:$J$801,MATCH($A12&amp;"|"&amp;$B12&amp;"|delivered",inventory!$R$2:$R$801,0))="","",INDEX(inventory!$J$2:$J$801,MATCH($A12&amp;"|"&amp;$B12&amp;"|delivered",inventory!$R$2:$R$801,0))),""))</f>
        <v/>
      </c>
      <c r="X12" s="30" t="str">
        <f aca="false">IF($A12="","",IFERROR(IF(INDEX(photos!$H$2:$H$701,MATCH($A12&amp;"|"&amp;$B12&amp;"|placement|Y",photos!$R$2:$R$701,0))="","",INDEX(photos!$H$2:$H$701,MATCH($A12&amp;"|"&amp;$B12&amp;"|placement|Y",photos!$R$2:$R$701,0))),""))</f>
        <v/>
      </c>
      <c r="Y12" s="31" t="str">
        <f aca="false">IF($A12="","",IFERROR(IF(INDEX(photos!$E$2:$E$701,MATCH($A12&amp;"|"&amp;$B12&amp;"|placement|Y",photos!$R$2:$R$701,0))="","",INDEX(photos!$E$2:$E$701,MATCH($A12&amp;"|"&amp;$B12&amp;"|placement|Y",photos!$R$2:$R$701,0))),""))</f>
        <v/>
      </c>
      <c r="Z12" s="30" t="str">
        <f aca="false">IF($A12="","",IF(COUNTIFS(counts!$C$2:$C$701,$A12,counts!$D$2:$D$701,$B12,counts!$E$2:$E$701,"placed")=0,"",SUMIFS(counts!$F$2:$F$701,counts!$C$2:$C$701,$A12,counts!$D$2:$D$701,$B12,counts!$E$2:$E$701,"placed")))</f>
        <v/>
      </c>
      <c r="AA12" s="30" t="n">
        <f aca="false">IF($A12="","",IF($Y12="",0,N($Z12)))</f>
        <v>0</v>
      </c>
      <c r="AB12" s="30" t="str">
        <f aca="false">IF($A12="","",IF(OR($Y12="",$I12=""),"N",IF($Y12&lt;=WORKDAY(N($I12),1,calendar!$A$2:$A$80),"Y","N")))</f>
        <v>N</v>
      </c>
      <c r="AC12" s="33" t="str">
        <f aca="false">IF(OR($A12="",$V12="",$Y12=""),"",ROUND(($Y12+N(IFERROR(IF(INDEX(photos!$F$2:$F$701,MATCH($A12&amp;"|"&amp;$B12&amp;"|placement|Y",photos!$R$2:$R$701,0))="","",INDEX(photos!$F$2:$F$701,MATCH($A12&amp;"|"&amp;$B12&amp;"|placement|Y",photos!$R$2:$R$701,0))),""))-$V12)*24,1))</f>
        <v/>
      </c>
      <c r="AD12" s="30" t="n">
        <f aca="false">IF($A12="","",SUMIFS(inventory!$G$2:$G$801,inventory!$C$2:$C$801,$A12,inventory!$D$2:$D$801,$B12,inventory!$E$2:$E$801,"topped_up"))</f>
        <v>0</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N</v>
      </c>
      <c r="AL12" s="30" t="n">
        <f aca="true">IF(OR($A12="",$I12=""),"",IF($BC12="Y",SUMIFS(survey_frozen!$C$2:$C$251,survey_frozen!$P$2:$P$251,$A12&amp;"|"&amp;$B12),IFERROR(COUNTIFS(INDIRECT("'"&amp;$A12&amp;"'!$B$2:$B$501"),$T12,INDIRECT("'"&amp;$A12&amp;"'!$A$2:$A$501"),"&gt;="&amp;$I12,INDIRECT("'"&amp;$A12&amp;"'!$A$2:$A$501"),"&lt;"&amp;($BA12+1)),0)))</f>
        <v>0</v>
      </c>
      <c r="AM12" s="30" t="n">
        <f aca="true">IF(OR($A12="",$I12=""),"",IF($BC12="Y",SUMIFS(survey_frozen!$D$2:$D$251,survey_frozen!$P$2:$P$251,$A12&amp;"|"&amp;$B12),IFERROR(COUNTIFS(INDIRECT("'"&amp;$A12&amp;"'!$B$2:$B$501"),$T12,INDIRECT("'"&amp;$A12&amp;"'!$A$2:$A$501"),"&gt;="&amp;$I12,INDIRECT("'"&amp;$A12&amp;"'!$A$2:$A$501"),"&lt;"&amp;($BA12+1),INDIRECT("'"&amp;$A12&amp;"'!$C$2:$C$501"),"Yes"),0)))</f>
        <v>0</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f>
        <v/>
      </c>
      <c r="AQ12" s="30" t="n">
        <f aca="true">IF(OR($A12="",$I12=""),"",IF($BC12="Y",SUMIFS(survey_frozen!$E$2:$E$251,survey_frozen!$P$2:$P$251,$A12&amp;"|"&amp;$B12),IFERROR(COUNTIFS(INDIRECT("'"&amp;$A12&amp;"'!$B$2:$B$501"),$T12,INDIRECT("'"&amp;$A12&amp;"'!$A$2:$A$501"),"&gt;="&amp;$I12,INDIRECT("'"&amp;$A12&amp;"'!$A$2:$A$501"),"&lt;"&amp;($BA12+1),INDIRECT("'"&amp;$A12&amp;"'!$F$2:$F$501"),"Didn't see it"),0)))</f>
        <v>0</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0</v>
      </c>
      <c r="AU12" s="30" t="n">
        <f aca="true">IF(OR($A12="",$I12=""),"",IF($BC12="Y",SUMIFS(survey_frozen!$I$2:$I$251,survey_frozen!$P$2:$P$251,$A12&amp;"|"&amp;$B12),IFERROR(SUMIFS(INDIRECT("'"&amp;$A12&amp;"'!$D$2:$D$501"),INDIRECT("'"&amp;$A12&amp;"'!$B$2:$B$501"),$T12,INDIRECT("'"&amp;$A12&amp;"'!$A$2:$A$501"),"&gt;="&amp;$I12,INDIRECT("'"&amp;$A12&amp;"'!$A$2:$A$501"),"&lt;"&amp;($BA12+1)),0)))</f>
        <v>0</v>
      </c>
      <c r="AV12" s="30" t="n">
        <f aca="true">IF(OR($A12="",$I12=""),"",IF($BC12="Y",SUMIFS(survey_frozen!$J$2:$J$251,survey_frozen!$P$2:$P$251,$A12&amp;"|"&amp;$B12),IFERROR(COUNTIFS(INDIRECT("'"&amp;$A12&amp;"'!$B$2:$B$501"),$T12,INDIRECT("'"&amp;$A12&amp;"'!$A$2:$A$501"),"&gt;="&amp;$I12,INDIRECT("'"&amp;$A12&amp;"'!$A$2:$A$501"),"&lt;"&amp;($BA12+1),INDIRECT("'"&amp;$A12&amp;"'!$E$2:$E$501"),"Yes"),0)))</f>
        <v>0</v>
      </c>
      <c r="AW12" s="30" t="n">
        <f aca="true">IF(OR($A12="",$I12=""),"",IF($BC12="Y",SUMIFS(survey_frozen!$K$2:$K$251,survey_frozen!$P$2:$P$251,$A12&amp;"|"&amp;$B12),IFERROR(COUNTIFS(INDIRECT("'"&amp;$A12&amp;"'!$B$2:$B$501"),$T12,INDIRECT("'"&amp;$A12&amp;"'!$A$2:$A$501"),"&gt;="&amp;$I12,INDIRECT("'"&amp;$A12&amp;"'!$A$2:$A$501"),"&lt;"&amp;($BA12+1),INDIRECT("'"&amp;$A12&amp;"'!$E$2:$E$501"),"Maybe"),0)))</f>
        <v>0</v>
      </c>
      <c r="AX12" s="30" t="n">
        <f aca="true">IF(OR($A12="",$I12=""),"",IF($BC12="Y",SUMIFS(survey_frozen!$L$2:$L$251,survey_frozen!$P$2:$P$251,$A12&amp;"|"&amp;$B12),IFERROR(COUNTIFS(INDIRECT("'"&amp;$A12&amp;"'!$B$2:$B$501"),$T12,INDIRECT("'"&amp;$A12&amp;"'!$A$2:$A$501"),"&gt;="&amp;$I12,INDIRECT("'"&amp;$A12&amp;"'!$A$2:$A$501"),"&lt;"&amp;($BA12+1),INDIRECT("'"&amp;$A12&amp;"'!$E$2:$E$501"),"No"),0)))</f>
        <v>0</v>
      </c>
      <c r="AY12" s="30" t="n">
        <f aca="true">IF(OR($A12="",$I12=""),"",IF($BC12="Y",SUMIFS(survey_frozen!$M$2:$M$251,survey_frozen!$P$2:$P$251,$A12&amp;"|"&amp;$B12),IFERROR(COUNTIFS(INDIRECT("'"&amp;$A12&amp;"'!$B$2:$B$501"),$T12,INDIRECT("'"&amp;$A12&amp;"'!$A$2:$A$501"),"&gt;="&amp;$I12,INDIRECT("'"&amp;$A12&amp;"'!$A$2:$A$501"),"&lt;"&amp;($BA12+1),INDIRECT("'"&amp;$A12&amp;"'!$G$2:$G$501"),"&lt;&gt;"),0)))</f>
        <v>0</v>
      </c>
      <c r="AZ12" s="30" t="str">
        <f aca="false">IF($A12="","",$A12&amp;"|"&amp;$L12)</f>
        <v>SAMPLE-CMP-003|1</v>
      </c>
      <c r="BA12" s="31" t="n">
        <f aca="false">IF($A12="","",IFERROR(IF(INDEX(drops!$R$2:$R$21,MATCH($H12,drops!$A$2:$A$21,0))="","",INDEX(drops!$R$2:$R$21,MATCH($H12,drops!$A$2:$A$21,0))),""))</f>
        <v>46434</v>
      </c>
      <c r="BB12" s="30" t="n">
        <f aca="false">IF(OR($A12="",$Q12&lt;&gt;"Y"),1000000,N($AL12))</f>
        <v>0</v>
      </c>
      <c r="BC12" s="30" t="str">
        <f aca="false">IF($A12="","",IF(COUNTIF(survey_frozen!$P$2:$P$251,$A12&amp;"|"&amp;$B12)&gt;0,"Y",""))</f>
        <v/>
      </c>
    </row>
    <row r="13" customFormat="false" ht="15" hidden="false" customHeight="false" outlineLevel="0" collapsed="false">
      <c r="A13" s="0" t="s">
        <v>490</v>
      </c>
      <c r="B13" s="0" t="s">
        <v>597</v>
      </c>
      <c r="C13" s="11" t="n">
        <v>46391</v>
      </c>
      <c r="D13" s="10" t="s">
        <v>652</v>
      </c>
      <c r="E13" s="11" t="n">
        <v>46393</v>
      </c>
      <c r="F13" s="10" t="s">
        <v>653</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IF($B13="","",IFERROR(IF(INDEX(offices!$N$2:$N$61,MATCH($B13,offices!$A$2:$A$61,0))="","",INDEX(offices!$N$2:$N$61,MATCH($B13,offices!$A$2:$A$61,0))),""))</f>
        <v>SAMPLE Ferro Architecture</v>
      </c>
      <c r="L13" s="30" t="n">
        <f aca="false">IF($A13="","",IF($Q13="N","",COUNTIFS($A$2:$A13,$A13,$Q$2:$Q13,"&lt;&gt;N")))</f>
        <v>2</v>
      </c>
      <c r="M13" s="30" t="str">
        <f aca="false">IF(OR($A13="",$L13=""),"",IF(AND(config!$B$34="names_if_public",IFERROR(IF(INDEX(offices!$AF$2:$AF$61,MATCH($B13,offices!$A$2:$A$61,0))="","",INDEX(offices!$AF$2:$AF$61,MATCH($B13,offices!$A$2:$A$61,0))),"")="Y"),$K13,CHAR(64+$L13)))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C$2:$AC$61,MATCH($B13,offices!$A$2:$A$61,0))="","",INDEX(offices!$AC$2:$AC$61,MATCH($B13,offices!$A$2:$A$61,0))),"")&lt;&gt;"",ISNUMBER(SEARCH($J13,IFERROR(IF(INDEX(offices!$AC$2:$AC$61,MATCH($B13,offices!$A$2:$A$61,0))="","",INDEX(offices!$AC$2:$AC$61,MATCH($B13,offices!$A$2:$A$61,0))),"")))),"BRAND VETOED; ","")&amp;IF(ISNUMBER(SEARCH(IFERROR(IF(INDEX(campaigns!$BF$2:$BF$51,MATCH($A13,campaigns!$A$2:$A$51,0))="","",INDEX(campaigns!$BF$2:$BF$51,MATCH($A13,campaigns!$A$2:$A$51,0))),""),IFERROR(IF(INDEX(offices!$AB$2:$AB$61,MATCH($B13,offices!$A$2:$A$61,0))="","",INDEX(offices!$AB$2:$AB$61,MATCH($B13,offices!$A$2:$A$61,0))),""))),"","info: category not on the office's list; ")&amp;IF(IFERROR(IF(INDEX(offices!$AC$2:$AC$61,MATCH($B13,offices!$A$2:$A$61,0))="","",INDEX(offices!$AC$2:$AC$61,MATCH($B13,offices!$A$2:$A$61,0))),"")&lt;&gt;"","info: read the vetoes against the label; ",""))</f>
        <v/>
      </c>
      <c r="S13" s="30" t="n">
        <f aca="false">IF($A13="","",IF($G13&lt;&gt;"",$G13,IFERROR(IF(INDEX(offices!$AL$2:$AL$61,MATCH($B13,offices!$A$2:$A$61,0))="","",INDEX(offices!$AL$2:$AL$61,MATCH($B13,offices!$A$2:$A$61,0))),"")))</f>
        <v>40</v>
      </c>
      <c r="T13" s="30" t="str">
        <f aca="false">IF($A13="","",$A13&amp;"."&amp;$B13)</f>
        <v>SAMPLE-CMP-003.SAMPLE-O-002</v>
      </c>
      <c r="U13" s="30" t="n">
        <f aca="false">IF($A13="","",SUMIFS(inventory!$G$2:$G$801,inventory!$C$2:$C$801,$A13,inventory!$D$2:$D$801,$B13,inventory!$E$2:$E$801,"delivered"))</f>
        <v>0</v>
      </c>
      <c r="V13" s="37" t="str">
        <f aca="false">IF($A13="","",IFERROR(1/(1/SUMPRODUCT(MAX((inventory!$C$2:$C$801=$A13)*(inventory!$D$2:$D$801=$B13)*(inventory!$E$2:$E$801="delivered")*(inventory!$A$2:$A$801+inventory!$B$2:$B$801)))),""))</f>
        <v/>
      </c>
      <c r="W13" s="30" t="str">
        <f aca="false">IF($A13="","",IFERROR(IF(INDEX(inventory!$J$2:$J$801,MATCH($A13&amp;"|"&amp;$B13&amp;"|delivered",inventory!$R$2:$R$801,0))="","",INDEX(inventory!$J$2:$J$801,MATCH($A13&amp;"|"&amp;$B13&amp;"|delivered",inventory!$R$2:$R$801,0))),""))</f>
        <v/>
      </c>
      <c r="X13" s="30" t="str">
        <f aca="false">IF($A13="","",IFERROR(IF(INDEX(photos!$H$2:$H$701,MATCH($A13&amp;"|"&amp;$B13&amp;"|placement|Y",photos!$R$2:$R$701,0))="","",INDEX(photos!$H$2:$H$701,MATCH($A13&amp;"|"&amp;$B13&amp;"|placement|Y",photos!$R$2:$R$701,0))),""))</f>
        <v/>
      </c>
      <c r="Y13" s="31" t="str">
        <f aca="false">IF($A13="","",IFERROR(IF(INDEX(photos!$E$2:$E$701,MATCH($A13&amp;"|"&amp;$B13&amp;"|placement|Y",photos!$R$2:$R$701,0))="","",INDEX(photos!$E$2:$E$701,MATCH($A13&amp;"|"&amp;$B13&amp;"|placement|Y",photos!$R$2:$R$701,0))),""))</f>
        <v/>
      </c>
      <c r="Z13" s="30" t="str">
        <f aca="false">IF($A13="","",IF(COUNTIFS(counts!$C$2:$C$701,$A13,counts!$D$2:$D$701,$B13,counts!$E$2:$E$701,"placed")=0,"",SUMIFS(counts!$F$2:$F$701,counts!$C$2:$C$701,$A13,counts!$D$2:$D$701,$B13,counts!$E$2:$E$701,"placed")))</f>
        <v/>
      </c>
      <c r="AA13" s="30" t="n">
        <f aca="false">IF($A13="","",IF($Y13="",0,N($Z13)))</f>
        <v>0</v>
      </c>
      <c r="AB13" s="30" t="str">
        <f aca="false">IF($A13="","",IF(OR($Y13="",$I13=""),"N",IF($Y13&lt;=WORKDAY(N($I13),1,calendar!$A$2:$A$80),"Y","N")))</f>
        <v>N</v>
      </c>
      <c r="AC13" s="33" t="str">
        <f aca="false">IF(OR($A13="",$V13="",$Y13=""),"",ROUND(($Y13+N(IFERROR(IF(INDEX(photos!$F$2:$F$701,MATCH($A13&amp;"|"&amp;$B13&amp;"|placement|Y",photos!$R$2:$R$701,0))="","",INDEX(photos!$F$2:$F$701,MATCH($A13&amp;"|"&amp;$B13&amp;"|placement|Y",photos!$R$2:$R$701,0))),""))-$V13)*24,1))</f>
        <v/>
      </c>
      <c r="AD13" s="30" t="n">
        <f aca="false">IF($A13="","",SUMIFS(inventory!$G$2:$G$801,inventory!$C$2:$C$801,$A13,inventory!$D$2:$D$801,$B13,inventory!$E$2:$E$801,"topped_up"))</f>
        <v>0</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N</v>
      </c>
      <c r="AL13" s="30" t="n">
        <f aca="true">IF(OR($A13="",$I13=""),"",IF($BC13="Y",SUMIFS(survey_frozen!$C$2:$C$251,survey_frozen!$P$2:$P$251,$A13&amp;"|"&amp;$B13),IFERROR(COUNTIFS(INDIRECT("'"&amp;$A13&amp;"'!$B$2:$B$501"),$T13,INDIRECT("'"&amp;$A13&amp;"'!$A$2:$A$501"),"&gt;="&amp;$I13,INDIRECT("'"&amp;$A13&amp;"'!$A$2:$A$501"),"&lt;"&amp;($BA13+1)),0)))</f>
        <v>0</v>
      </c>
      <c r="AM13" s="30" t="n">
        <f aca="true">IF(OR($A13="",$I13=""),"",IF($BC13="Y",SUMIFS(survey_frozen!$D$2:$D$251,survey_frozen!$P$2:$P$251,$A13&amp;"|"&amp;$B13),IFERROR(COUNTIFS(INDIRECT("'"&amp;$A13&amp;"'!$B$2:$B$501"),$T13,INDIRECT("'"&amp;$A13&amp;"'!$A$2:$A$501"),"&gt;="&amp;$I13,INDIRECT("'"&amp;$A13&amp;"'!$A$2:$A$501"),"&lt;"&amp;($BA13+1),INDIRECT("'"&amp;$A13&amp;"'!$C$2:$C$501"),"Yes"),0)))</f>
        <v>0</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0</v>
      </c>
      <c r="AT13" s="30" t="n">
        <f aca="true">IF(OR($A13="",$I13=""),"",IF($BC13="Y",SUMIFS(survey_frozen!$H$2:$H$251,survey_frozen!$P$2:$P$251,$A13&amp;"|"&amp;$B13),IFERROR(COUNTIFS(INDIRECT("'"&amp;$A13&amp;"'!$B$2:$B$501"),$T13,INDIRECT("'"&amp;$A13&amp;"'!$A$2:$A$501"),"&gt;="&amp;$I13,INDIRECT("'"&amp;$A13&amp;"'!$A$2:$A$501"),"&lt;"&amp;($BA13+1),INDIRECT("'"&amp;$A13&amp;"'!$D$2:$D$501"),"&gt;=1"),0)))</f>
        <v>0</v>
      </c>
      <c r="AU13" s="30" t="n">
        <f aca="true">IF(OR($A13="",$I13=""),"",IF($BC13="Y",SUMIFS(survey_frozen!$I$2:$I$251,survey_frozen!$P$2:$P$251,$A13&amp;"|"&amp;$B13),IFERROR(SUMIFS(INDIRECT("'"&amp;$A13&amp;"'!$D$2:$D$501"),INDIRECT("'"&amp;$A13&amp;"'!$B$2:$B$501"),$T13,INDIRECT("'"&amp;$A13&amp;"'!$A$2:$A$501"),"&gt;="&amp;$I13,INDIRECT("'"&amp;$A13&amp;"'!$A$2:$A$501"),"&lt;"&amp;($BA13+1)),0)))</f>
        <v>0</v>
      </c>
      <c r="AV13" s="30" t="n">
        <f aca="true">IF(OR($A13="",$I13=""),"",IF($BC13="Y",SUMIFS(survey_frozen!$J$2:$J$251,survey_frozen!$P$2:$P$251,$A13&amp;"|"&amp;$B13),IFERROR(COUNTIFS(INDIRECT("'"&amp;$A13&amp;"'!$B$2:$B$501"),$T13,INDIRECT("'"&amp;$A13&amp;"'!$A$2:$A$501"),"&gt;="&amp;$I13,INDIRECT("'"&amp;$A13&amp;"'!$A$2:$A$501"),"&lt;"&amp;($BA13+1),INDIRECT("'"&amp;$A13&amp;"'!$E$2:$E$501"),"Yes"),0)))</f>
        <v>0</v>
      </c>
      <c r="AW13" s="30" t="n">
        <f aca="true">IF(OR($A13="",$I13=""),"",IF($BC13="Y",SUMIFS(survey_frozen!$K$2:$K$251,survey_frozen!$P$2:$P$251,$A13&amp;"|"&amp;$B13),IFERROR(COUNTIFS(INDIRECT("'"&amp;$A13&amp;"'!$B$2:$B$501"),$T13,INDIRECT("'"&amp;$A13&amp;"'!$A$2:$A$501"),"&gt;="&amp;$I13,INDIRECT("'"&amp;$A13&amp;"'!$A$2:$A$501"),"&lt;"&amp;($BA13+1),INDIRECT("'"&amp;$A13&amp;"'!$E$2:$E$501"),"Maybe"),0)))</f>
        <v>0</v>
      </c>
      <c r="AX13" s="30" t="n">
        <f aca="true">IF(OR($A13="",$I13=""),"",IF($BC13="Y",SUMIFS(survey_frozen!$L$2:$L$251,survey_frozen!$P$2:$P$251,$A13&amp;"|"&amp;$B13),IFERROR(COUNTIFS(INDIRECT("'"&amp;$A13&amp;"'!$B$2:$B$501"),$T13,INDIRECT("'"&amp;$A13&amp;"'!$A$2:$A$501"),"&gt;="&amp;$I13,INDIRECT("'"&amp;$A13&amp;"'!$A$2:$A$501"),"&lt;"&amp;($BA13+1),INDIRECT("'"&amp;$A13&amp;"'!$E$2:$E$501"),"No"),0)))</f>
        <v>0</v>
      </c>
      <c r="AY13" s="30" t="n">
        <f aca="true">IF(OR($A13="",$I13=""),"",IF($BC13="Y",SUMIFS(survey_frozen!$M$2:$M$251,survey_frozen!$P$2:$P$251,$A13&amp;"|"&amp;$B13),IFERROR(COUNTIFS(INDIRECT("'"&amp;$A13&amp;"'!$B$2:$B$501"),$T13,INDIRECT("'"&amp;$A13&amp;"'!$A$2:$A$501"),"&gt;="&amp;$I13,INDIRECT("'"&amp;$A13&amp;"'!$A$2:$A$501"),"&lt;"&amp;($BA13+1),INDIRECT("'"&amp;$A13&amp;"'!$G$2:$G$501"),"&lt;&gt;"),0)))</f>
        <v>0</v>
      </c>
      <c r="AZ13" s="30" t="str">
        <f aca="false">IF($A13="","",$A13&amp;"|"&amp;$L13)</f>
        <v>SAMPLE-CMP-003|2</v>
      </c>
      <c r="BA13" s="31" t="n">
        <f aca="false">IF($A13="","",IFERROR(IF(INDEX(drops!$R$2:$R$21,MATCH($H13,drops!$A$2:$A$21,0))="","",INDEX(drops!$R$2:$R$21,MATCH($H13,drops!$A$2:$A$21,0))),""))</f>
        <v>46434</v>
      </c>
      <c r="BB13" s="30" t="n">
        <f aca="false">IF(OR($A13="",$Q13&lt;&gt;"Y"),1000000,N($AL13))</f>
        <v>0</v>
      </c>
      <c r="BC13" s="30" t="str">
        <f aca="false">IF($A13="","",IF(COUNTIF(survey_frozen!$P$2:$P$251,$A13&amp;"|"&amp;$B13)&gt;0,"Y",""))</f>
        <v/>
      </c>
    </row>
    <row r="14" customFormat="false" ht="15" hidden="false" customHeight="false" outlineLevel="0" collapsed="false">
      <c r="A14" s="0" t="s">
        <v>490</v>
      </c>
      <c r="B14" s="0" t="s">
        <v>599</v>
      </c>
      <c r="C14" s="11" t="n">
        <v>46391</v>
      </c>
      <c r="D14" s="10" t="s">
        <v>652</v>
      </c>
      <c r="E14" s="11" t="n">
        <v>46394</v>
      </c>
      <c r="F14" s="10" t="s">
        <v>653</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IF($B14="","",IFERROR(IF(INDEX(offices!$N$2:$N$61,MATCH($B14,offices!$A$2:$A$61,0))="","",INDEX(offices!$N$2:$N$61,MATCH($B14,offices!$A$2:$A$61,0))),""))</f>
        <v>SAMPLE Halcyon Media</v>
      </c>
      <c r="L14" s="30" t="n">
        <f aca="false">IF($A14="","",IF($Q14="N","",COUNTIFS($A$2:$A14,$A14,$Q$2:$Q14,"&lt;&gt;N")))</f>
        <v>3</v>
      </c>
      <c r="M14" s="30" t="str">
        <f aca="false">IF(OR($A14="",$L14=""),"",IF(AND(config!$B$34="names_if_public",IFERROR(IF(INDEX(offices!$AF$2:$AF$61,MATCH($B14,offices!$A$2:$A$61,0))="","",INDEX(offices!$AF$2:$AF$61,MATCH($B14,offices!$A$2:$A$61,0))),"")="Y"),$K14,CHAR(64+$L14)))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C$2:$AC$61,MATCH($B14,offices!$A$2:$A$61,0))="","",INDEX(offices!$AC$2:$AC$61,MATCH($B14,offices!$A$2:$A$61,0))),"")&lt;&gt;"",ISNUMBER(SEARCH($J14,IFERROR(IF(INDEX(offices!$AC$2:$AC$61,MATCH($B14,offices!$A$2:$A$61,0))="","",INDEX(offices!$AC$2:$AC$61,MATCH($B14,offices!$A$2:$A$61,0))),"")))),"BRAND VETOED; ","")&amp;IF(ISNUMBER(SEARCH(IFERROR(IF(INDEX(campaigns!$BF$2:$BF$51,MATCH($A14,campaigns!$A$2:$A$51,0))="","",INDEX(campaigns!$BF$2:$BF$51,MATCH($A14,campaigns!$A$2:$A$51,0))),""),IFERROR(IF(INDEX(offices!$AB$2:$AB$61,MATCH($B14,offices!$A$2:$A$61,0))="","",INDEX(offices!$AB$2:$AB$61,MATCH($B14,offices!$A$2:$A$61,0))),""))),"","info: category not on the office's list; ")&amp;IF(IFERROR(IF(INDEX(offices!$AC$2:$AC$61,MATCH($B14,offices!$A$2:$A$61,0))="","",INDEX(offices!$AC$2:$AC$61,MATCH($B14,offices!$A$2:$A$61,0))),"")&lt;&gt;"","info: read the vetoes against the label; ",""))</f>
        <v/>
      </c>
      <c r="S14" s="30" t="n">
        <f aca="false">IF($A14="","",IF($G14&lt;&gt;"",$G14,IFERROR(IF(INDEX(offices!$AL$2:$AL$61,MATCH($B14,offices!$A$2:$A$61,0))="","",INDEX(offices!$AL$2:$AL$61,MATCH($B14,offices!$A$2:$A$61,0))),"")))</f>
        <v>50</v>
      </c>
      <c r="T14" s="30" t="str">
        <f aca="false">IF($A14="","",$A14&amp;"."&amp;$B14)</f>
        <v>SAMPLE-CMP-003.SAMPLE-O-003</v>
      </c>
      <c r="U14" s="30" t="n">
        <f aca="false">IF($A14="","",SUMIFS(inventory!$G$2:$G$801,inventory!$C$2:$C$801,$A14,inventory!$D$2:$D$801,$B14,inventory!$E$2:$E$801,"delivered"))</f>
        <v>0</v>
      </c>
      <c r="V14" s="37" t="str">
        <f aca="false">IF($A14="","",IFERROR(1/(1/SUMPRODUCT(MAX((inventory!$C$2:$C$801=$A14)*(inventory!$D$2:$D$801=$B14)*(inventory!$E$2:$E$801="delivered")*(inventory!$A$2:$A$801+inventory!$B$2:$B$801)))),""))</f>
        <v/>
      </c>
      <c r="W14" s="30" t="str">
        <f aca="false">IF($A14="","",IFERROR(IF(INDEX(inventory!$J$2:$J$801,MATCH($A14&amp;"|"&amp;$B14&amp;"|delivered",inventory!$R$2:$R$801,0))="","",INDEX(inventory!$J$2:$J$801,MATCH($A14&amp;"|"&amp;$B14&amp;"|delivered",inventory!$R$2:$R$801,0))),""))</f>
        <v/>
      </c>
      <c r="X14" s="30" t="str">
        <f aca="false">IF($A14="","",IFERROR(IF(INDEX(photos!$H$2:$H$701,MATCH($A14&amp;"|"&amp;$B14&amp;"|placement|Y",photos!$R$2:$R$701,0))="","",INDEX(photos!$H$2:$H$701,MATCH($A14&amp;"|"&amp;$B14&amp;"|placement|Y",photos!$R$2:$R$701,0))),""))</f>
        <v/>
      </c>
      <c r="Y14" s="31" t="str">
        <f aca="false">IF($A14="","",IFERROR(IF(INDEX(photos!$E$2:$E$701,MATCH($A14&amp;"|"&amp;$B14&amp;"|placement|Y",photos!$R$2:$R$701,0))="","",INDEX(photos!$E$2:$E$701,MATCH($A14&amp;"|"&amp;$B14&amp;"|placement|Y",photos!$R$2:$R$701,0))),""))</f>
        <v/>
      </c>
      <c r="Z14" s="30" t="str">
        <f aca="false">IF($A14="","",IF(COUNTIFS(counts!$C$2:$C$701,$A14,counts!$D$2:$D$701,$B14,counts!$E$2:$E$701,"placed")=0,"",SUMIFS(counts!$F$2:$F$701,counts!$C$2:$C$701,$A14,counts!$D$2:$D$701,$B14,counts!$E$2:$E$701,"placed")))</f>
        <v/>
      </c>
      <c r="AA14" s="30" t="n">
        <f aca="false">IF($A14="","",IF($Y14="",0,N($Z14)))</f>
        <v>0</v>
      </c>
      <c r="AB14" s="30" t="str">
        <f aca="false">IF($A14="","",IF(OR($Y14="",$I14=""),"N",IF($Y14&lt;=WORKDAY(N($I14),1,calendar!$A$2:$A$80),"Y","N")))</f>
        <v>N</v>
      </c>
      <c r="AC14" s="33" t="str">
        <f aca="false">IF(OR($A14="",$V14="",$Y14=""),"",ROUND(($Y14+N(IFERROR(IF(INDEX(photos!$F$2:$F$701,MATCH($A14&amp;"|"&amp;$B14&amp;"|placement|Y",photos!$R$2:$R$701,0))="","",INDEX(photos!$F$2:$F$701,MATCH($A14&amp;"|"&amp;$B14&amp;"|placement|Y",photos!$R$2:$R$701,0))),""))-$V14)*24,1))</f>
        <v/>
      </c>
      <c r="AD14" s="30" t="n">
        <f aca="false">IF($A14="","",SUMIFS(inventory!$G$2:$G$801,inventory!$C$2:$C$801,$A14,inventory!$D$2:$D$801,$B14,inventory!$E$2:$E$801,"topped_up"))</f>
        <v>0</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N</v>
      </c>
      <c r="AL14" s="30" t="n">
        <f aca="true">IF(OR($A14="",$I14=""),"",IF($BC14="Y",SUMIFS(survey_frozen!$C$2:$C$251,survey_frozen!$P$2:$P$251,$A14&amp;"|"&amp;$B14),IFERROR(COUNTIFS(INDIRECT("'"&amp;$A14&amp;"'!$B$2:$B$501"),$T14,INDIRECT("'"&amp;$A14&amp;"'!$A$2:$A$501"),"&gt;="&amp;$I14,INDIRECT("'"&amp;$A14&amp;"'!$A$2:$A$501"),"&lt;"&amp;($BA14+1)),0)))</f>
        <v>0</v>
      </c>
      <c r="AM14" s="30" t="n">
        <f aca="true">IF(OR($A14="",$I14=""),"",IF($BC14="Y",SUMIFS(survey_frozen!$D$2:$D$251,survey_frozen!$P$2:$P$251,$A14&amp;"|"&amp;$B14),IFERROR(COUNTIFS(INDIRECT("'"&amp;$A14&amp;"'!$B$2:$B$501"),$T14,INDIRECT("'"&amp;$A14&amp;"'!$A$2:$A$501"),"&gt;="&amp;$I14,INDIRECT("'"&amp;$A14&amp;"'!$A$2:$A$501"),"&lt;"&amp;($BA14+1),INDIRECT("'"&amp;$A14&amp;"'!$C$2:$C$501"),"Yes"),0)))</f>
        <v>0</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f>
        <v/>
      </c>
      <c r="AQ14" s="30" t="n">
        <f aca="true">IF(OR($A14="",$I14=""),"",IF($BC14="Y",SUMIFS(survey_frozen!$E$2:$E$251,survey_frozen!$P$2:$P$251,$A14&amp;"|"&amp;$B14),IFERROR(COUNTIFS(INDIRECT("'"&amp;$A14&amp;"'!$B$2:$B$501"),$T14,INDIRECT("'"&amp;$A14&amp;"'!$A$2:$A$501"),"&gt;="&amp;$I14,INDIRECT("'"&amp;$A14&amp;"'!$A$2:$A$501"),"&lt;"&amp;($BA14+1),INDIRECT("'"&amp;$A14&amp;"'!$F$2:$F$501"),"Didn't see it"),0)))</f>
        <v>0</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0</v>
      </c>
      <c r="AU14" s="30" t="n">
        <f aca="true">IF(OR($A14="",$I14=""),"",IF($BC14="Y",SUMIFS(survey_frozen!$I$2:$I$251,survey_frozen!$P$2:$P$251,$A14&amp;"|"&amp;$B14),IFERROR(SUMIFS(INDIRECT("'"&amp;$A14&amp;"'!$D$2:$D$501"),INDIRECT("'"&amp;$A14&amp;"'!$B$2:$B$501"),$T14,INDIRECT("'"&amp;$A14&amp;"'!$A$2:$A$501"),"&gt;="&amp;$I14,INDIRECT("'"&amp;$A14&amp;"'!$A$2:$A$501"),"&lt;"&amp;($BA14+1)),0)))</f>
        <v>0</v>
      </c>
      <c r="AV14" s="30" t="n">
        <f aca="true">IF(OR($A14="",$I14=""),"",IF($BC14="Y",SUMIFS(survey_frozen!$J$2:$J$251,survey_frozen!$P$2:$P$251,$A14&amp;"|"&amp;$B14),IFERROR(COUNTIFS(INDIRECT("'"&amp;$A14&amp;"'!$B$2:$B$501"),$T14,INDIRECT("'"&amp;$A14&amp;"'!$A$2:$A$501"),"&gt;="&amp;$I14,INDIRECT("'"&amp;$A14&amp;"'!$A$2:$A$501"),"&lt;"&amp;($BA14+1),INDIRECT("'"&amp;$A14&amp;"'!$E$2:$E$501"),"Yes"),0)))</f>
        <v>0</v>
      </c>
      <c r="AW14" s="30" t="n">
        <f aca="true">IF(OR($A14="",$I14=""),"",IF($BC14="Y",SUMIFS(survey_frozen!$K$2:$K$251,survey_frozen!$P$2:$P$251,$A14&amp;"|"&amp;$B14),IFERROR(COUNTIFS(INDIRECT("'"&amp;$A14&amp;"'!$B$2:$B$501"),$T14,INDIRECT("'"&amp;$A14&amp;"'!$A$2:$A$501"),"&gt;="&amp;$I14,INDIRECT("'"&amp;$A14&amp;"'!$A$2:$A$501"),"&lt;"&amp;($BA14+1),INDIRECT("'"&amp;$A14&amp;"'!$E$2:$E$501"),"Maybe"),0)))</f>
        <v>0</v>
      </c>
      <c r="AX14" s="30" t="n">
        <f aca="true">IF(OR($A14="",$I14=""),"",IF($BC14="Y",SUMIFS(survey_frozen!$L$2:$L$251,survey_frozen!$P$2:$P$251,$A14&amp;"|"&amp;$B14),IFERROR(COUNTIFS(INDIRECT("'"&amp;$A14&amp;"'!$B$2:$B$501"),$T14,INDIRECT("'"&amp;$A14&amp;"'!$A$2:$A$501"),"&gt;="&amp;$I14,INDIRECT("'"&amp;$A14&amp;"'!$A$2:$A$501"),"&lt;"&amp;($BA14+1),INDIRECT("'"&amp;$A14&amp;"'!$E$2:$E$501"),"No"),0)))</f>
        <v>0</v>
      </c>
      <c r="AY14" s="30" t="n">
        <f aca="true">IF(OR($A14="",$I14=""),"",IF($BC14="Y",SUMIFS(survey_frozen!$M$2:$M$251,survey_frozen!$P$2:$P$251,$A14&amp;"|"&amp;$B14),IFERROR(COUNTIFS(INDIRECT("'"&amp;$A14&amp;"'!$B$2:$B$501"),$T14,INDIRECT("'"&amp;$A14&amp;"'!$A$2:$A$501"),"&gt;="&amp;$I14,INDIRECT("'"&amp;$A14&amp;"'!$A$2:$A$501"),"&lt;"&amp;($BA14+1),INDIRECT("'"&amp;$A14&amp;"'!$G$2:$G$501"),"&lt;&gt;"),0)))</f>
        <v>0</v>
      </c>
      <c r="AZ14" s="30" t="str">
        <f aca="false">IF($A14="","",$A14&amp;"|"&amp;$L14)</f>
        <v>SAMPLE-CMP-003|3</v>
      </c>
      <c r="BA14" s="31" t="n">
        <f aca="false">IF($A14="","",IFERROR(IF(INDEX(drops!$R$2:$R$21,MATCH($H14,drops!$A$2:$A$21,0))="","",INDEX(drops!$R$2:$R$21,MATCH($H14,drops!$A$2:$A$21,0))),""))</f>
        <v>46434</v>
      </c>
      <c r="BB14" s="30" t="n">
        <f aca="false">IF(OR($A14="",$Q14&lt;&gt;"Y"),1000000,N($AL14))</f>
        <v>0</v>
      </c>
      <c r="BC14" s="30" t="str">
        <f aca="false">IF($A14="","",IF(COUNTIF(survey_frozen!$P$2:$P$251,$A14&amp;"|"&amp;$B14)&gt;0,"Y",""))</f>
        <v/>
      </c>
    </row>
    <row r="15" customFormat="false" ht="15" hidden="false" customHeight="false" outlineLevel="0" collapsed="false">
      <c r="A15" s="0" t="s">
        <v>490</v>
      </c>
      <c r="B15" s="0" t="s">
        <v>602</v>
      </c>
      <c r="C15" s="11" t="n">
        <v>46391</v>
      </c>
      <c r="D15" s="10" t="s">
        <v>652</v>
      </c>
      <c r="E15" s="11" t="n">
        <v>46392</v>
      </c>
      <c r="F15" s="10" t="s">
        <v>653</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IF($B15="","",IFERROR(IF(INDEX(offices!$N$2:$N$61,MATCH($B15,offices!$A$2:$A$61,0))="","",INDEX(offices!$N$2:$N$61,MATCH($B15,offices!$A$2:$A$61,0))),""))</f>
        <v>SAMPLE Union Food Fund</v>
      </c>
      <c r="L15" s="30" t="n">
        <f aca="false">IF($A15="","",IF($Q15="N","",COUNTIFS($A$2:$A15,$A15,$Q$2:$Q15,"&lt;&gt;N")))</f>
        <v>4</v>
      </c>
      <c r="M15" s="30" t="str">
        <f aca="false">IF(OR($A15="",$L15=""),"",IF(AND(config!$B$34="names_if_public",IFERROR(IF(INDEX(offices!$AF$2:$AF$61,MATCH($B15,offices!$A$2:$A$61,0))="","",INDEX(offices!$AF$2:$AF$61,MATCH($B15,offices!$A$2:$A$61,0))),"")="Y"),$K15,CHAR(64+$L15)))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C$2:$AC$61,MATCH($B15,offices!$A$2:$A$61,0))="","",INDEX(offices!$AC$2:$AC$61,MATCH($B15,offices!$A$2:$A$61,0))),"")&lt;&gt;"",ISNUMBER(SEARCH($J15,IFERROR(IF(INDEX(offices!$AC$2:$AC$61,MATCH($B15,offices!$A$2:$A$61,0))="","",INDEX(offices!$AC$2:$AC$61,MATCH($B15,offices!$A$2:$A$61,0))),"")))),"BRAND VETOED; ","")&amp;IF(ISNUMBER(SEARCH(IFERROR(IF(INDEX(campaigns!$BF$2:$BF$51,MATCH($A15,campaigns!$A$2:$A$51,0))="","",INDEX(campaigns!$BF$2:$BF$51,MATCH($A15,campaigns!$A$2:$A$51,0))),""),IFERROR(IF(INDEX(offices!$AB$2:$AB$61,MATCH($B15,offices!$A$2:$A$61,0))="","",INDEX(offices!$AB$2:$AB$61,MATCH($B15,offices!$A$2:$A$61,0))),""))),"","info: category not on the office's list; ")&amp;IF(IFERROR(IF(INDEX(offices!$AC$2:$AC$61,MATCH($B15,offices!$A$2:$A$61,0))="","",INDEX(offices!$AC$2:$AC$61,MATCH($B15,offices!$A$2:$A$61,0))),"")&lt;&gt;"","info: read the vetoes against the label; ",""))</f>
        <v/>
      </c>
      <c r="S15" s="30" t="n">
        <f aca="false">IF($A15="","",IF($G15&lt;&gt;"",$G15,IFERROR(IF(INDEX(offices!$AL$2:$AL$61,MATCH($B15,offices!$A$2:$A$61,0))="","",INDEX(offices!$AL$2:$AL$61,MATCH($B15,offices!$A$2:$A$61,0))),"")))</f>
        <v>50</v>
      </c>
      <c r="T15" s="30" t="str">
        <f aca="false">IF($A15="","",$A15&amp;"."&amp;$B15)</f>
        <v>SAMPLE-CMP-003.SAMPLE-O-004</v>
      </c>
      <c r="U15" s="30" t="n">
        <f aca="false">IF($A15="","",SUMIFS(inventory!$G$2:$G$801,inventory!$C$2:$C$801,$A15,inventory!$D$2:$D$801,$B15,inventory!$E$2:$E$801,"delivered"))</f>
        <v>0</v>
      </c>
      <c r="V15" s="37" t="str">
        <f aca="false">IF($A15="","",IFERROR(1/(1/SUMPRODUCT(MAX((inventory!$C$2:$C$801=$A15)*(inventory!$D$2:$D$801=$B15)*(inventory!$E$2:$E$801="delivered")*(inventory!$A$2:$A$801+inventory!$B$2:$B$801)))),""))</f>
        <v/>
      </c>
      <c r="W15" s="30" t="str">
        <f aca="false">IF($A15="","",IFERROR(IF(INDEX(inventory!$J$2:$J$801,MATCH($A15&amp;"|"&amp;$B15&amp;"|delivered",inventory!$R$2:$R$801,0))="","",INDEX(inventory!$J$2:$J$801,MATCH($A15&amp;"|"&amp;$B15&amp;"|delivered",inventory!$R$2:$R$801,0))),""))</f>
        <v/>
      </c>
      <c r="X15" s="30" t="str">
        <f aca="false">IF($A15="","",IFERROR(IF(INDEX(photos!$H$2:$H$701,MATCH($A15&amp;"|"&amp;$B15&amp;"|placement|Y",photos!$R$2:$R$701,0))="","",INDEX(photos!$H$2:$H$701,MATCH($A15&amp;"|"&amp;$B15&amp;"|placement|Y",photos!$R$2:$R$701,0))),""))</f>
        <v/>
      </c>
      <c r="Y15" s="31" t="str">
        <f aca="false">IF($A15="","",IFERROR(IF(INDEX(photos!$E$2:$E$701,MATCH($A15&amp;"|"&amp;$B15&amp;"|placement|Y",photos!$R$2:$R$701,0))="","",INDEX(photos!$E$2:$E$701,MATCH($A15&amp;"|"&amp;$B15&amp;"|placement|Y",photos!$R$2:$R$701,0))),""))</f>
        <v/>
      </c>
      <c r="Z15" s="30" t="str">
        <f aca="false">IF($A15="","",IF(COUNTIFS(counts!$C$2:$C$701,$A15,counts!$D$2:$D$701,$B15,counts!$E$2:$E$701,"placed")=0,"",SUMIFS(counts!$F$2:$F$701,counts!$C$2:$C$701,$A15,counts!$D$2:$D$701,$B15,counts!$E$2:$E$701,"placed")))</f>
        <v/>
      </c>
      <c r="AA15" s="30" t="n">
        <f aca="false">IF($A15="","",IF($Y15="",0,N($Z15)))</f>
        <v>0</v>
      </c>
      <c r="AB15" s="30" t="str">
        <f aca="false">IF($A15="","",IF(OR($Y15="",$I15=""),"N",IF($Y15&lt;=WORKDAY(N($I15),1,calendar!$A$2:$A$80),"Y","N")))</f>
        <v>N</v>
      </c>
      <c r="AC15" s="33" t="str">
        <f aca="false">IF(OR($A15="",$V15="",$Y15=""),"",ROUND(($Y15+N(IFERROR(IF(INDEX(photos!$F$2:$F$701,MATCH($A15&amp;"|"&amp;$B15&amp;"|placement|Y",photos!$R$2:$R$701,0))="","",INDEX(photos!$F$2:$F$701,MATCH($A15&amp;"|"&amp;$B15&amp;"|placement|Y",photos!$R$2:$R$701,0))),""))-$V15)*24,1))</f>
        <v/>
      </c>
      <c r="AD15" s="30" t="n">
        <f aca="false">IF($A15="","",SUMIFS(inventory!$G$2:$G$801,inventory!$C$2:$C$801,$A15,inventory!$D$2:$D$801,$B15,inventory!$E$2:$E$801,"topped_up"))</f>
        <v>0</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N</v>
      </c>
      <c r="AL15" s="30" t="n">
        <f aca="true">IF(OR($A15="",$I15=""),"",IF($BC15="Y",SUMIFS(survey_frozen!$C$2:$C$251,survey_frozen!$P$2:$P$251,$A15&amp;"|"&amp;$B15),IFERROR(COUNTIFS(INDIRECT("'"&amp;$A15&amp;"'!$B$2:$B$501"),$T15,INDIRECT("'"&amp;$A15&amp;"'!$A$2:$A$501"),"&gt;="&amp;$I15,INDIRECT("'"&amp;$A15&amp;"'!$A$2:$A$501"),"&lt;"&amp;($BA15+1)),0)))</f>
        <v>0</v>
      </c>
      <c r="AM15" s="30" t="n">
        <f aca="true">IF(OR($A15="",$I15=""),"",IF($BC15="Y",SUMIFS(survey_frozen!$D$2:$D$251,survey_frozen!$P$2:$P$251,$A15&amp;"|"&amp;$B15),IFERROR(COUNTIFS(INDIRECT("'"&amp;$A15&amp;"'!$B$2:$B$501"),$T15,INDIRECT("'"&amp;$A15&amp;"'!$A$2:$A$501"),"&gt;="&amp;$I15,INDIRECT("'"&amp;$A15&amp;"'!$A$2:$A$501"),"&lt;"&amp;($BA15+1),INDIRECT("'"&amp;$A15&amp;"'!$C$2:$C$501"),"Yes"),0)))</f>
        <v>0</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f>
        <v/>
      </c>
      <c r="AQ15" s="30" t="n">
        <f aca="true">IF(OR($A15="",$I15=""),"",IF($BC15="Y",SUMIFS(survey_frozen!$E$2:$E$251,survey_frozen!$P$2:$P$251,$A15&amp;"|"&amp;$B15),IFERROR(COUNTIFS(INDIRECT("'"&amp;$A15&amp;"'!$B$2:$B$501"),$T15,INDIRECT("'"&amp;$A15&amp;"'!$A$2:$A$501"),"&gt;="&amp;$I15,INDIRECT("'"&amp;$A15&amp;"'!$A$2:$A$501"),"&lt;"&amp;($BA15+1),INDIRECT("'"&amp;$A15&amp;"'!$F$2:$F$501"),"Didn't see it"),0)))</f>
        <v>0</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0</v>
      </c>
      <c r="AT15" s="30" t="n">
        <f aca="true">IF(OR($A15="",$I15=""),"",IF($BC15="Y",SUMIFS(survey_frozen!$H$2:$H$251,survey_frozen!$P$2:$P$251,$A15&amp;"|"&amp;$B15),IFERROR(COUNTIFS(INDIRECT("'"&amp;$A15&amp;"'!$B$2:$B$501"),$T15,INDIRECT("'"&amp;$A15&amp;"'!$A$2:$A$501"),"&gt;="&amp;$I15,INDIRECT("'"&amp;$A15&amp;"'!$A$2:$A$501"),"&lt;"&amp;($BA15+1),INDIRECT("'"&amp;$A15&amp;"'!$D$2:$D$501"),"&gt;=1"),0)))</f>
        <v>0</v>
      </c>
      <c r="AU15" s="30" t="n">
        <f aca="true">IF(OR($A15="",$I15=""),"",IF($BC15="Y",SUMIFS(survey_frozen!$I$2:$I$251,survey_frozen!$P$2:$P$251,$A15&amp;"|"&amp;$B15),IFERROR(SUMIFS(INDIRECT("'"&amp;$A15&amp;"'!$D$2:$D$501"),INDIRECT("'"&amp;$A15&amp;"'!$B$2:$B$501"),$T15,INDIRECT("'"&amp;$A15&amp;"'!$A$2:$A$501"),"&gt;="&amp;$I15,INDIRECT("'"&amp;$A15&amp;"'!$A$2:$A$501"),"&lt;"&amp;($BA15+1)),0)))</f>
        <v>0</v>
      </c>
      <c r="AV15" s="30" t="n">
        <f aca="true">IF(OR($A15="",$I15=""),"",IF($BC15="Y",SUMIFS(survey_frozen!$J$2:$J$251,survey_frozen!$P$2:$P$251,$A15&amp;"|"&amp;$B15),IFERROR(COUNTIFS(INDIRECT("'"&amp;$A15&amp;"'!$B$2:$B$501"),$T15,INDIRECT("'"&amp;$A15&amp;"'!$A$2:$A$501"),"&gt;="&amp;$I15,INDIRECT("'"&amp;$A15&amp;"'!$A$2:$A$501"),"&lt;"&amp;($BA15+1),INDIRECT("'"&amp;$A15&amp;"'!$E$2:$E$501"),"Yes"),0)))</f>
        <v>0</v>
      </c>
      <c r="AW15" s="30" t="n">
        <f aca="true">IF(OR($A15="",$I15=""),"",IF($BC15="Y",SUMIFS(survey_frozen!$K$2:$K$251,survey_frozen!$P$2:$P$251,$A15&amp;"|"&amp;$B15),IFERROR(COUNTIFS(INDIRECT("'"&amp;$A15&amp;"'!$B$2:$B$501"),$T15,INDIRECT("'"&amp;$A15&amp;"'!$A$2:$A$501"),"&gt;="&amp;$I15,INDIRECT("'"&amp;$A15&amp;"'!$A$2:$A$501"),"&lt;"&amp;($BA15+1),INDIRECT("'"&amp;$A15&amp;"'!$E$2:$E$501"),"Maybe"),0)))</f>
        <v>0</v>
      </c>
      <c r="AX15" s="30" t="n">
        <f aca="true">IF(OR($A15="",$I15=""),"",IF($BC15="Y",SUMIFS(survey_frozen!$L$2:$L$251,survey_frozen!$P$2:$P$251,$A15&amp;"|"&amp;$B15),IFERROR(COUNTIFS(INDIRECT("'"&amp;$A15&amp;"'!$B$2:$B$501"),$T15,INDIRECT("'"&amp;$A15&amp;"'!$A$2:$A$501"),"&gt;="&amp;$I15,INDIRECT("'"&amp;$A15&amp;"'!$A$2:$A$501"),"&lt;"&amp;($BA15+1),INDIRECT("'"&amp;$A15&amp;"'!$E$2:$E$501"),"No"),0)))</f>
        <v>0</v>
      </c>
      <c r="AY15" s="30" t="n">
        <f aca="true">IF(OR($A15="",$I15=""),"",IF($BC15="Y",SUMIFS(survey_frozen!$M$2:$M$251,survey_frozen!$P$2:$P$251,$A15&amp;"|"&amp;$B15),IFERROR(COUNTIFS(INDIRECT("'"&amp;$A15&amp;"'!$B$2:$B$501"),$T15,INDIRECT("'"&amp;$A15&amp;"'!$A$2:$A$501"),"&gt;="&amp;$I15,INDIRECT("'"&amp;$A15&amp;"'!$A$2:$A$501"),"&lt;"&amp;($BA15+1),INDIRECT("'"&amp;$A15&amp;"'!$G$2:$G$501"),"&lt;&gt;"),0)))</f>
        <v>0</v>
      </c>
      <c r="AZ15" s="30" t="str">
        <f aca="false">IF($A15="","",$A15&amp;"|"&amp;$L15)</f>
        <v>SAMPLE-CMP-003|4</v>
      </c>
      <c r="BA15" s="31" t="n">
        <f aca="false">IF($A15="","",IFERROR(IF(INDEX(drops!$R$2:$R$21,MATCH($H15,drops!$A$2:$A$21,0))="","",INDEX(drops!$R$2:$R$21,MATCH($H15,drops!$A$2:$A$21,0))),""))</f>
        <v>46434</v>
      </c>
      <c r="BB15" s="30" t="n">
        <f aca="false">IF(OR($A15="",$Q15&lt;&gt;"Y"),1000000,N($AL15))</f>
        <v>0</v>
      </c>
      <c r="BC15" s="30" t="str">
        <f aca="false">IF($A15="","",IF(COUNTIF(survey_frozen!$P$2:$P$251,$A15&amp;"|"&amp;$B15)&gt;0,"Y",""))</f>
        <v/>
      </c>
    </row>
    <row r="16" customFormat="false" ht="15" hidden="false" customHeight="false" outlineLevel="0" collapsed="false">
      <c r="A16" s="0" t="s">
        <v>490</v>
      </c>
      <c r="B16" s="0" t="s">
        <v>604</v>
      </c>
      <c r="C16" s="11" t="n">
        <v>46391</v>
      </c>
      <c r="D16" s="10" t="s">
        <v>652</v>
      </c>
      <c r="E16" s="11" t="n">
        <v>46393</v>
      </c>
      <c r="F16" s="10" t="s">
        <v>653</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IF($B16="","",IFERROR(IF(INDEX(offices!$N$2:$N$61,MATCH($B16,offices!$A$2:$A$61,0))="","",INDEX(offices!$N$2:$N$61,MATCH($B16,offices!$A$2:$A$61,0))),""))</f>
        <v>SAMPLE Studio Marlow</v>
      </c>
      <c r="L16" s="30" t="n">
        <f aca="false">IF($A16="","",IF($Q16="N","",COUNTIFS($A$2:$A16,$A16,$Q$2:$Q16,"&lt;&gt;N")))</f>
        <v>5</v>
      </c>
      <c r="M16" s="30" t="str">
        <f aca="false">IF(OR($A16="",$L16=""),"",IF(AND(config!$B$34="names_if_public",IFERROR(IF(INDEX(offices!$AF$2:$AF$61,MATCH($B16,offices!$A$2:$A$61,0))="","",INDEX(offices!$AF$2:$AF$61,MATCH($B16,offices!$A$2:$A$61,0))),"")="Y"),$K16,CHAR(64+$L16)))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C$2:$AC$61,MATCH($B16,offices!$A$2:$A$61,0))="","",INDEX(offices!$AC$2:$AC$61,MATCH($B16,offices!$A$2:$A$61,0))),"")&lt;&gt;"",ISNUMBER(SEARCH($J16,IFERROR(IF(INDEX(offices!$AC$2:$AC$61,MATCH($B16,offices!$A$2:$A$61,0))="","",INDEX(offices!$AC$2:$AC$61,MATCH($B16,offices!$A$2:$A$61,0))),"")))),"BRAND VETOED; ","")&amp;IF(ISNUMBER(SEARCH(IFERROR(IF(INDEX(campaigns!$BF$2:$BF$51,MATCH($A16,campaigns!$A$2:$A$51,0))="","",INDEX(campaigns!$BF$2:$BF$51,MATCH($A16,campaigns!$A$2:$A$51,0))),""),IFERROR(IF(INDEX(offices!$AB$2:$AB$61,MATCH($B16,offices!$A$2:$A$61,0))="","",INDEX(offices!$AB$2:$AB$61,MATCH($B16,offices!$A$2:$A$61,0))),""))),"","info: category not on the office's list; ")&amp;IF(IFERROR(IF(INDEX(offices!$AC$2:$AC$61,MATCH($B16,offices!$A$2:$A$61,0))="","",INDEX(offices!$AC$2:$AC$61,MATCH($B16,offices!$A$2:$A$61,0))),"")&lt;&gt;"","info: read the vetoes against the label; ",""))</f>
        <v/>
      </c>
      <c r="S16" s="30" t="n">
        <f aca="false">IF($A16="","",IF($G16&lt;&gt;"",$G16,IFERROR(IF(INDEX(offices!$AL$2:$AL$61,MATCH($B16,offices!$A$2:$A$61,0))="","",INDEX(offices!$AL$2:$AL$61,MATCH($B16,offices!$A$2:$A$61,0))),"")))</f>
        <v>70</v>
      </c>
      <c r="T16" s="30" t="str">
        <f aca="false">IF($A16="","",$A16&amp;"."&amp;$B16)</f>
        <v>SAMPLE-CMP-003.SAMPLE-O-005</v>
      </c>
      <c r="U16" s="30" t="n">
        <f aca="false">IF($A16="","",SUMIFS(inventory!$G$2:$G$801,inventory!$C$2:$C$801,$A16,inventory!$D$2:$D$801,$B16,inventory!$E$2:$E$801,"delivered"))</f>
        <v>0</v>
      </c>
      <c r="V16" s="37" t="str">
        <f aca="false">IF($A16="","",IFERROR(1/(1/SUMPRODUCT(MAX((inventory!$C$2:$C$801=$A16)*(inventory!$D$2:$D$801=$B16)*(inventory!$E$2:$E$801="delivered")*(inventory!$A$2:$A$801+inventory!$B$2:$B$801)))),""))</f>
        <v/>
      </c>
      <c r="W16" s="30" t="str">
        <f aca="false">IF($A16="","",IFERROR(IF(INDEX(inventory!$J$2:$J$801,MATCH($A16&amp;"|"&amp;$B16&amp;"|delivered",inventory!$R$2:$R$801,0))="","",INDEX(inventory!$J$2:$J$801,MATCH($A16&amp;"|"&amp;$B16&amp;"|delivered",inventory!$R$2:$R$801,0))),""))</f>
        <v/>
      </c>
      <c r="X16" s="30" t="str">
        <f aca="false">IF($A16="","",IFERROR(IF(INDEX(photos!$H$2:$H$701,MATCH($A16&amp;"|"&amp;$B16&amp;"|placement|Y",photos!$R$2:$R$701,0))="","",INDEX(photos!$H$2:$H$701,MATCH($A16&amp;"|"&amp;$B16&amp;"|placement|Y",photos!$R$2:$R$701,0))),""))</f>
        <v/>
      </c>
      <c r="Y16" s="31" t="str">
        <f aca="false">IF($A16="","",IFERROR(IF(INDEX(photos!$E$2:$E$701,MATCH($A16&amp;"|"&amp;$B16&amp;"|placement|Y",photos!$R$2:$R$701,0))="","",INDEX(photos!$E$2:$E$701,MATCH($A16&amp;"|"&amp;$B16&amp;"|placement|Y",photos!$R$2:$R$701,0))),""))</f>
        <v/>
      </c>
      <c r="Z16" s="30" t="str">
        <f aca="false">IF($A16="","",IF(COUNTIFS(counts!$C$2:$C$701,$A16,counts!$D$2:$D$701,$B16,counts!$E$2:$E$701,"placed")=0,"",SUMIFS(counts!$F$2:$F$701,counts!$C$2:$C$701,$A16,counts!$D$2:$D$701,$B16,counts!$E$2:$E$701,"placed")))</f>
        <v/>
      </c>
      <c r="AA16" s="30" t="n">
        <f aca="false">IF($A16="","",IF($Y16="",0,N($Z16)))</f>
        <v>0</v>
      </c>
      <c r="AB16" s="30" t="str">
        <f aca="false">IF($A16="","",IF(OR($Y16="",$I16=""),"N",IF($Y16&lt;=WORKDAY(N($I16),1,calendar!$A$2:$A$80),"Y","N")))</f>
        <v>N</v>
      </c>
      <c r="AC16" s="33" t="str">
        <f aca="false">IF(OR($A16="",$V16="",$Y16=""),"",ROUND(($Y16+N(IFERROR(IF(INDEX(photos!$F$2:$F$701,MATCH($A16&amp;"|"&amp;$B16&amp;"|placement|Y",photos!$R$2:$R$701,0))="","",INDEX(photos!$F$2:$F$701,MATCH($A16&amp;"|"&amp;$B16&amp;"|placement|Y",photos!$R$2:$R$701,0))),""))-$V16)*24,1))</f>
        <v/>
      </c>
      <c r="AD16" s="30" t="n">
        <f aca="false">IF($A16="","",SUMIFS(inventory!$G$2:$G$801,inventory!$C$2:$C$801,$A16,inventory!$D$2:$D$801,$B16,inventory!$E$2:$E$801,"topped_up"))</f>
        <v>0</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N</v>
      </c>
      <c r="AL16" s="30" t="n">
        <f aca="true">IF(OR($A16="",$I16=""),"",IF($BC16="Y",SUMIFS(survey_frozen!$C$2:$C$251,survey_frozen!$P$2:$P$251,$A16&amp;"|"&amp;$B16),IFERROR(COUNTIFS(INDIRECT("'"&amp;$A16&amp;"'!$B$2:$B$501"),$T16,INDIRECT("'"&amp;$A16&amp;"'!$A$2:$A$501"),"&gt;="&amp;$I16,INDIRECT("'"&amp;$A16&amp;"'!$A$2:$A$501"),"&lt;"&amp;($BA16+1)),0)))</f>
        <v>0</v>
      </c>
      <c r="AM16" s="30" t="n">
        <f aca="true">IF(OR($A16="",$I16=""),"",IF($BC16="Y",SUMIFS(survey_frozen!$D$2:$D$251,survey_frozen!$P$2:$P$251,$A16&amp;"|"&amp;$B16),IFERROR(COUNTIFS(INDIRECT("'"&amp;$A16&amp;"'!$B$2:$B$501"),$T16,INDIRECT("'"&amp;$A16&amp;"'!$A$2:$A$501"),"&gt;="&amp;$I16,INDIRECT("'"&amp;$A16&amp;"'!$A$2:$A$501"),"&lt;"&amp;($BA16+1),INDIRECT("'"&amp;$A16&amp;"'!$C$2:$C$501"),"Yes"),0)))</f>
        <v>0</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f>
        <v/>
      </c>
      <c r="AQ16" s="30" t="n">
        <f aca="true">IF(OR($A16="",$I16=""),"",IF($BC16="Y",SUMIFS(survey_frozen!$E$2:$E$251,survey_frozen!$P$2:$P$251,$A16&amp;"|"&amp;$B16),IFERROR(COUNTIFS(INDIRECT("'"&amp;$A16&amp;"'!$B$2:$B$501"),$T16,INDIRECT("'"&amp;$A16&amp;"'!$A$2:$A$501"),"&gt;="&amp;$I16,INDIRECT("'"&amp;$A16&amp;"'!$A$2:$A$501"),"&lt;"&amp;($BA16+1),INDIRECT("'"&amp;$A16&amp;"'!$F$2:$F$501"),"Didn't see it"),0)))</f>
        <v>0</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0</v>
      </c>
      <c r="AU16" s="30" t="n">
        <f aca="true">IF(OR($A16="",$I16=""),"",IF($BC16="Y",SUMIFS(survey_frozen!$I$2:$I$251,survey_frozen!$P$2:$P$251,$A16&amp;"|"&amp;$B16),IFERROR(SUMIFS(INDIRECT("'"&amp;$A16&amp;"'!$D$2:$D$501"),INDIRECT("'"&amp;$A16&amp;"'!$B$2:$B$501"),$T16,INDIRECT("'"&amp;$A16&amp;"'!$A$2:$A$501"),"&gt;="&amp;$I16,INDIRECT("'"&amp;$A16&amp;"'!$A$2:$A$501"),"&lt;"&amp;($BA16+1)),0)))</f>
        <v>0</v>
      </c>
      <c r="AV16" s="30" t="n">
        <f aca="true">IF(OR($A16="",$I16=""),"",IF($BC16="Y",SUMIFS(survey_frozen!$J$2:$J$251,survey_frozen!$P$2:$P$251,$A16&amp;"|"&amp;$B16),IFERROR(COUNTIFS(INDIRECT("'"&amp;$A16&amp;"'!$B$2:$B$501"),$T16,INDIRECT("'"&amp;$A16&amp;"'!$A$2:$A$501"),"&gt;="&amp;$I16,INDIRECT("'"&amp;$A16&amp;"'!$A$2:$A$501"),"&lt;"&amp;($BA16+1),INDIRECT("'"&amp;$A16&amp;"'!$E$2:$E$501"),"Yes"),0)))</f>
        <v>0</v>
      </c>
      <c r="AW16" s="30" t="n">
        <f aca="true">IF(OR($A16="",$I16=""),"",IF($BC16="Y",SUMIFS(survey_frozen!$K$2:$K$251,survey_frozen!$P$2:$P$251,$A16&amp;"|"&amp;$B16),IFERROR(COUNTIFS(INDIRECT("'"&amp;$A16&amp;"'!$B$2:$B$501"),$T16,INDIRECT("'"&amp;$A16&amp;"'!$A$2:$A$501"),"&gt;="&amp;$I16,INDIRECT("'"&amp;$A16&amp;"'!$A$2:$A$501"),"&lt;"&amp;($BA16+1),INDIRECT("'"&amp;$A16&amp;"'!$E$2:$E$501"),"Maybe"),0)))</f>
        <v>0</v>
      </c>
      <c r="AX16" s="30" t="n">
        <f aca="true">IF(OR($A16="",$I16=""),"",IF($BC16="Y",SUMIFS(survey_frozen!$L$2:$L$251,survey_frozen!$P$2:$P$251,$A16&amp;"|"&amp;$B16),IFERROR(COUNTIFS(INDIRECT("'"&amp;$A16&amp;"'!$B$2:$B$501"),$T16,INDIRECT("'"&amp;$A16&amp;"'!$A$2:$A$501"),"&gt;="&amp;$I16,INDIRECT("'"&amp;$A16&amp;"'!$A$2:$A$501"),"&lt;"&amp;($BA16+1),INDIRECT("'"&amp;$A16&amp;"'!$E$2:$E$501"),"No"),0)))</f>
        <v>0</v>
      </c>
      <c r="AY16" s="30" t="n">
        <f aca="true">IF(OR($A16="",$I16=""),"",IF($BC16="Y",SUMIFS(survey_frozen!$M$2:$M$251,survey_frozen!$P$2:$P$251,$A16&amp;"|"&amp;$B16),IFERROR(COUNTIFS(INDIRECT("'"&amp;$A16&amp;"'!$B$2:$B$501"),$T16,INDIRECT("'"&amp;$A16&amp;"'!$A$2:$A$501"),"&gt;="&amp;$I16,INDIRECT("'"&amp;$A16&amp;"'!$A$2:$A$501"),"&lt;"&amp;($BA16+1),INDIRECT("'"&amp;$A16&amp;"'!$G$2:$G$501"),"&lt;&gt;"),0)))</f>
        <v>0</v>
      </c>
      <c r="AZ16" s="30" t="str">
        <f aca="false">IF($A16="","",$A16&amp;"|"&amp;$L16)</f>
        <v>SAMPLE-CMP-003|5</v>
      </c>
      <c r="BA16" s="31" t="n">
        <f aca="false">IF($A16="","",IFERROR(IF(INDEX(drops!$R$2:$R$21,MATCH($H16,drops!$A$2:$A$21,0))="","",INDEX(drops!$R$2:$R$21,MATCH($H16,drops!$A$2:$A$21,0))),""))</f>
        <v>46434</v>
      </c>
      <c r="BB16" s="30" t="n">
        <f aca="false">IF(OR($A16="",$Q16&lt;&gt;"Y"),1000000,N($AL16))</f>
        <v>0</v>
      </c>
      <c r="BC16" s="30" t="str">
        <f aca="false">IF($A16="","",IF(COUNTIF(survey_frozen!$P$2:$P$251,$A16&amp;"|"&amp;$B16)&gt;0,"Y",""))</f>
        <v/>
      </c>
    </row>
    <row r="17" customFormat="false" ht="15" hidden="false" customHeight="false" outlineLevel="0" collapsed="false">
      <c r="A17" s="0" t="s">
        <v>490</v>
      </c>
      <c r="B17" s="0" t="s">
        <v>606</v>
      </c>
      <c r="C17" s="11" t="n">
        <v>46392</v>
      </c>
      <c r="D17" s="10" t="s">
        <v>652</v>
      </c>
      <c r="E17" s="11" t="n">
        <v>46395</v>
      </c>
      <c r="F17" s="10" t="s">
        <v>653</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IF($B17="","",IFERROR(IF(INDEX(offices!$N$2:$N$61,MATCH($B17,offices!$A$2:$A$61,0))="","",INDEX(offices!$N$2:$N$61,MATCH($B17,offices!$A$2:$A$61,0))),""))</f>
        <v>SAMPLE Kestrel Analytics</v>
      </c>
      <c r="L17" s="30" t="n">
        <f aca="false">IF($A17="","",IF($Q17="N","",COUNTIFS($A$2:$A17,$A17,$Q$2:$Q17,"&lt;&gt;N")))</f>
        <v>6</v>
      </c>
      <c r="M17" s="30" t="str">
        <f aca="false">IF(OR($A17="",$L17=""),"",IF(AND(config!$B$34="names_if_public",IFERROR(IF(INDEX(offices!$AF$2:$AF$61,MATCH($B17,offices!$A$2:$A$61,0))="","",INDEX(offices!$AF$2:$AF$61,MATCH($B17,offices!$A$2:$A$61,0))),"")="Y"),$K17,CHAR(64+$L17)))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C$2:$AC$61,MATCH($B17,offices!$A$2:$A$61,0))="","",INDEX(offices!$AC$2:$AC$61,MATCH($B17,offices!$A$2:$A$61,0))),"")&lt;&gt;"",ISNUMBER(SEARCH($J17,IFERROR(IF(INDEX(offices!$AC$2:$AC$61,MATCH($B17,offices!$A$2:$A$61,0))="","",INDEX(offices!$AC$2:$AC$61,MATCH($B17,offices!$A$2:$A$61,0))),"")))),"BRAND VETOED; ","")&amp;IF(ISNUMBER(SEARCH(IFERROR(IF(INDEX(campaigns!$BF$2:$BF$51,MATCH($A17,campaigns!$A$2:$A$51,0))="","",INDEX(campaigns!$BF$2:$BF$51,MATCH($A17,campaigns!$A$2:$A$51,0))),""),IFERROR(IF(INDEX(offices!$AB$2:$AB$61,MATCH($B17,offices!$A$2:$A$61,0))="","",INDEX(offices!$AB$2:$AB$61,MATCH($B17,offices!$A$2:$A$61,0))),""))),"","info: category not on the office's list; ")&amp;IF(IFERROR(IF(INDEX(offices!$AC$2:$AC$61,MATCH($B17,offices!$A$2:$A$61,0))="","",INDEX(offices!$AC$2:$AC$61,MATCH($B17,offices!$A$2:$A$61,0))),"")&lt;&gt;"","info: read the vetoes against the label; ",""))</f>
        <v/>
      </c>
      <c r="S17" s="30" t="n">
        <f aca="false">IF($A17="","",IF($G17&lt;&gt;"",$G17,IFERROR(IF(INDEX(offices!$AL$2:$AL$61,MATCH($B17,offices!$A$2:$A$61,0))="","",INDEX(offices!$AL$2:$AL$61,MATCH($B17,offices!$A$2:$A$61,0))),"")))</f>
        <v>45</v>
      </c>
      <c r="T17" s="30" t="str">
        <f aca="false">IF($A17="","",$A17&amp;"."&amp;$B17)</f>
        <v>SAMPLE-CMP-003.SAMPLE-O-006</v>
      </c>
      <c r="U17" s="30" t="n">
        <f aca="false">IF($A17="","",SUMIFS(inventory!$G$2:$G$801,inventory!$C$2:$C$801,$A17,inventory!$D$2:$D$801,$B17,inventory!$E$2:$E$801,"delivered"))</f>
        <v>0</v>
      </c>
      <c r="V17" s="37" t="str">
        <f aca="false">IF($A17="","",IFERROR(1/(1/SUMPRODUCT(MAX((inventory!$C$2:$C$801=$A17)*(inventory!$D$2:$D$801=$B17)*(inventory!$E$2:$E$801="delivered")*(inventory!$A$2:$A$801+inventory!$B$2:$B$801)))),""))</f>
        <v/>
      </c>
      <c r="W17" s="30" t="str">
        <f aca="false">IF($A17="","",IFERROR(IF(INDEX(inventory!$J$2:$J$801,MATCH($A17&amp;"|"&amp;$B17&amp;"|delivered",inventory!$R$2:$R$801,0))="","",INDEX(inventory!$J$2:$J$801,MATCH($A17&amp;"|"&amp;$B17&amp;"|delivered",inventory!$R$2:$R$801,0))),""))</f>
        <v/>
      </c>
      <c r="X17" s="30" t="str">
        <f aca="false">IF($A17="","",IFERROR(IF(INDEX(photos!$H$2:$H$701,MATCH($A17&amp;"|"&amp;$B17&amp;"|placement|Y",photos!$R$2:$R$701,0))="","",INDEX(photos!$H$2:$H$701,MATCH($A17&amp;"|"&amp;$B17&amp;"|placement|Y",photos!$R$2:$R$701,0))),""))</f>
        <v/>
      </c>
      <c r="Y17" s="31" t="str">
        <f aca="false">IF($A17="","",IFERROR(IF(INDEX(photos!$E$2:$E$701,MATCH($A17&amp;"|"&amp;$B17&amp;"|placement|Y",photos!$R$2:$R$701,0))="","",INDEX(photos!$E$2:$E$701,MATCH($A17&amp;"|"&amp;$B17&amp;"|placement|Y",photos!$R$2:$R$701,0))),""))</f>
        <v/>
      </c>
      <c r="Z17" s="30" t="str">
        <f aca="false">IF($A17="","",IF(COUNTIFS(counts!$C$2:$C$701,$A17,counts!$D$2:$D$701,$B17,counts!$E$2:$E$701,"placed")=0,"",SUMIFS(counts!$F$2:$F$701,counts!$C$2:$C$701,$A17,counts!$D$2:$D$701,$B17,counts!$E$2:$E$701,"placed")))</f>
        <v/>
      </c>
      <c r="AA17" s="30" t="n">
        <f aca="false">IF($A17="","",IF($Y17="",0,N($Z17)))</f>
        <v>0</v>
      </c>
      <c r="AB17" s="30" t="str">
        <f aca="false">IF($A17="","",IF(OR($Y17="",$I17=""),"N",IF($Y17&lt;=WORKDAY(N($I17),1,calendar!$A$2:$A$80),"Y","N")))</f>
        <v>N</v>
      </c>
      <c r="AC17" s="33" t="str">
        <f aca="false">IF(OR($A17="",$V17="",$Y17=""),"",ROUND(($Y17+N(IFERROR(IF(INDEX(photos!$F$2:$F$701,MATCH($A17&amp;"|"&amp;$B17&amp;"|placement|Y",photos!$R$2:$R$701,0))="","",INDEX(photos!$F$2:$F$701,MATCH($A17&amp;"|"&amp;$B17&amp;"|placement|Y",photos!$R$2:$R$701,0))),""))-$V17)*24,1))</f>
        <v/>
      </c>
      <c r="AD17" s="30" t="n">
        <f aca="false">IF($A17="","",SUMIFS(inventory!$G$2:$G$801,inventory!$C$2:$C$801,$A17,inventory!$D$2:$D$801,$B17,inventory!$E$2:$E$801,"topped_up"))</f>
        <v>0</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N</v>
      </c>
      <c r="AL17" s="30" t="n">
        <f aca="true">IF(OR($A17="",$I17=""),"",IF($BC17="Y",SUMIFS(survey_frozen!$C$2:$C$251,survey_frozen!$P$2:$P$251,$A17&amp;"|"&amp;$B17),IFERROR(COUNTIFS(INDIRECT("'"&amp;$A17&amp;"'!$B$2:$B$501"),$T17,INDIRECT("'"&amp;$A17&amp;"'!$A$2:$A$501"),"&gt;="&amp;$I17,INDIRECT("'"&amp;$A17&amp;"'!$A$2:$A$501"),"&lt;"&amp;($BA17+1)),0)))</f>
        <v>0</v>
      </c>
      <c r="AM17" s="30" t="n">
        <f aca="true">IF(OR($A17="",$I17=""),"",IF($BC17="Y",SUMIFS(survey_frozen!$D$2:$D$251,survey_frozen!$P$2:$P$251,$A17&amp;"|"&amp;$B17),IFERROR(COUNTIFS(INDIRECT("'"&amp;$A17&amp;"'!$B$2:$B$501"),$T17,INDIRECT("'"&amp;$A17&amp;"'!$A$2:$A$501"),"&gt;="&amp;$I17,INDIRECT("'"&amp;$A17&amp;"'!$A$2:$A$501"),"&lt;"&amp;($BA17+1),INDIRECT("'"&amp;$A17&amp;"'!$C$2:$C$501"),"Yes"),0)))</f>
        <v>0</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f>
        <v/>
      </c>
      <c r="AQ17" s="30" t="n">
        <f aca="true">IF(OR($A17="",$I17=""),"",IF($BC17="Y",SUMIFS(survey_frozen!$E$2:$E$251,survey_frozen!$P$2:$P$251,$A17&amp;"|"&amp;$B17),IFERROR(COUNTIFS(INDIRECT("'"&amp;$A17&amp;"'!$B$2:$B$501"),$T17,INDIRECT("'"&amp;$A17&amp;"'!$A$2:$A$501"),"&gt;="&amp;$I17,INDIRECT("'"&amp;$A17&amp;"'!$A$2:$A$501"),"&lt;"&amp;($BA17+1),INDIRECT("'"&amp;$A17&amp;"'!$F$2:$F$501"),"Didn't see it"),0)))</f>
        <v>0</v>
      </c>
      <c r="AR17" s="30" t="n">
        <f aca="true">IF(OR($A17="",$I17=""),"",IF($BC17="Y",SUMIFS(survey_frozen!$F$2:$F$251,survey_frozen!$P$2:$P$251,$A17&amp;"|"&amp;$B17),IFERROR(COUNTIFS(INDIRECT("'"&amp;$A17&amp;"'!$B$2:$B$501"),$T17,INDIRECT("'"&amp;$A17&amp;"'!$A$2:$A$501"),"&gt;="&amp;$I17,INDIRECT("'"&amp;$A17&amp;"'!$A$2:$A$501"),"&lt;"&amp;($BA17+1),INDIRECT("'"&amp;$A17&amp;"'!$F$2:$F$501"),"Not for me"),0)))</f>
        <v>0</v>
      </c>
      <c r="AS17" s="30" t="n">
        <f aca="true">IF(OR($A17="",$I17=""),"",IF($BC17="Y",SUMIFS(survey_frozen!$G$2:$G$251,survey_frozen!$P$2:$P$251,$A17&amp;"|"&amp;$B17),IFERROR(COUNTIFS(INDIRECT("'"&amp;$A17&amp;"'!$B$2:$B$501"),$T17,INDIRECT("'"&amp;$A17&amp;"'!$A$2:$A$501"),"&gt;="&amp;$I17,INDIRECT("'"&amp;$A17&amp;"'!$A$2:$A$501"),"&lt;"&amp;($BA17+1),INDIRECT("'"&amp;$A17&amp;"'!$F$2:$F$501"),"Gone by the time I looked"),0)))</f>
        <v>0</v>
      </c>
      <c r="AT17" s="30" t="n">
        <f aca="true">IF(OR($A17="",$I17=""),"",IF($BC17="Y",SUMIFS(survey_frozen!$H$2:$H$251,survey_frozen!$P$2:$P$251,$A17&amp;"|"&amp;$B17),IFERROR(COUNTIFS(INDIRECT("'"&amp;$A17&amp;"'!$B$2:$B$501"),$T17,INDIRECT("'"&amp;$A17&amp;"'!$A$2:$A$501"),"&gt;="&amp;$I17,INDIRECT("'"&amp;$A17&amp;"'!$A$2:$A$501"),"&lt;"&amp;($BA17+1),INDIRECT("'"&amp;$A17&amp;"'!$D$2:$D$501"),"&gt;=1"),0)))</f>
        <v>0</v>
      </c>
      <c r="AU17" s="30" t="n">
        <f aca="true">IF(OR($A17="",$I17=""),"",IF($BC17="Y",SUMIFS(survey_frozen!$I$2:$I$251,survey_frozen!$P$2:$P$251,$A17&amp;"|"&amp;$B17),IFERROR(SUMIFS(INDIRECT("'"&amp;$A17&amp;"'!$D$2:$D$501"),INDIRECT("'"&amp;$A17&amp;"'!$B$2:$B$501"),$T17,INDIRECT("'"&amp;$A17&amp;"'!$A$2:$A$501"),"&gt;="&amp;$I17,INDIRECT("'"&amp;$A17&amp;"'!$A$2:$A$501"),"&lt;"&amp;($BA17+1)),0)))</f>
        <v>0</v>
      </c>
      <c r="AV17" s="30" t="n">
        <f aca="true">IF(OR($A17="",$I17=""),"",IF($BC17="Y",SUMIFS(survey_frozen!$J$2:$J$251,survey_frozen!$P$2:$P$251,$A17&amp;"|"&amp;$B17),IFERROR(COUNTIFS(INDIRECT("'"&amp;$A17&amp;"'!$B$2:$B$501"),$T17,INDIRECT("'"&amp;$A17&amp;"'!$A$2:$A$501"),"&gt;="&amp;$I17,INDIRECT("'"&amp;$A17&amp;"'!$A$2:$A$501"),"&lt;"&amp;($BA17+1),INDIRECT("'"&amp;$A17&amp;"'!$E$2:$E$501"),"Yes"),0)))</f>
        <v>0</v>
      </c>
      <c r="AW17" s="30" t="n">
        <f aca="true">IF(OR($A17="",$I17=""),"",IF($BC17="Y",SUMIFS(survey_frozen!$K$2:$K$251,survey_frozen!$P$2:$P$251,$A17&amp;"|"&amp;$B17),IFERROR(COUNTIFS(INDIRECT("'"&amp;$A17&amp;"'!$B$2:$B$501"),$T17,INDIRECT("'"&amp;$A17&amp;"'!$A$2:$A$501"),"&gt;="&amp;$I17,INDIRECT("'"&amp;$A17&amp;"'!$A$2:$A$501"),"&lt;"&amp;($BA17+1),INDIRECT("'"&amp;$A17&amp;"'!$E$2:$E$501"),"Maybe"),0)))</f>
        <v>0</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0</v>
      </c>
      <c r="AZ17" s="30" t="str">
        <f aca="false">IF($A17="","",$A17&amp;"|"&amp;$L17)</f>
        <v>SAMPLE-CMP-003|6</v>
      </c>
      <c r="BA17" s="31" t="n">
        <f aca="false">IF($A17="","",IFERROR(IF(INDEX(drops!$R$2:$R$21,MATCH($H17,drops!$A$2:$A$21,0))="","",INDEX(drops!$R$2:$R$21,MATCH($H17,drops!$A$2:$A$21,0))),""))</f>
        <v>46434</v>
      </c>
      <c r="BB17" s="30" t="n">
        <f aca="false">IF(OR($A17="",$Q17&lt;&gt;"Y"),1000000,N($AL17))</f>
        <v>0</v>
      </c>
      <c r="BC17" s="30" t="str">
        <f aca="false">IF($A17="","",IF(COUNTIF(survey_frozen!$P$2:$P$251,$A17&amp;"|"&amp;$B17)&gt;0,"Y",""))</f>
        <v/>
      </c>
    </row>
    <row r="18" customFormat="false" ht="15" hidden="false" customHeight="false" outlineLevel="0" collapsed="false">
      <c r="A18" s="0" t="s">
        <v>490</v>
      </c>
      <c r="B18" s="0" t="s">
        <v>608</v>
      </c>
      <c r="C18" s="11" t="n">
        <v>46393</v>
      </c>
      <c r="D18" s="10" t="s">
        <v>652</v>
      </c>
      <c r="E18" s="11" t="n">
        <v>46394</v>
      </c>
      <c r="F18" s="10" t="s">
        <v>653</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IF($B18="","",IFERROR(IF(INDEX(offices!$N$2:$N$61,MATCH($B18,offices!$A$2:$A$61,0))="","",INDEX(offices!$N$2:$N$61,MATCH($B18,offices!$A$2:$A$61,0))),""))</f>
        <v>SAMPLE Brine &amp; Bell PR</v>
      </c>
      <c r="L18" s="30" t="n">
        <f aca="false">IF($A18="","",IF($Q18="N","",COUNTIFS($A$2:$A18,$A18,$Q$2:$Q18,"&lt;&gt;N")))</f>
        <v>7</v>
      </c>
      <c r="M18" s="30" t="str">
        <f aca="false">IF(OR($A18="",$L18=""),"",IF(AND(config!$B$34="names_if_public",IFERROR(IF(INDEX(offices!$AF$2:$AF$61,MATCH($B18,offices!$A$2:$A$61,0))="","",INDEX(offices!$AF$2:$AF$61,MATCH($B18,offices!$A$2:$A$61,0))),"")="Y"),$K18,CHAR(64+$L18)))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C$2:$AC$61,MATCH($B18,offices!$A$2:$A$61,0))="","",INDEX(offices!$AC$2:$AC$61,MATCH($B18,offices!$A$2:$A$61,0))),"")&lt;&gt;"",ISNUMBER(SEARCH($J18,IFERROR(IF(INDEX(offices!$AC$2:$AC$61,MATCH($B18,offices!$A$2:$A$61,0))="","",INDEX(offices!$AC$2:$AC$61,MATCH($B18,offices!$A$2:$A$61,0))),"")))),"BRAND VETOED; ","")&amp;IF(ISNUMBER(SEARCH(IFERROR(IF(INDEX(campaigns!$BF$2:$BF$51,MATCH($A18,campaigns!$A$2:$A$51,0))="","",INDEX(campaigns!$BF$2:$BF$51,MATCH($A18,campaigns!$A$2:$A$51,0))),""),IFERROR(IF(INDEX(offices!$AB$2:$AB$61,MATCH($B18,offices!$A$2:$A$61,0))="","",INDEX(offices!$AB$2:$AB$61,MATCH($B18,offices!$A$2:$A$61,0))),""))),"","info: category not on the office's list; ")&amp;IF(IFERROR(IF(INDEX(offices!$AC$2:$AC$61,MATCH($B18,offices!$A$2:$A$61,0))="","",INDEX(offices!$AC$2:$AC$61,MATCH($B18,offices!$A$2:$A$61,0))),"")&lt;&gt;"","info: read the vetoes against the label; ",""))</f>
        <v>info: read the vetoes against the label; </v>
      </c>
      <c r="S18" s="30" t="n">
        <f aca="false">IF($A18="","",IF($G18&lt;&gt;"",$G18,IFERROR(IF(INDEX(offices!$AL$2:$AL$61,MATCH($B18,offices!$A$2:$A$61,0))="","",INDEX(offices!$AL$2:$AL$61,MATCH($B18,offices!$A$2:$A$61,0))),"")))</f>
        <v>60</v>
      </c>
      <c r="T18" s="30" t="str">
        <f aca="false">IF($A18="","",$A18&amp;"."&amp;$B18)</f>
        <v>SAMPLE-CMP-003.SAMPLE-O-007</v>
      </c>
      <c r="U18" s="30" t="n">
        <f aca="false">IF($A18="","",SUMIFS(inventory!$G$2:$G$801,inventory!$C$2:$C$801,$A18,inventory!$D$2:$D$801,$B18,inventory!$E$2:$E$801,"delivered"))</f>
        <v>0</v>
      </c>
      <c r="V18" s="37" t="str">
        <f aca="false">IF($A18="","",IFERROR(1/(1/SUMPRODUCT(MAX((inventory!$C$2:$C$801=$A18)*(inventory!$D$2:$D$801=$B18)*(inventory!$E$2:$E$801="delivered")*(inventory!$A$2:$A$801+inventory!$B$2:$B$801)))),""))</f>
        <v/>
      </c>
      <c r="W18" s="30" t="str">
        <f aca="false">IF($A18="","",IFERROR(IF(INDEX(inventory!$J$2:$J$801,MATCH($A18&amp;"|"&amp;$B18&amp;"|delivered",inventory!$R$2:$R$801,0))="","",INDEX(inventory!$J$2:$J$801,MATCH($A18&amp;"|"&amp;$B18&amp;"|delivered",inventory!$R$2:$R$801,0))),""))</f>
        <v/>
      </c>
      <c r="X18" s="30" t="str">
        <f aca="false">IF($A18="","",IFERROR(IF(INDEX(photos!$H$2:$H$701,MATCH($A18&amp;"|"&amp;$B18&amp;"|placement|Y",photos!$R$2:$R$701,0))="","",INDEX(photos!$H$2:$H$701,MATCH($A18&amp;"|"&amp;$B18&amp;"|placement|Y",photos!$R$2:$R$701,0))),""))</f>
        <v/>
      </c>
      <c r="Y18" s="31" t="str">
        <f aca="false">IF($A18="","",IFERROR(IF(INDEX(photos!$E$2:$E$701,MATCH($A18&amp;"|"&amp;$B18&amp;"|placement|Y",photos!$R$2:$R$701,0))="","",INDEX(photos!$E$2:$E$701,MATCH($A18&amp;"|"&amp;$B18&amp;"|placement|Y",photos!$R$2:$R$701,0))),""))</f>
        <v/>
      </c>
      <c r="Z18" s="30" t="str">
        <f aca="false">IF($A18="","",IF(COUNTIFS(counts!$C$2:$C$701,$A18,counts!$D$2:$D$701,$B18,counts!$E$2:$E$701,"placed")=0,"",SUMIFS(counts!$F$2:$F$701,counts!$C$2:$C$701,$A18,counts!$D$2:$D$701,$B18,counts!$E$2:$E$701,"placed")))</f>
        <v/>
      </c>
      <c r="AA18" s="30" t="n">
        <f aca="false">IF($A18="","",IF($Y18="",0,N($Z18)))</f>
        <v>0</v>
      </c>
      <c r="AB18" s="30" t="str">
        <f aca="false">IF($A18="","",IF(OR($Y18="",$I18=""),"N",IF($Y18&lt;=WORKDAY(N($I18),1,calendar!$A$2:$A$80),"Y","N")))</f>
        <v>N</v>
      </c>
      <c r="AC18" s="33" t="str">
        <f aca="false">IF(OR($A18="",$V18="",$Y18=""),"",ROUND(($Y18+N(IFERROR(IF(INDEX(photos!$F$2:$F$701,MATCH($A18&amp;"|"&amp;$B18&amp;"|placement|Y",photos!$R$2:$R$701,0))="","",INDEX(photos!$F$2:$F$701,MATCH($A18&amp;"|"&amp;$B18&amp;"|placement|Y",photos!$R$2:$R$701,0))),""))-$V18)*24,1))</f>
        <v/>
      </c>
      <c r="AD18" s="30" t="n">
        <f aca="false">IF($A18="","",SUMIFS(inventory!$G$2:$G$801,inventory!$C$2:$C$801,$A18,inventory!$D$2:$D$801,$B18,inventory!$E$2:$E$801,"topped_up"))</f>
        <v>0</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N</v>
      </c>
      <c r="AL18" s="30" t="n">
        <f aca="true">IF(OR($A18="",$I18=""),"",IF($BC18="Y",SUMIFS(survey_frozen!$C$2:$C$251,survey_frozen!$P$2:$P$251,$A18&amp;"|"&amp;$B18),IFERROR(COUNTIFS(INDIRECT("'"&amp;$A18&amp;"'!$B$2:$B$501"),$T18,INDIRECT("'"&amp;$A18&amp;"'!$A$2:$A$501"),"&gt;="&amp;$I18,INDIRECT("'"&amp;$A18&amp;"'!$A$2:$A$501"),"&lt;"&amp;($BA18+1)),0)))</f>
        <v>0</v>
      </c>
      <c r="AM18" s="30" t="n">
        <f aca="true">IF(OR($A18="",$I18=""),"",IF($BC18="Y",SUMIFS(survey_frozen!$D$2:$D$251,survey_frozen!$P$2:$P$251,$A18&amp;"|"&amp;$B18),IFERROR(COUNTIFS(INDIRECT("'"&amp;$A18&amp;"'!$B$2:$B$501"),$T18,INDIRECT("'"&amp;$A18&amp;"'!$A$2:$A$501"),"&gt;="&amp;$I18,INDIRECT("'"&amp;$A18&amp;"'!$A$2:$A$501"),"&lt;"&amp;($BA18+1),INDIRECT("'"&amp;$A18&amp;"'!$C$2:$C$501"),"Yes"),0)))</f>
        <v>0</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0</v>
      </c>
      <c r="AR18" s="30" t="n">
        <f aca="true">IF(OR($A18="",$I18=""),"",IF($BC18="Y",SUMIFS(survey_frozen!$F$2:$F$251,survey_frozen!$P$2:$P$251,$A18&amp;"|"&amp;$B18),IFERROR(COUNTIFS(INDIRECT("'"&amp;$A18&amp;"'!$B$2:$B$501"),$T18,INDIRECT("'"&amp;$A18&amp;"'!$A$2:$A$501"),"&gt;="&amp;$I18,INDIRECT("'"&amp;$A18&amp;"'!$A$2:$A$501"),"&lt;"&amp;($BA18+1),INDIRECT("'"&amp;$A18&amp;"'!$F$2:$F$501"),"Not for me"),0)))</f>
        <v>0</v>
      </c>
      <c r="AS18" s="30" t="n">
        <f aca="true">IF(OR($A18="",$I18=""),"",IF($BC18="Y",SUMIFS(survey_frozen!$G$2:$G$251,survey_frozen!$P$2:$P$251,$A18&amp;"|"&amp;$B18),IFERROR(COUNTIFS(INDIRECT("'"&amp;$A18&amp;"'!$B$2:$B$501"),$T18,INDIRECT("'"&amp;$A18&amp;"'!$A$2:$A$501"),"&gt;="&amp;$I18,INDIRECT("'"&amp;$A18&amp;"'!$A$2:$A$501"),"&lt;"&amp;($BA18+1),INDIRECT("'"&amp;$A18&amp;"'!$F$2:$F$501"),"Gone by the time I looked"),0)))</f>
        <v>0</v>
      </c>
      <c r="AT18" s="30" t="n">
        <f aca="true">IF(OR($A18="",$I18=""),"",IF($BC18="Y",SUMIFS(survey_frozen!$H$2:$H$251,survey_frozen!$P$2:$P$251,$A18&amp;"|"&amp;$B18),IFERROR(COUNTIFS(INDIRECT("'"&amp;$A18&amp;"'!$B$2:$B$501"),$T18,INDIRECT("'"&amp;$A18&amp;"'!$A$2:$A$501"),"&gt;="&amp;$I18,INDIRECT("'"&amp;$A18&amp;"'!$A$2:$A$501"),"&lt;"&amp;($BA18+1),INDIRECT("'"&amp;$A18&amp;"'!$D$2:$D$501"),"&gt;=1"),0)))</f>
        <v>0</v>
      </c>
      <c r="AU18" s="30" t="n">
        <f aca="true">IF(OR($A18="",$I18=""),"",IF($BC18="Y",SUMIFS(survey_frozen!$I$2:$I$251,survey_frozen!$P$2:$P$251,$A18&amp;"|"&amp;$B18),IFERROR(SUMIFS(INDIRECT("'"&amp;$A18&amp;"'!$D$2:$D$501"),INDIRECT("'"&amp;$A18&amp;"'!$B$2:$B$501"),$T18,INDIRECT("'"&amp;$A18&amp;"'!$A$2:$A$501"),"&gt;="&amp;$I18,INDIRECT("'"&amp;$A18&amp;"'!$A$2:$A$501"),"&lt;"&amp;($BA18+1)),0)))</f>
        <v>0</v>
      </c>
      <c r="AV18" s="30" t="n">
        <f aca="true">IF(OR($A18="",$I18=""),"",IF($BC18="Y",SUMIFS(survey_frozen!$J$2:$J$251,survey_frozen!$P$2:$P$251,$A18&amp;"|"&amp;$B18),IFERROR(COUNTIFS(INDIRECT("'"&amp;$A18&amp;"'!$B$2:$B$501"),$T18,INDIRECT("'"&amp;$A18&amp;"'!$A$2:$A$501"),"&gt;="&amp;$I18,INDIRECT("'"&amp;$A18&amp;"'!$A$2:$A$501"),"&lt;"&amp;($BA18+1),INDIRECT("'"&amp;$A18&amp;"'!$E$2:$E$501"),"Yes"),0)))</f>
        <v>0</v>
      </c>
      <c r="AW18" s="30" t="n">
        <f aca="true">IF(OR($A18="",$I18=""),"",IF($BC18="Y",SUMIFS(survey_frozen!$K$2:$K$251,survey_frozen!$P$2:$P$251,$A18&amp;"|"&amp;$B18),IFERROR(COUNTIFS(INDIRECT("'"&amp;$A18&amp;"'!$B$2:$B$501"),$T18,INDIRECT("'"&amp;$A18&amp;"'!$A$2:$A$501"),"&gt;="&amp;$I18,INDIRECT("'"&amp;$A18&amp;"'!$A$2:$A$501"),"&lt;"&amp;($BA18+1),INDIRECT("'"&amp;$A18&amp;"'!$E$2:$E$501"),"Maybe"),0)))</f>
        <v>0</v>
      </c>
      <c r="AX18" s="30" t="n">
        <f aca="true">IF(OR($A18="",$I18=""),"",IF($BC18="Y",SUMIFS(survey_frozen!$L$2:$L$251,survey_frozen!$P$2:$P$251,$A18&amp;"|"&amp;$B18),IFERROR(COUNTIFS(INDIRECT("'"&amp;$A18&amp;"'!$B$2:$B$501"),$T18,INDIRECT("'"&amp;$A18&amp;"'!$A$2:$A$501"),"&gt;="&amp;$I18,INDIRECT("'"&amp;$A18&amp;"'!$A$2:$A$501"),"&lt;"&amp;($BA18+1),INDIRECT("'"&amp;$A18&amp;"'!$E$2:$E$501"),"No"),0)))</f>
        <v>0</v>
      </c>
      <c r="AY18" s="30" t="n">
        <f aca="true">IF(OR($A18="",$I18=""),"",IF($BC18="Y",SUMIFS(survey_frozen!$M$2:$M$251,survey_frozen!$P$2:$P$251,$A18&amp;"|"&amp;$B18),IFERROR(COUNTIFS(INDIRECT("'"&amp;$A18&amp;"'!$B$2:$B$501"),$T18,INDIRECT("'"&amp;$A18&amp;"'!$A$2:$A$501"),"&gt;="&amp;$I18,INDIRECT("'"&amp;$A18&amp;"'!$A$2:$A$501"),"&lt;"&amp;($BA18+1),INDIRECT("'"&amp;$A18&amp;"'!$G$2:$G$501"),"&lt;&gt;"),0)))</f>
        <v>0</v>
      </c>
      <c r="AZ18" s="30" t="str">
        <f aca="false">IF($A18="","",$A18&amp;"|"&amp;$L18)</f>
        <v>SAMPLE-CMP-003|7</v>
      </c>
      <c r="BA18" s="31" t="n">
        <f aca="false">IF($A18="","",IFERROR(IF(INDEX(drops!$R$2:$R$21,MATCH($H18,drops!$A$2:$A$21,0))="","",INDEX(drops!$R$2:$R$21,MATCH($H18,drops!$A$2:$A$21,0))),""))</f>
        <v>46434</v>
      </c>
      <c r="BB18" s="30" t="n">
        <f aca="false">IF(OR($A18="",$Q18&lt;&gt;"Y"),1000000,N($AL18))</f>
        <v>0</v>
      </c>
      <c r="BC18" s="30" t="str">
        <f aca="false">IF($A18="","",IF(COUNTIF(survey_frozen!$P$2:$P$251,$A18&amp;"|"&amp;$B18)&gt;0,"Y",""))</f>
        <v/>
      </c>
    </row>
    <row r="19" customFormat="false" ht="15" hidden="false" customHeight="false" outlineLevel="0" collapsed="false">
      <c r="A19" s="0" t="s">
        <v>490</v>
      </c>
      <c r="B19" s="0" t="s">
        <v>610</v>
      </c>
      <c r="C19" s="11" t="n">
        <v>46394</v>
      </c>
      <c r="D19" s="10" t="s">
        <v>652</v>
      </c>
      <c r="E19" s="11" t="n">
        <v>46396</v>
      </c>
      <c r="F19" s="10" t="s">
        <v>653</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IF($B19="","",IFERROR(IF(INDEX(offices!$N$2:$N$61,MATCH($B19,offices!$A$2:$A$61,0))="","",INDEX(offices!$N$2:$N$61,MATCH($B19,offices!$A$2:$A$61,0))),""))</f>
        <v>SAMPLE Larch Legal</v>
      </c>
      <c r="L19" s="30" t="n">
        <f aca="false">IF($A19="","",IF($Q19="N","",COUNTIFS($A$2:$A19,$A19,$Q$2:$Q19,"&lt;&gt;N")))</f>
        <v>8</v>
      </c>
      <c r="M19" s="30" t="str">
        <f aca="false">IF(OR($A19="",$L19=""),"",IF(AND(config!$B$34="names_if_public",IFERROR(IF(INDEX(offices!$AF$2:$AF$61,MATCH($B19,offices!$A$2:$A$61,0))="","",INDEX(offices!$AF$2:$AF$61,MATCH($B19,offices!$A$2:$A$61,0))),"")="Y"),$K19,CHAR(64+$L19)))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C$2:$AC$61,MATCH($B19,offices!$A$2:$A$61,0))="","",INDEX(offices!$AC$2:$AC$61,MATCH($B19,offices!$A$2:$A$61,0))),"")&lt;&gt;"",ISNUMBER(SEARCH($J19,IFERROR(IF(INDEX(offices!$AC$2:$AC$61,MATCH($B19,offices!$A$2:$A$61,0))="","",INDEX(offices!$AC$2:$AC$61,MATCH($B19,offices!$A$2:$A$61,0))),"")))),"BRAND VETOED; ","")&amp;IF(ISNUMBER(SEARCH(IFERROR(IF(INDEX(campaigns!$BF$2:$BF$51,MATCH($A19,campaigns!$A$2:$A$51,0))="","",INDEX(campaigns!$BF$2:$BF$51,MATCH($A19,campaigns!$A$2:$A$51,0))),""),IFERROR(IF(INDEX(offices!$AB$2:$AB$61,MATCH($B19,offices!$A$2:$A$61,0))="","",INDEX(offices!$AB$2:$AB$61,MATCH($B19,offices!$A$2:$A$61,0))),""))),"","info: category not on the office's list; ")&amp;IF(IFERROR(IF(INDEX(offices!$AC$2:$AC$61,MATCH($B19,offices!$A$2:$A$61,0))="","",INDEX(offices!$AC$2:$AC$61,MATCH($B19,offices!$A$2:$A$61,0))),"")&lt;&gt;"","info: read the vetoes against the label; ",""))</f>
        <v/>
      </c>
      <c r="S19" s="30" t="n">
        <f aca="false">IF($A19="","",IF($G19&lt;&gt;"",$G19,IFERROR(IF(INDEX(offices!$AL$2:$AL$61,MATCH($B19,offices!$A$2:$A$61,0))="","",INDEX(offices!$AL$2:$AL$61,MATCH($B19,offices!$A$2:$A$61,0))),"")))</f>
        <v>45</v>
      </c>
      <c r="T19" s="30" t="str">
        <f aca="false">IF($A19="","",$A19&amp;"."&amp;$B19)</f>
        <v>SAMPLE-CMP-003.SAMPLE-O-008</v>
      </c>
      <c r="U19" s="30" t="n">
        <f aca="false">IF($A19="","",SUMIFS(inventory!$G$2:$G$801,inventory!$C$2:$C$801,$A19,inventory!$D$2:$D$801,$B19,inventory!$E$2:$E$801,"delivered"))</f>
        <v>0</v>
      </c>
      <c r="V19" s="37" t="str">
        <f aca="false">IF($A19="","",IFERROR(1/(1/SUMPRODUCT(MAX((inventory!$C$2:$C$801=$A19)*(inventory!$D$2:$D$801=$B19)*(inventory!$E$2:$E$801="delivered")*(inventory!$A$2:$A$801+inventory!$B$2:$B$801)))),""))</f>
        <v/>
      </c>
      <c r="W19" s="30" t="str">
        <f aca="false">IF($A19="","",IFERROR(IF(INDEX(inventory!$J$2:$J$801,MATCH($A19&amp;"|"&amp;$B19&amp;"|delivered",inventory!$R$2:$R$801,0))="","",INDEX(inventory!$J$2:$J$801,MATCH($A19&amp;"|"&amp;$B19&amp;"|delivered",inventory!$R$2:$R$801,0))),""))</f>
        <v/>
      </c>
      <c r="X19" s="30" t="str">
        <f aca="false">IF($A19="","",IFERROR(IF(INDEX(photos!$H$2:$H$701,MATCH($A19&amp;"|"&amp;$B19&amp;"|placement|Y",photos!$R$2:$R$701,0))="","",INDEX(photos!$H$2:$H$701,MATCH($A19&amp;"|"&amp;$B19&amp;"|placement|Y",photos!$R$2:$R$701,0))),""))</f>
        <v/>
      </c>
      <c r="Y19" s="31" t="str">
        <f aca="false">IF($A19="","",IFERROR(IF(INDEX(photos!$E$2:$E$701,MATCH($A19&amp;"|"&amp;$B19&amp;"|placement|Y",photos!$R$2:$R$701,0))="","",INDEX(photos!$E$2:$E$701,MATCH($A19&amp;"|"&amp;$B19&amp;"|placement|Y",photos!$R$2:$R$701,0))),""))</f>
        <v/>
      </c>
      <c r="Z19" s="30" t="str">
        <f aca="false">IF($A19="","",IF(COUNTIFS(counts!$C$2:$C$701,$A19,counts!$D$2:$D$701,$B19,counts!$E$2:$E$701,"placed")=0,"",SUMIFS(counts!$F$2:$F$701,counts!$C$2:$C$701,$A19,counts!$D$2:$D$701,$B19,counts!$E$2:$E$701,"placed")))</f>
        <v/>
      </c>
      <c r="AA19" s="30" t="n">
        <f aca="false">IF($A19="","",IF($Y19="",0,N($Z19)))</f>
        <v>0</v>
      </c>
      <c r="AB19" s="30" t="str">
        <f aca="false">IF($A19="","",IF(OR($Y19="",$I19=""),"N",IF($Y19&lt;=WORKDAY(N($I19),1,calendar!$A$2:$A$80),"Y","N")))</f>
        <v>N</v>
      </c>
      <c r="AC19" s="33" t="str">
        <f aca="false">IF(OR($A19="",$V19="",$Y19=""),"",ROUND(($Y19+N(IFERROR(IF(INDEX(photos!$F$2:$F$701,MATCH($A19&amp;"|"&amp;$B19&amp;"|placement|Y",photos!$R$2:$R$701,0))="","",INDEX(photos!$F$2:$F$701,MATCH($A19&amp;"|"&amp;$B19&amp;"|placement|Y",photos!$R$2:$R$701,0))),""))-$V19)*24,1))</f>
        <v/>
      </c>
      <c r="AD19" s="30" t="n">
        <f aca="false">IF($A19="","",SUMIFS(inventory!$G$2:$G$801,inventory!$C$2:$C$801,$A19,inventory!$D$2:$D$801,$B19,inventory!$E$2:$E$801,"topped_up"))</f>
        <v>0</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N</v>
      </c>
      <c r="AL19" s="30" t="n">
        <f aca="true">IF(OR($A19="",$I19=""),"",IF($BC19="Y",SUMIFS(survey_frozen!$C$2:$C$251,survey_frozen!$P$2:$P$251,$A19&amp;"|"&amp;$B19),IFERROR(COUNTIFS(INDIRECT("'"&amp;$A19&amp;"'!$B$2:$B$501"),$T19,INDIRECT("'"&amp;$A19&amp;"'!$A$2:$A$501"),"&gt;="&amp;$I19,INDIRECT("'"&amp;$A19&amp;"'!$A$2:$A$501"),"&lt;"&amp;($BA19+1)),0)))</f>
        <v>0</v>
      </c>
      <c r="AM19" s="30" t="n">
        <f aca="true">IF(OR($A19="",$I19=""),"",IF($BC19="Y",SUMIFS(survey_frozen!$D$2:$D$251,survey_frozen!$P$2:$P$251,$A19&amp;"|"&amp;$B19),IFERROR(COUNTIFS(INDIRECT("'"&amp;$A19&amp;"'!$B$2:$B$501"),$T19,INDIRECT("'"&amp;$A19&amp;"'!$A$2:$A$501"),"&gt;="&amp;$I19,INDIRECT("'"&amp;$A19&amp;"'!$A$2:$A$501"),"&lt;"&amp;($BA19+1),INDIRECT("'"&amp;$A19&amp;"'!$C$2:$C$501"),"Yes"),0)))</f>
        <v>0</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f>
        <v/>
      </c>
      <c r="AQ19" s="30" t="n">
        <f aca="true">IF(OR($A19="",$I19=""),"",IF($BC19="Y",SUMIFS(survey_frozen!$E$2:$E$251,survey_frozen!$P$2:$P$251,$A19&amp;"|"&amp;$B19),IFERROR(COUNTIFS(INDIRECT("'"&amp;$A19&amp;"'!$B$2:$B$501"),$T19,INDIRECT("'"&amp;$A19&amp;"'!$A$2:$A$501"),"&gt;="&amp;$I19,INDIRECT("'"&amp;$A19&amp;"'!$A$2:$A$501"),"&lt;"&amp;($BA19+1),INDIRECT("'"&amp;$A19&amp;"'!$F$2:$F$501"),"Didn't see it"),0)))</f>
        <v>0</v>
      </c>
      <c r="AR19" s="30" t="n">
        <f aca="true">IF(OR($A19="",$I19=""),"",IF($BC19="Y",SUMIFS(survey_frozen!$F$2:$F$251,survey_frozen!$P$2:$P$251,$A19&amp;"|"&amp;$B19),IFERROR(COUNTIFS(INDIRECT("'"&amp;$A19&amp;"'!$B$2:$B$501"),$T19,INDIRECT("'"&amp;$A19&amp;"'!$A$2:$A$501"),"&gt;="&amp;$I19,INDIRECT("'"&amp;$A19&amp;"'!$A$2:$A$501"),"&lt;"&amp;($BA19+1),INDIRECT("'"&amp;$A19&amp;"'!$F$2:$F$501"),"Not for me"),0)))</f>
        <v>0</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0</v>
      </c>
      <c r="AU19" s="30" t="n">
        <f aca="true">IF(OR($A19="",$I19=""),"",IF($BC19="Y",SUMIFS(survey_frozen!$I$2:$I$251,survey_frozen!$P$2:$P$251,$A19&amp;"|"&amp;$B19),IFERROR(SUMIFS(INDIRECT("'"&amp;$A19&amp;"'!$D$2:$D$501"),INDIRECT("'"&amp;$A19&amp;"'!$B$2:$B$501"),$T19,INDIRECT("'"&amp;$A19&amp;"'!$A$2:$A$501"),"&gt;="&amp;$I19,INDIRECT("'"&amp;$A19&amp;"'!$A$2:$A$501"),"&lt;"&amp;($BA19+1)),0)))</f>
        <v>0</v>
      </c>
      <c r="AV19" s="30" t="n">
        <f aca="true">IF(OR($A19="",$I19=""),"",IF($BC19="Y",SUMIFS(survey_frozen!$J$2:$J$251,survey_frozen!$P$2:$P$251,$A19&amp;"|"&amp;$B19),IFERROR(COUNTIFS(INDIRECT("'"&amp;$A19&amp;"'!$B$2:$B$501"),$T19,INDIRECT("'"&amp;$A19&amp;"'!$A$2:$A$501"),"&gt;="&amp;$I19,INDIRECT("'"&amp;$A19&amp;"'!$A$2:$A$501"),"&lt;"&amp;($BA19+1),INDIRECT("'"&amp;$A19&amp;"'!$E$2:$E$501"),"Yes"),0)))</f>
        <v>0</v>
      </c>
      <c r="AW19" s="30" t="n">
        <f aca="true">IF(OR($A19="",$I19=""),"",IF($BC19="Y",SUMIFS(survey_frozen!$K$2:$K$251,survey_frozen!$P$2:$P$251,$A19&amp;"|"&amp;$B19),IFERROR(COUNTIFS(INDIRECT("'"&amp;$A19&amp;"'!$B$2:$B$501"),$T19,INDIRECT("'"&amp;$A19&amp;"'!$A$2:$A$501"),"&gt;="&amp;$I19,INDIRECT("'"&amp;$A19&amp;"'!$A$2:$A$501"),"&lt;"&amp;($BA19+1),INDIRECT("'"&amp;$A19&amp;"'!$E$2:$E$501"),"Maybe"),0)))</f>
        <v>0</v>
      </c>
      <c r="AX19" s="30" t="n">
        <f aca="true">IF(OR($A19="",$I19=""),"",IF($BC19="Y",SUMIFS(survey_frozen!$L$2:$L$251,survey_frozen!$P$2:$P$251,$A19&amp;"|"&amp;$B19),IFERROR(COUNTIFS(INDIRECT("'"&amp;$A19&amp;"'!$B$2:$B$501"),$T19,INDIRECT("'"&amp;$A19&amp;"'!$A$2:$A$501"),"&gt;="&amp;$I19,INDIRECT("'"&amp;$A19&amp;"'!$A$2:$A$501"),"&lt;"&amp;($BA19+1),INDIRECT("'"&amp;$A19&amp;"'!$E$2:$E$501"),"No"),0)))</f>
        <v>0</v>
      </c>
      <c r="AY19" s="30" t="n">
        <f aca="true">IF(OR($A19="",$I19=""),"",IF($BC19="Y",SUMIFS(survey_frozen!$M$2:$M$251,survey_frozen!$P$2:$P$251,$A19&amp;"|"&amp;$B19),IFERROR(COUNTIFS(INDIRECT("'"&amp;$A19&amp;"'!$B$2:$B$501"),$T19,INDIRECT("'"&amp;$A19&amp;"'!$A$2:$A$501"),"&gt;="&amp;$I19,INDIRECT("'"&amp;$A19&amp;"'!$A$2:$A$501"),"&lt;"&amp;($BA19+1),INDIRECT("'"&amp;$A19&amp;"'!$G$2:$G$501"),"&lt;&gt;"),0)))</f>
        <v>0</v>
      </c>
      <c r="AZ19" s="30" t="str">
        <f aca="false">IF($A19="","",$A19&amp;"|"&amp;$L19)</f>
        <v>SAMPLE-CMP-003|8</v>
      </c>
      <c r="BA19" s="31" t="n">
        <f aca="false">IF($A19="","",IFERROR(IF(INDEX(drops!$R$2:$R$21,MATCH($H19,drops!$A$2:$A$21,0))="","",INDEX(drops!$R$2:$R$21,MATCH($H19,drops!$A$2:$A$21,0))),""))</f>
        <v>46434</v>
      </c>
      <c r="BB19" s="30" t="n">
        <f aca="false">IF(OR($A19="",$Q19&lt;&gt;"Y"),1000000,N($AL19))</f>
        <v>0</v>
      </c>
      <c r="BC19" s="30" t="str">
        <f aca="false">IF($A19="","",IF(COUNTIF(survey_frozen!$P$2:$P$251,$A19&amp;"|"&amp;$B19)&gt;0,"Y",""))</f>
        <v/>
      </c>
    </row>
    <row r="20" customFormat="false" ht="15" hidden="false" customHeight="false" outlineLevel="0" collapsed="false">
      <c r="A20" s="0" t="s">
        <v>490</v>
      </c>
      <c r="B20" s="0" t="s">
        <v>612</v>
      </c>
      <c r="C20" s="11" t="n">
        <v>46395</v>
      </c>
      <c r="D20" s="10" t="s">
        <v>652</v>
      </c>
      <c r="E20" s="11" t="n">
        <v>46398</v>
      </c>
      <c r="F20" s="10" t="s">
        <v>653</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IF($B20="","",IFERROR(IF(INDEX(offices!$N$2:$N$61,MATCH($B20,offices!$A$2:$A$61,0))="","",INDEX(offices!$N$2:$N$61,MATCH($B20,offices!$A$2:$A$61,0))),""))</f>
        <v>SAMPLE Overlook Games</v>
      </c>
      <c r="L20" s="30" t="n">
        <f aca="false">IF($A20="","",IF($Q20="N","",COUNTIFS($A$2:$A20,$A20,$Q$2:$Q20,"&lt;&gt;N")))</f>
        <v>9</v>
      </c>
      <c r="M20" s="30" t="str">
        <f aca="false">IF(OR($A20="",$L20=""),"",IF(AND(config!$B$34="names_if_public",IFERROR(IF(INDEX(offices!$AF$2:$AF$61,MATCH($B20,offices!$A$2:$A$61,0))="","",INDEX(offices!$AF$2:$AF$61,MATCH($B20,offices!$A$2:$A$61,0))),"")="Y"),$K20,CHAR(64+$L20)))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C$2:$AC$61,MATCH($B20,offices!$A$2:$A$61,0))="","",INDEX(offices!$AC$2:$AC$61,MATCH($B20,offices!$A$2:$A$61,0))),"")&lt;&gt;"",ISNUMBER(SEARCH($J20,IFERROR(IF(INDEX(offices!$AC$2:$AC$61,MATCH($B20,offices!$A$2:$A$61,0))="","",INDEX(offices!$AC$2:$AC$61,MATCH($B20,offices!$A$2:$A$61,0))),"")))),"BRAND VETOED; ","")&amp;IF(ISNUMBER(SEARCH(IFERROR(IF(INDEX(campaigns!$BF$2:$BF$51,MATCH($A20,campaigns!$A$2:$A$51,0))="","",INDEX(campaigns!$BF$2:$BF$51,MATCH($A20,campaigns!$A$2:$A$51,0))),""),IFERROR(IF(INDEX(offices!$AB$2:$AB$61,MATCH($B20,offices!$A$2:$A$61,0))="","",INDEX(offices!$AB$2:$AB$61,MATCH($B20,offices!$A$2:$A$61,0))),""))),"","info: category not on the office's list; ")&amp;IF(IFERROR(IF(INDEX(offices!$AC$2:$AC$61,MATCH($B20,offices!$A$2:$A$61,0))="","",INDEX(offices!$AC$2:$AC$61,MATCH($B20,offices!$A$2:$A$61,0))),"")&lt;&gt;"","info: read the vetoes against the label; ",""))</f>
        <v/>
      </c>
      <c r="S20" s="30" t="n">
        <f aca="false">IF($A20="","",IF($G20&lt;&gt;"",$G20,IFERROR(IF(INDEX(offices!$AL$2:$AL$61,MATCH($B20,offices!$A$2:$A$61,0))="","",INDEX(offices!$AL$2:$AL$61,MATCH($B20,offices!$A$2:$A$61,0))),"")))</f>
        <v>75</v>
      </c>
      <c r="T20" s="30" t="str">
        <f aca="false">IF($A20="","",$A20&amp;"."&amp;$B20)</f>
        <v>SAMPLE-CMP-003.SAMPLE-O-009</v>
      </c>
      <c r="U20" s="30" t="n">
        <f aca="false">IF($A20="","",SUMIFS(inventory!$G$2:$G$801,inventory!$C$2:$C$801,$A20,inventory!$D$2:$D$801,$B20,inventory!$E$2:$E$801,"delivered"))</f>
        <v>0</v>
      </c>
      <c r="V20" s="37" t="str">
        <f aca="false">IF($A20="","",IFERROR(1/(1/SUMPRODUCT(MAX((inventory!$C$2:$C$801=$A20)*(inventory!$D$2:$D$801=$B20)*(inventory!$E$2:$E$801="delivered")*(inventory!$A$2:$A$801+inventory!$B$2:$B$801)))),""))</f>
        <v/>
      </c>
      <c r="W20" s="30" t="str">
        <f aca="false">IF($A20="","",IFERROR(IF(INDEX(inventory!$J$2:$J$801,MATCH($A20&amp;"|"&amp;$B20&amp;"|delivered",inventory!$R$2:$R$801,0))="","",INDEX(inventory!$J$2:$J$801,MATCH($A20&amp;"|"&amp;$B20&amp;"|delivered",inventory!$R$2:$R$801,0))),""))</f>
        <v/>
      </c>
      <c r="X20" s="30" t="str">
        <f aca="false">IF($A20="","",IFERROR(IF(INDEX(photos!$H$2:$H$701,MATCH($A20&amp;"|"&amp;$B20&amp;"|placement|Y",photos!$R$2:$R$701,0))="","",INDEX(photos!$H$2:$H$701,MATCH($A20&amp;"|"&amp;$B20&amp;"|placement|Y",photos!$R$2:$R$701,0))),""))</f>
        <v/>
      </c>
      <c r="Y20" s="31" t="str">
        <f aca="false">IF($A20="","",IFERROR(IF(INDEX(photos!$E$2:$E$701,MATCH($A20&amp;"|"&amp;$B20&amp;"|placement|Y",photos!$R$2:$R$701,0))="","",INDEX(photos!$E$2:$E$701,MATCH($A20&amp;"|"&amp;$B20&amp;"|placement|Y",photos!$R$2:$R$701,0))),""))</f>
        <v/>
      </c>
      <c r="Z20" s="30" t="str">
        <f aca="false">IF($A20="","",IF(COUNTIFS(counts!$C$2:$C$701,$A20,counts!$D$2:$D$701,$B20,counts!$E$2:$E$701,"placed")=0,"",SUMIFS(counts!$F$2:$F$701,counts!$C$2:$C$701,$A20,counts!$D$2:$D$701,$B20,counts!$E$2:$E$701,"placed")))</f>
        <v/>
      </c>
      <c r="AA20" s="30" t="n">
        <f aca="false">IF($A20="","",IF($Y20="",0,N($Z20)))</f>
        <v>0</v>
      </c>
      <c r="AB20" s="30" t="str">
        <f aca="false">IF($A20="","",IF(OR($Y20="",$I20=""),"N",IF($Y20&lt;=WORKDAY(N($I20),1,calendar!$A$2:$A$80),"Y","N")))</f>
        <v>N</v>
      </c>
      <c r="AC20" s="33" t="str">
        <f aca="false">IF(OR($A20="",$V20="",$Y20=""),"",ROUND(($Y20+N(IFERROR(IF(INDEX(photos!$F$2:$F$701,MATCH($A20&amp;"|"&amp;$B20&amp;"|placement|Y",photos!$R$2:$R$701,0))="","",INDEX(photos!$F$2:$F$701,MATCH($A20&amp;"|"&amp;$B20&amp;"|placement|Y",photos!$R$2:$R$701,0))),""))-$V20)*24,1))</f>
        <v/>
      </c>
      <c r="AD20" s="30" t="n">
        <f aca="false">IF($A20="","",SUMIFS(inventory!$G$2:$G$801,inventory!$C$2:$C$801,$A20,inventory!$D$2:$D$801,$B20,inventory!$E$2:$E$801,"topped_up"))</f>
        <v>0</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N</v>
      </c>
      <c r="AL20" s="30" t="n">
        <f aca="true">IF(OR($A20="",$I20=""),"",IF($BC20="Y",SUMIFS(survey_frozen!$C$2:$C$251,survey_frozen!$P$2:$P$251,$A20&amp;"|"&amp;$B20),IFERROR(COUNTIFS(INDIRECT("'"&amp;$A20&amp;"'!$B$2:$B$501"),$T20,INDIRECT("'"&amp;$A20&amp;"'!$A$2:$A$501"),"&gt;="&amp;$I20,INDIRECT("'"&amp;$A20&amp;"'!$A$2:$A$501"),"&lt;"&amp;($BA20+1)),0)))</f>
        <v>0</v>
      </c>
      <c r="AM20" s="30" t="n">
        <f aca="true">IF(OR($A20="",$I20=""),"",IF($BC20="Y",SUMIFS(survey_frozen!$D$2:$D$251,survey_frozen!$P$2:$P$251,$A20&amp;"|"&amp;$B20),IFERROR(COUNTIFS(INDIRECT("'"&amp;$A20&amp;"'!$B$2:$B$501"),$T20,INDIRECT("'"&amp;$A20&amp;"'!$A$2:$A$501"),"&gt;="&amp;$I20,INDIRECT("'"&amp;$A20&amp;"'!$A$2:$A$501"),"&lt;"&amp;($BA20+1),INDIRECT("'"&amp;$A20&amp;"'!$C$2:$C$501"),"Yes"),0)))</f>
        <v>0</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0</v>
      </c>
      <c r="AS20" s="30" t="n">
        <f aca="true">IF(OR($A20="",$I20=""),"",IF($BC20="Y",SUMIFS(survey_frozen!$G$2:$G$251,survey_frozen!$P$2:$P$251,$A20&amp;"|"&amp;$B20),IFERROR(COUNTIFS(INDIRECT("'"&amp;$A20&amp;"'!$B$2:$B$501"),$T20,INDIRECT("'"&amp;$A20&amp;"'!$A$2:$A$501"),"&gt;="&amp;$I20,INDIRECT("'"&amp;$A20&amp;"'!$A$2:$A$501"),"&lt;"&amp;($BA20+1),INDIRECT("'"&amp;$A20&amp;"'!$F$2:$F$501"),"Gone by the time I looked"),0)))</f>
        <v>0</v>
      </c>
      <c r="AT20" s="30" t="n">
        <f aca="true">IF(OR($A20="",$I20=""),"",IF($BC20="Y",SUMIFS(survey_frozen!$H$2:$H$251,survey_frozen!$P$2:$P$251,$A20&amp;"|"&amp;$B20),IFERROR(COUNTIFS(INDIRECT("'"&amp;$A20&amp;"'!$B$2:$B$501"),$T20,INDIRECT("'"&amp;$A20&amp;"'!$A$2:$A$501"),"&gt;="&amp;$I20,INDIRECT("'"&amp;$A20&amp;"'!$A$2:$A$501"),"&lt;"&amp;($BA20+1),INDIRECT("'"&amp;$A20&amp;"'!$D$2:$D$501"),"&gt;=1"),0)))</f>
        <v>0</v>
      </c>
      <c r="AU20" s="30" t="n">
        <f aca="true">IF(OR($A20="",$I20=""),"",IF($BC20="Y",SUMIFS(survey_frozen!$I$2:$I$251,survey_frozen!$P$2:$P$251,$A20&amp;"|"&amp;$B20),IFERROR(SUMIFS(INDIRECT("'"&amp;$A20&amp;"'!$D$2:$D$501"),INDIRECT("'"&amp;$A20&amp;"'!$B$2:$B$501"),$T20,INDIRECT("'"&amp;$A20&amp;"'!$A$2:$A$501"),"&gt;="&amp;$I20,INDIRECT("'"&amp;$A20&amp;"'!$A$2:$A$501"),"&lt;"&amp;($BA20+1)),0)))</f>
        <v>0</v>
      </c>
      <c r="AV20" s="30" t="n">
        <f aca="true">IF(OR($A20="",$I20=""),"",IF($BC20="Y",SUMIFS(survey_frozen!$J$2:$J$251,survey_frozen!$P$2:$P$251,$A20&amp;"|"&amp;$B20),IFERROR(COUNTIFS(INDIRECT("'"&amp;$A20&amp;"'!$B$2:$B$501"),$T20,INDIRECT("'"&amp;$A20&amp;"'!$A$2:$A$501"),"&gt;="&amp;$I20,INDIRECT("'"&amp;$A20&amp;"'!$A$2:$A$501"),"&lt;"&amp;($BA20+1),INDIRECT("'"&amp;$A20&amp;"'!$E$2:$E$501"),"Yes"),0)))</f>
        <v>0</v>
      </c>
      <c r="AW20" s="30" t="n">
        <f aca="true">IF(OR($A20="",$I20=""),"",IF($BC20="Y",SUMIFS(survey_frozen!$K$2:$K$251,survey_frozen!$P$2:$P$251,$A20&amp;"|"&amp;$B20),IFERROR(COUNTIFS(INDIRECT("'"&amp;$A20&amp;"'!$B$2:$B$501"),$T20,INDIRECT("'"&amp;$A20&amp;"'!$A$2:$A$501"),"&gt;="&amp;$I20,INDIRECT("'"&amp;$A20&amp;"'!$A$2:$A$501"),"&lt;"&amp;($BA20+1),INDIRECT("'"&amp;$A20&amp;"'!$E$2:$E$501"),"Maybe"),0)))</f>
        <v>0</v>
      </c>
      <c r="AX20" s="30" t="n">
        <f aca="true">IF(OR($A20="",$I20=""),"",IF($BC20="Y",SUMIFS(survey_frozen!$L$2:$L$251,survey_frozen!$P$2:$P$251,$A20&amp;"|"&amp;$B20),IFERROR(COUNTIFS(INDIRECT("'"&amp;$A20&amp;"'!$B$2:$B$501"),$T20,INDIRECT("'"&amp;$A20&amp;"'!$A$2:$A$501"),"&gt;="&amp;$I20,INDIRECT("'"&amp;$A20&amp;"'!$A$2:$A$501"),"&lt;"&amp;($BA20+1),INDIRECT("'"&amp;$A20&amp;"'!$E$2:$E$501"),"No"),0)))</f>
        <v>0</v>
      </c>
      <c r="AY20" s="30" t="n">
        <f aca="true">IF(OR($A20="",$I20=""),"",IF($BC20="Y",SUMIFS(survey_frozen!$M$2:$M$251,survey_frozen!$P$2:$P$251,$A20&amp;"|"&amp;$B20),IFERROR(COUNTIFS(INDIRECT("'"&amp;$A20&amp;"'!$B$2:$B$501"),$T20,INDIRECT("'"&amp;$A20&amp;"'!$A$2:$A$501"),"&gt;="&amp;$I20,INDIRECT("'"&amp;$A20&amp;"'!$A$2:$A$501"),"&lt;"&amp;($BA20+1),INDIRECT("'"&amp;$A20&amp;"'!$G$2:$G$501"),"&lt;&gt;"),0)))</f>
        <v>0</v>
      </c>
      <c r="AZ20" s="30" t="str">
        <f aca="false">IF($A20="","",$A20&amp;"|"&amp;$L20)</f>
        <v>SAMPLE-CMP-003|9</v>
      </c>
      <c r="BA20" s="31" t="n">
        <f aca="false">IF($A20="","",IFERROR(IF(INDEX(drops!$R$2:$R$21,MATCH($H20,drops!$A$2:$A$21,0))="","",INDEX(drops!$R$2:$R$21,MATCH($H20,drops!$A$2:$A$21,0))),""))</f>
        <v>46434</v>
      </c>
      <c r="BB20" s="30" t="n">
        <f aca="false">IF(OR($A20="",$Q20&lt;&gt;"Y"),1000000,N($AL20))</f>
        <v>0</v>
      </c>
      <c r="BC20" s="30" t="str">
        <f aca="false">IF($A20="","",IF(COUNTIF(survey_frozen!$P$2:$P$251,$A20&amp;"|"&amp;$B20)&gt;0,"Y",""))</f>
        <v/>
      </c>
    </row>
    <row r="21" customFormat="false" ht="15" hidden="false" customHeight="false" outlineLevel="0" collapsed="false">
      <c r="A21" s="0" t="s">
        <v>490</v>
      </c>
      <c r="B21" s="0" t="s">
        <v>614</v>
      </c>
      <c r="C21" s="11" t="n">
        <v>46400</v>
      </c>
      <c r="D21" s="10" t="s">
        <v>652</v>
      </c>
      <c r="E21" s="11" t="n">
        <v>46401</v>
      </c>
      <c r="F21" s="10" t="s">
        <v>653</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IF($B21="","",IFERROR(IF(INDEX(offices!$N$2:$N$61,MATCH($B21,offices!$A$2:$A$61,0))="","",INDEX(offices!$N$2:$N$61,MATCH($B21,offices!$A$2:$A$61,0))),""))</f>
        <v>SAMPLE Quill Nonprofit Press</v>
      </c>
      <c r="L21" s="30" t="n">
        <f aca="false">IF($A21="","",IF($Q21="N","",COUNTIFS($A$2:$A21,$A21,$Q$2:$Q21,"&lt;&gt;N")))</f>
        <v>10</v>
      </c>
      <c r="M21" s="30" t="str">
        <f aca="false">IF(OR($A21="",$L21=""),"",IF(AND(config!$B$34="names_if_public",IFERROR(IF(INDEX(offices!$AF$2:$AF$61,MATCH($B21,offices!$A$2:$A$61,0))="","",INDEX(offices!$AF$2:$AF$61,MATCH($B21,offices!$A$2:$A$61,0))),"")="Y"),$K21,CHAR(64+$L21)))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C$2:$AC$61,MATCH($B21,offices!$A$2:$A$61,0))="","",INDEX(offices!$AC$2:$AC$61,MATCH($B21,offices!$A$2:$A$61,0))),"")&lt;&gt;"",ISNUMBER(SEARCH($J21,IFERROR(IF(INDEX(offices!$AC$2:$AC$61,MATCH($B21,offices!$A$2:$A$61,0))="","",INDEX(offices!$AC$2:$AC$61,MATCH($B21,offices!$A$2:$A$61,0))),"")))),"BRAND VETOED; ","")&amp;IF(ISNUMBER(SEARCH(IFERROR(IF(INDEX(campaigns!$BF$2:$BF$51,MATCH($A21,campaigns!$A$2:$A$51,0))="","",INDEX(campaigns!$BF$2:$BF$51,MATCH($A21,campaigns!$A$2:$A$51,0))),""),IFERROR(IF(INDEX(offices!$AB$2:$AB$61,MATCH($B21,offices!$A$2:$A$61,0))="","",INDEX(offices!$AB$2:$AB$61,MATCH($B21,offices!$A$2:$A$61,0))),""))),"","info: category not on the office's list; ")&amp;IF(IFERROR(IF(INDEX(offices!$AC$2:$AC$61,MATCH($B21,offices!$A$2:$A$61,0))="","",INDEX(offices!$AC$2:$AC$61,MATCH($B21,offices!$A$2:$A$61,0))),"")&lt;&gt;"","info: read the vetoes against the label; ",""))</f>
        <v/>
      </c>
      <c r="S21" s="30" t="n">
        <f aca="false">IF($A21="","",IF($G21&lt;&gt;"",$G21,IFERROR(IF(INDEX(offices!$AL$2:$AL$61,MATCH($B21,offices!$A$2:$A$61,0))="","",INDEX(offices!$AL$2:$AL$61,MATCH($B21,offices!$A$2:$A$61,0))),"")))</f>
        <v>40</v>
      </c>
      <c r="T21" s="30" t="str">
        <f aca="false">IF($A21="","",$A21&amp;"."&amp;$B21)</f>
        <v>SAMPLE-CMP-003.SAMPLE-O-010</v>
      </c>
      <c r="U21" s="30" t="n">
        <f aca="false">IF($A21="","",SUMIFS(inventory!$G$2:$G$801,inventory!$C$2:$C$801,$A21,inventory!$D$2:$D$801,$B21,inventory!$E$2:$E$801,"delivered"))</f>
        <v>0</v>
      </c>
      <c r="V21" s="37" t="str">
        <f aca="false">IF($A21="","",IFERROR(1/(1/SUMPRODUCT(MAX((inventory!$C$2:$C$801=$A21)*(inventory!$D$2:$D$801=$B21)*(inventory!$E$2:$E$801="delivered")*(inventory!$A$2:$A$801+inventory!$B$2:$B$801)))),""))</f>
        <v/>
      </c>
      <c r="W21" s="30" t="str">
        <f aca="false">IF($A21="","",IFERROR(IF(INDEX(inventory!$J$2:$J$801,MATCH($A21&amp;"|"&amp;$B21&amp;"|delivered",inventory!$R$2:$R$801,0))="","",INDEX(inventory!$J$2:$J$801,MATCH($A21&amp;"|"&amp;$B21&amp;"|delivered",inventory!$R$2:$R$801,0))),""))</f>
        <v/>
      </c>
      <c r="X21" s="30" t="str">
        <f aca="false">IF($A21="","",IFERROR(IF(INDEX(photos!$H$2:$H$701,MATCH($A21&amp;"|"&amp;$B21&amp;"|placement|Y",photos!$R$2:$R$701,0))="","",INDEX(photos!$H$2:$H$701,MATCH($A21&amp;"|"&amp;$B21&amp;"|placement|Y",photos!$R$2:$R$701,0))),""))</f>
        <v/>
      </c>
      <c r="Y21" s="31" t="str">
        <f aca="false">IF($A21="","",IFERROR(IF(INDEX(photos!$E$2:$E$701,MATCH($A21&amp;"|"&amp;$B21&amp;"|placement|Y",photos!$R$2:$R$701,0))="","",INDEX(photos!$E$2:$E$701,MATCH($A21&amp;"|"&amp;$B21&amp;"|placement|Y",photos!$R$2:$R$701,0))),""))</f>
        <v/>
      </c>
      <c r="Z21" s="30" t="str">
        <f aca="false">IF($A21="","",IF(COUNTIFS(counts!$C$2:$C$701,$A21,counts!$D$2:$D$701,$B21,counts!$E$2:$E$701,"placed")=0,"",SUMIFS(counts!$F$2:$F$701,counts!$C$2:$C$701,$A21,counts!$D$2:$D$701,$B21,counts!$E$2:$E$701,"placed")))</f>
        <v/>
      </c>
      <c r="AA21" s="30" t="n">
        <f aca="false">IF($A21="","",IF($Y21="",0,N($Z21)))</f>
        <v>0</v>
      </c>
      <c r="AB21" s="30" t="str">
        <f aca="false">IF($A21="","",IF(OR($Y21="",$I21=""),"N",IF($Y21&lt;=WORKDAY(N($I21),1,calendar!$A$2:$A$80),"Y","N")))</f>
        <v>N</v>
      </c>
      <c r="AC21" s="33" t="str">
        <f aca="false">IF(OR($A21="",$V21="",$Y21=""),"",ROUND(($Y21+N(IFERROR(IF(INDEX(photos!$F$2:$F$701,MATCH($A21&amp;"|"&amp;$B21&amp;"|placement|Y",photos!$R$2:$R$701,0))="","",INDEX(photos!$F$2:$F$701,MATCH($A21&amp;"|"&amp;$B21&amp;"|placement|Y",photos!$R$2:$R$701,0))),""))-$V21)*24,1))</f>
        <v/>
      </c>
      <c r="AD21" s="30" t="n">
        <f aca="false">IF($A21="","",SUMIFS(inventory!$G$2:$G$801,inventory!$C$2:$C$801,$A21,inventory!$D$2:$D$801,$B21,inventory!$E$2:$E$801,"topped_up"))</f>
        <v>0</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N</v>
      </c>
      <c r="AL21" s="30" t="n">
        <f aca="true">IF(OR($A21="",$I21=""),"",IF($BC21="Y",SUMIFS(survey_frozen!$C$2:$C$251,survey_frozen!$P$2:$P$251,$A21&amp;"|"&amp;$B21),IFERROR(COUNTIFS(INDIRECT("'"&amp;$A21&amp;"'!$B$2:$B$501"),$T21,INDIRECT("'"&amp;$A21&amp;"'!$A$2:$A$501"),"&gt;="&amp;$I21,INDIRECT("'"&amp;$A21&amp;"'!$A$2:$A$501"),"&lt;"&amp;($BA21+1)),0)))</f>
        <v>0</v>
      </c>
      <c r="AM21" s="30" t="n">
        <f aca="true">IF(OR($A21="",$I21=""),"",IF($BC21="Y",SUMIFS(survey_frozen!$D$2:$D$251,survey_frozen!$P$2:$P$251,$A21&amp;"|"&amp;$B21),IFERROR(COUNTIFS(INDIRECT("'"&amp;$A21&amp;"'!$B$2:$B$501"),$T21,INDIRECT("'"&amp;$A21&amp;"'!$A$2:$A$501"),"&gt;="&amp;$I21,INDIRECT("'"&amp;$A21&amp;"'!$A$2:$A$501"),"&lt;"&amp;($BA21+1),INDIRECT("'"&amp;$A21&amp;"'!$C$2:$C$501"),"Yes"),0)))</f>
        <v>0</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f>
        <v/>
      </c>
      <c r="AQ21" s="30" t="n">
        <f aca="true">IF(OR($A21="",$I21=""),"",IF($BC21="Y",SUMIFS(survey_frozen!$E$2:$E$251,survey_frozen!$P$2:$P$251,$A21&amp;"|"&amp;$B21),IFERROR(COUNTIFS(INDIRECT("'"&amp;$A21&amp;"'!$B$2:$B$501"),$T21,INDIRECT("'"&amp;$A21&amp;"'!$A$2:$A$501"),"&gt;="&amp;$I21,INDIRECT("'"&amp;$A21&amp;"'!$A$2:$A$501"),"&lt;"&amp;($BA21+1),INDIRECT("'"&amp;$A21&amp;"'!$F$2:$F$501"),"Didn't see it"),0)))</f>
        <v>0</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0</v>
      </c>
      <c r="AT21" s="30" t="n">
        <f aca="true">IF(OR($A21="",$I21=""),"",IF($BC21="Y",SUMIFS(survey_frozen!$H$2:$H$251,survey_frozen!$P$2:$P$251,$A21&amp;"|"&amp;$B21),IFERROR(COUNTIFS(INDIRECT("'"&amp;$A21&amp;"'!$B$2:$B$501"),$T21,INDIRECT("'"&amp;$A21&amp;"'!$A$2:$A$501"),"&gt;="&amp;$I21,INDIRECT("'"&amp;$A21&amp;"'!$A$2:$A$501"),"&lt;"&amp;($BA21+1),INDIRECT("'"&amp;$A21&amp;"'!$D$2:$D$501"),"&gt;=1"),0)))</f>
        <v>0</v>
      </c>
      <c r="AU21" s="30" t="n">
        <f aca="true">IF(OR($A21="",$I21=""),"",IF($BC21="Y",SUMIFS(survey_frozen!$I$2:$I$251,survey_frozen!$P$2:$P$251,$A21&amp;"|"&amp;$B21),IFERROR(SUMIFS(INDIRECT("'"&amp;$A21&amp;"'!$D$2:$D$501"),INDIRECT("'"&amp;$A21&amp;"'!$B$2:$B$501"),$T21,INDIRECT("'"&amp;$A21&amp;"'!$A$2:$A$501"),"&gt;="&amp;$I21,INDIRECT("'"&amp;$A21&amp;"'!$A$2:$A$501"),"&lt;"&amp;($BA21+1)),0)))</f>
        <v>0</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0</v>
      </c>
      <c r="AX21" s="30" t="n">
        <f aca="true">IF(OR($A21="",$I21=""),"",IF($BC21="Y",SUMIFS(survey_frozen!$L$2:$L$251,survey_frozen!$P$2:$P$251,$A21&amp;"|"&amp;$B21),IFERROR(COUNTIFS(INDIRECT("'"&amp;$A21&amp;"'!$B$2:$B$501"),$T21,INDIRECT("'"&amp;$A21&amp;"'!$A$2:$A$501"),"&gt;="&amp;$I21,INDIRECT("'"&amp;$A21&amp;"'!$A$2:$A$501"),"&lt;"&amp;($BA21+1),INDIRECT("'"&amp;$A21&amp;"'!$E$2:$E$501"),"No"),0)))</f>
        <v>0</v>
      </c>
      <c r="AY21" s="30" t="n">
        <f aca="true">IF(OR($A21="",$I21=""),"",IF($BC21="Y",SUMIFS(survey_frozen!$M$2:$M$251,survey_frozen!$P$2:$P$251,$A21&amp;"|"&amp;$B21),IFERROR(COUNTIFS(INDIRECT("'"&amp;$A21&amp;"'!$B$2:$B$501"),$T21,INDIRECT("'"&amp;$A21&amp;"'!$A$2:$A$501"),"&gt;="&amp;$I21,INDIRECT("'"&amp;$A21&amp;"'!$A$2:$A$501"),"&lt;"&amp;($BA21+1),INDIRECT("'"&amp;$A21&amp;"'!$G$2:$G$501"),"&lt;&gt;"),0)))</f>
        <v>0</v>
      </c>
      <c r="AZ21" s="30" t="str">
        <f aca="false">IF($A21="","",$A21&amp;"|"&amp;$L21)</f>
        <v>SAMPLE-CMP-003|10</v>
      </c>
      <c r="BA21" s="31" t="n">
        <f aca="false">IF($A21="","",IFERROR(IF(INDEX(drops!$R$2:$R$21,MATCH($H21,drops!$A$2:$A$21,0))="","",INDEX(drops!$R$2:$R$21,MATCH($H21,drops!$A$2:$A$21,0))),""))</f>
        <v>46434</v>
      </c>
      <c r="BB21" s="30" t="n">
        <f aca="false">IF(OR($A21="",$Q21&lt;&gt;"Y"),1000000,N($AL21))</f>
        <v>0</v>
      </c>
      <c r="BC21" s="30" t="str">
        <f aca="false">IF($A21="","",IF(COUNTIF(survey_frozen!$P$2:$P$251,$A21&amp;"|"&amp;$B21)&gt;0,"Y",""))</f>
        <v/>
      </c>
    </row>
    <row r="22" customFormat="false" ht="15" hidden="false" customHeight="false" outlineLevel="0" collapsed="false">
      <c r="A22" s="0" t="s">
        <v>498</v>
      </c>
      <c r="B22" s="0" t="s">
        <v>594</v>
      </c>
      <c r="C22" s="11" t="n">
        <v>46393</v>
      </c>
      <c r="D22" s="10" t="s">
        <v>652</v>
      </c>
      <c r="E22" s="11" t="n">
        <v>46394</v>
      </c>
      <c r="F22" s="10" t="s">
        <v>653</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IF($B22="","",IFERROR(IF(INDEX(offices!$N$2:$N$61,MATCH($B22,offices!$A$2:$A$61,0))="","",INDEX(offices!$N$2:$N$61,MATCH($B22,offices!$A$2:$A$61,0))),""))</f>
        <v>SAMPLE Northpoint Software</v>
      </c>
      <c r="L22" s="30" t="n">
        <f aca="false">IF($A22="","",IF($Q22="N","",COUNTIFS($A$2:$A22,$A22,$Q$2:$Q22,"&lt;&gt;N")))</f>
        <v>1</v>
      </c>
      <c r="M22" s="30" t="str">
        <f aca="false">IF(OR($A22="",$L22=""),"",IF(AND(config!$B$34="names_if_public",IFERROR(IF(INDEX(offices!$AF$2:$AF$61,MATCH($B22,offices!$A$2:$A$61,0))="","",INDEX(offices!$AF$2:$AF$61,MATCH($B22,offices!$A$2:$A$61,0))),"")="Y"),$K22,CHAR(64+$L22)))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C$2:$AC$61,MATCH($B22,offices!$A$2:$A$61,0))="","",INDEX(offices!$AC$2:$AC$61,MATCH($B22,offices!$A$2:$A$61,0))),"")&lt;&gt;"",ISNUMBER(SEARCH($J22,IFERROR(IF(INDEX(offices!$AC$2:$AC$61,MATCH($B22,offices!$A$2:$A$61,0))="","",INDEX(offices!$AC$2:$AC$61,MATCH($B22,offices!$A$2:$A$61,0))),"")))),"BRAND VETOED; ","")&amp;IF(ISNUMBER(SEARCH(IFERROR(IF(INDEX(campaigns!$BF$2:$BF$51,MATCH($A22,campaigns!$A$2:$A$51,0))="","",INDEX(campaigns!$BF$2:$BF$51,MATCH($A22,campaigns!$A$2:$A$51,0))),""),IFERROR(IF(INDEX(offices!$AB$2:$AB$61,MATCH($B22,offices!$A$2:$A$61,0))="","",INDEX(offices!$AB$2:$AB$61,MATCH($B22,offices!$A$2:$A$61,0))),""))),"","info: category not on the office's list; ")&amp;IF(IFERROR(IF(INDEX(offices!$AC$2:$AC$61,MATCH($B22,offices!$A$2:$A$61,0))="","",INDEX(offices!$AC$2:$AC$61,MATCH($B22,offices!$A$2:$A$61,0))),"")&lt;&gt;"","info: read the vetoes against the label; ",""))</f>
        <v/>
      </c>
      <c r="S22" s="30" t="n">
        <f aca="false">IF($A22="","",IF($G22&lt;&gt;"",$G22,IFERROR(IF(INDEX(offices!$AL$2:$AL$61,MATCH($B22,offices!$A$2:$A$61,0))="","",INDEX(offices!$AL$2:$AL$61,MATCH($B22,offices!$A$2:$A$61,0))),"")))</f>
        <v>40</v>
      </c>
      <c r="T22" s="30" t="str">
        <f aca="false">IF($A22="","",$A22&amp;"."&amp;$B22)</f>
        <v>SAMPLE-CMP-004.SAMPLE-O-001</v>
      </c>
      <c r="U22" s="30" t="n">
        <f aca="false">IF($A22="","",SUMIFS(inventory!$G$2:$G$801,inventory!$C$2:$C$801,$A22,inventory!$D$2:$D$801,$B22,inventory!$E$2:$E$801,"delivered"))</f>
        <v>0</v>
      </c>
      <c r="V22" s="37" t="str">
        <f aca="false">IF($A22="","",IFERROR(1/(1/SUMPRODUCT(MAX((inventory!$C$2:$C$801=$A22)*(inventory!$D$2:$D$801=$B22)*(inventory!$E$2:$E$801="delivered")*(inventory!$A$2:$A$801+inventory!$B$2:$B$801)))),""))</f>
        <v/>
      </c>
      <c r="W22" s="30" t="str">
        <f aca="false">IF($A22="","",IFERROR(IF(INDEX(inventory!$J$2:$J$801,MATCH($A22&amp;"|"&amp;$B22&amp;"|delivered",inventory!$R$2:$R$801,0))="","",INDEX(inventory!$J$2:$J$801,MATCH($A22&amp;"|"&amp;$B22&amp;"|delivered",inventory!$R$2:$R$801,0))),""))</f>
        <v/>
      </c>
      <c r="X22" s="30" t="str">
        <f aca="false">IF($A22="","",IFERROR(IF(INDEX(photos!$H$2:$H$701,MATCH($A22&amp;"|"&amp;$B22&amp;"|placement|Y",photos!$R$2:$R$701,0))="","",INDEX(photos!$H$2:$H$701,MATCH($A22&amp;"|"&amp;$B22&amp;"|placement|Y",photos!$R$2:$R$701,0))),""))</f>
        <v/>
      </c>
      <c r="Y22" s="31" t="str">
        <f aca="false">IF($A22="","",IFERROR(IF(INDEX(photos!$E$2:$E$701,MATCH($A22&amp;"|"&amp;$B22&amp;"|placement|Y",photos!$R$2:$R$701,0))="","",INDEX(photos!$E$2:$E$701,MATCH($A22&amp;"|"&amp;$B22&amp;"|placement|Y",photos!$R$2:$R$701,0))),""))</f>
        <v/>
      </c>
      <c r="Z22" s="30" t="str">
        <f aca="false">IF($A22="","",IF(COUNTIFS(counts!$C$2:$C$701,$A22,counts!$D$2:$D$701,$B22,counts!$E$2:$E$701,"placed")=0,"",SUMIFS(counts!$F$2:$F$701,counts!$C$2:$C$701,$A22,counts!$D$2:$D$701,$B22,counts!$E$2:$E$701,"placed")))</f>
        <v/>
      </c>
      <c r="AA22" s="30" t="n">
        <f aca="false">IF($A22="","",IF($Y22="",0,N($Z22)))</f>
        <v>0</v>
      </c>
      <c r="AB22" s="30" t="str">
        <f aca="false">IF($A22="","",IF(OR($Y22="",$I22=""),"N",IF($Y22&lt;=WORKDAY(N($I22),1,calendar!$A$2:$A$80),"Y","N")))</f>
        <v>N</v>
      </c>
      <c r="AC22" s="33" t="str">
        <f aca="false">IF(OR($A22="",$V22="",$Y22=""),"",ROUND(($Y22+N(IFERROR(IF(INDEX(photos!$F$2:$F$701,MATCH($A22&amp;"|"&amp;$B22&amp;"|placement|Y",photos!$R$2:$R$701,0))="","",INDEX(photos!$F$2:$F$701,MATCH($A22&amp;"|"&amp;$B22&amp;"|placement|Y",photos!$R$2:$R$701,0))),""))-$V22)*24,1))</f>
        <v/>
      </c>
      <c r="AD22" s="30" t="n">
        <f aca="false">IF($A22="","",SUMIFS(inventory!$G$2:$G$801,inventory!$C$2:$C$801,$A22,inventory!$D$2:$D$801,$B22,inventory!$E$2:$E$801,"topped_up"))</f>
        <v>0</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N</v>
      </c>
      <c r="AL22" s="30" t="n">
        <f aca="true">IF(OR($A22="",$I22=""),"",IF($BC22="Y",SUMIFS(survey_frozen!$C$2:$C$251,survey_frozen!$P$2:$P$251,$A22&amp;"|"&amp;$B22),IFERROR(COUNTIFS(INDIRECT("'"&amp;$A22&amp;"'!$B$2:$B$501"),$T22,INDIRECT("'"&amp;$A22&amp;"'!$A$2:$A$501"),"&gt;="&amp;$I22,INDIRECT("'"&amp;$A22&amp;"'!$A$2:$A$501"),"&lt;"&amp;($BA22+1)),0)))</f>
        <v>0</v>
      </c>
      <c r="AM22" s="30" t="n">
        <f aca="true">IF(OR($A22="",$I22=""),"",IF($BC22="Y",SUMIFS(survey_frozen!$D$2:$D$251,survey_frozen!$P$2:$P$251,$A22&amp;"|"&amp;$B22),IFERROR(COUNTIFS(INDIRECT("'"&amp;$A22&amp;"'!$B$2:$B$501"),$T22,INDIRECT("'"&amp;$A22&amp;"'!$A$2:$A$501"),"&gt;="&amp;$I22,INDIRECT("'"&amp;$A22&amp;"'!$A$2:$A$501"),"&lt;"&amp;($BA22+1),INDIRECT("'"&amp;$A22&amp;"'!$C$2:$C$501"),"Yes"),0)))</f>
        <v>0</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0</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0</v>
      </c>
      <c r="AU22" s="30" t="n">
        <f aca="true">IF(OR($A22="",$I22=""),"",IF($BC22="Y",SUMIFS(survey_frozen!$I$2:$I$251,survey_frozen!$P$2:$P$251,$A22&amp;"|"&amp;$B22),IFERROR(SUMIFS(INDIRECT("'"&amp;$A22&amp;"'!$D$2:$D$501"),INDIRECT("'"&amp;$A22&amp;"'!$B$2:$B$501"),$T22,INDIRECT("'"&amp;$A22&amp;"'!$A$2:$A$501"),"&gt;="&amp;$I22,INDIRECT("'"&amp;$A22&amp;"'!$A$2:$A$501"),"&lt;"&amp;($BA22+1)),0)))</f>
        <v>0</v>
      </c>
      <c r="AV22" s="30" t="n">
        <f aca="true">IF(OR($A22="",$I22=""),"",IF($BC22="Y",SUMIFS(survey_frozen!$J$2:$J$251,survey_frozen!$P$2:$P$251,$A22&amp;"|"&amp;$B22),IFERROR(COUNTIFS(INDIRECT("'"&amp;$A22&amp;"'!$B$2:$B$501"),$T22,INDIRECT("'"&amp;$A22&amp;"'!$A$2:$A$501"),"&gt;="&amp;$I22,INDIRECT("'"&amp;$A22&amp;"'!$A$2:$A$501"),"&lt;"&amp;($BA22+1),INDIRECT("'"&amp;$A22&amp;"'!$E$2:$E$501"),"Yes"),0)))</f>
        <v>0</v>
      </c>
      <c r="AW22" s="30" t="n">
        <f aca="true">IF(OR($A22="",$I22=""),"",IF($BC22="Y",SUMIFS(survey_frozen!$K$2:$K$251,survey_frozen!$P$2:$P$251,$A22&amp;"|"&amp;$B22),IFERROR(COUNTIFS(INDIRECT("'"&amp;$A22&amp;"'!$B$2:$B$501"),$T22,INDIRECT("'"&amp;$A22&amp;"'!$A$2:$A$501"),"&gt;="&amp;$I22,INDIRECT("'"&amp;$A22&amp;"'!$A$2:$A$501"),"&lt;"&amp;($BA22+1),INDIRECT("'"&amp;$A22&amp;"'!$E$2:$E$501"),"Maybe"),0)))</f>
        <v>0</v>
      </c>
      <c r="AX22" s="30" t="n">
        <f aca="true">IF(OR($A22="",$I22=""),"",IF($BC22="Y",SUMIFS(survey_frozen!$L$2:$L$251,survey_frozen!$P$2:$P$251,$A22&amp;"|"&amp;$B22),IFERROR(COUNTIFS(INDIRECT("'"&amp;$A22&amp;"'!$B$2:$B$501"),$T22,INDIRECT("'"&amp;$A22&amp;"'!$A$2:$A$501"),"&gt;="&amp;$I22,INDIRECT("'"&amp;$A22&amp;"'!$A$2:$A$501"),"&lt;"&amp;($BA22+1),INDIRECT("'"&amp;$A22&amp;"'!$E$2:$E$501"),"No"),0)))</f>
        <v>0</v>
      </c>
      <c r="AY22" s="30" t="n">
        <f aca="true">IF(OR($A22="",$I22=""),"",IF($BC22="Y",SUMIFS(survey_frozen!$M$2:$M$251,survey_frozen!$P$2:$P$251,$A22&amp;"|"&amp;$B22),IFERROR(COUNTIFS(INDIRECT("'"&amp;$A22&amp;"'!$B$2:$B$501"),$T22,INDIRECT("'"&amp;$A22&amp;"'!$A$2:$A$501"),"&gt;="&amp;$I22,INDIRECT("'"&amp;$A22&amp;"'!$A$2:$A$501"),"&lt;"&amp;($BA22+1),INDIRECT("'"&amp;$A22&amp;"'!$G$2:$G$501"),"&lt;&gt;"),0)))</f>
        <v>0</v>
      </c>
      <c r="AZ22" s="30" t="str">
        <f aca="false">IF($A22="","",$A22&amp;"|"&amp;$L22)</f>
        <v>SAMPLE-CMP-004|1</v>
      </c>
      <c r="BA22" s="31" t="n">
        <f aca="false">IF($A22="","",IFERROR(IF(INDEX(drops!$R$2:$R$21,MATCH($H22,drops!$A$2:$A$21,0))="","",INDEX(drops!$R$2:$R$21,MATCH($H22,drops!$A$2:$A$21,0))),""))</f>
        <v>46434</v>
      </c>
      <c r="BB22" s="30" t="n">
        <f aca="false">IF(OR($A22="",$Q22&lt;&gt;"Y"),1000000,N($AL22))</f>
        <v>0</v>
      </c>
      <c r="BC22" s="30" t="str">
        <f aca="false">IF($A22="","",IF(COUNTIF(survey_frozen!$P$2:$P$251,$A22&amp;"|"&amp;$B22)&gt;0,"Y",""))</f>
        <v/>
      </c>
    </row>
    <row r="23" customFormat="false" ht="15" hidden="false" customHeight="false" outlineLevel="0" collapsed="false">
      <c r="A23" s="0" t="s">
        <v>498</v>
      </c>
      <c r="B23" s="0" t="s">
        <v>597</v>
      </c>
      <c r="C23" s="11" t="n">
        <v>46393</v>
      </c>
      <c r="D23" s="10" t="s">
        <v>652</v>
      </c>
      <c r="E23" s="11" t="n">
        <v>46395</v>
      </c>
      <c r="F23" s="10" t="s">
        <v>653</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IF($B23="","",IFERROR(IF(INDEX(offices!$N$2:$N$61,MATCH($B23,offices!$A$2:$A$61,0))="","",INDEX(offices!$N$2:$N$61,MATCH($B23,offices!$A$2:$A$61,0))),""))</f>
        <v>SAMPLE Ferro Architecture</v>
      </c>
      <c r="L23" s="30" t="n">
        <f aca="false">IF($A23="","",IF($Q23="N","",COUNTIFS($A$2:$A23,$A23,$Q$2:$Q23,"&lt;&gt;N")))</f>
        <v>2</v>
      </c>
      <c r="M23" s="30" t="str">
        <f aca="false">IF(OR($A23="",$L23=""),"",IF(AND(config!$B$34="names_if_public",IFERROR(IF(INDEX(offices!$AF$2:$AF$61,MATCH($B23,offices!$A$2:$A$61,0))="","",INDEX(offices!$AF$2:$AF$61,MATCH($B23,offices!$A$2:$A$61,0))),"")="Y"),$K23,CHAR(64+$L23)))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C$2:$AC$61,MATCH($B23,offices!$A$2:$A$61,0))="","",INDEX(offices!$AC$2:$AC$61,MATCH($B23,offices!$A$2:$A$61,0))),"")&lt;&gt;"",ISNUMBER(SEARCH($J23,IFERROR(IF(INDEX(offices!$AC$2:$AC$61,MATCH($B23,offices!$A$2:$A$61,0))="","",INDEX(offices!$AC$2:$AC$61,MATCH($B23,offices!$A$2:$A$61,0))),"")))),"BRAND VETOED; ","")&amp;IF(ISNUMBER(SEARCH(IFERROR(IF(INDEX(campaigns!$BF$2:$BF$51,MATCH($A23,campaigns!$A$2:$A$51,0))="","",INDEX(campaigns!$BF$2:$BF$51,MATCH($A23,campaigns!$A$2:$A$51,0))),""),IFERROR(IF(INDEX(offices!$AB$2:$AB$61,MATCH($B23,offices!$A$2:$A$61,0))="","",INDEX(offices!$AB$2:$AB$61,MATCH($B23,offices!$A$2:$A$61,0))),""))),"","info: category not on the office's list; ")&amp;IF(IFERROR(IF(INDEX(offices!$AC$2:$AC$61,MATCH($B23,offices!$A$2:$A$61,0))="","",INDEX(offices!$AC$2:$AC$61,MATCH($B23,offices!$A$2:$A$61,0))),"")&lt;&gt;"","info: read the vetoes against the label; ",""))</f>
        <v/>
      </c>
      <c r="S23" s="30" t="n">
        <f aca="false">IF($A23="","",IF($G23&lt;&gt;"",$G23,IFERROR(IF(INDEX(offices!$AL$2:$AL$61,MATCH($B23,offices!$A$2:$A$61,0))="","",INDEX(offices!$AL$2:$AL$61,MATCH($B23,offices!$A$2:$A$61,0))),"")))</f>
        <v>40</v>
      </c>
      <c r="T23" s="30" t="str">
        <f aca="false">IF($A23="","",$A23&amp;"."&amp;$B23)</f>
        <v>SAMPLE-CMP-004.SAMPLE-O-002</v>
      </c>
      <c r="U23" s="30" t="n">
        <f aca="false">IF($A23="","",SUMIFS(inventory!$G$2:$G$801,inventory!$C$2:$C$801,$A23,inventory!$D$2:$D$801,$B23,inventory!$E$2:$E$801,"delivered"))</f>
        <v>0</v>
      </c>
      <c r="V23" s="37" t="str">
        <f aca="false">IF($A23="","",IFERROR(1/(1/SUMPRODUCT(MAX((inventory!$C$2:$C$801=$A23)*(inventory!$D$2:$D$801=$B23)*(inventory!$E$2:$E$801="delivered")*(inventory!$A$2:$A$801+inventory!$B$2:$B$801)))),""))</f>
        <v/>
      </c>
      <c r="W23" s="30" t="str">
        <f aca="false">IF($A23="","",IFERROR(IF(INDEX(inventory!$J$2:$J$801,MATCH($A23&amp;"|"&amp;$B23&amp;"|delivered",inventory!$R$2:$R$801,0))="","",INDEX(inventory!$J$2:$J$801,MATCH($A23&amp;"|"&amp;$B23&amp;"|delivered",inventory!$R$2:$R$801,0))),""))</f>
        <v/>
      </c>
      <c r="X23" s="30" t="str">
        <f aca="false">IF($A23="","",IFERROR(IF(INDEX(photos!$H$2:$H$701,MATCH($A23&amp;"|"&amp;$B23&amp;"|placement|Y",photos!$R$2:$R$701,0))="","",INDEX(photos!$H$2:$H$701,MATCH($A23&amp;"|"&amp;$B23&amp;"|placement|Y",photos!$R$2:$R$701,0))),""))</f>
        <v/>
      </c>
      <c r="Y23" s="31" t="str">
        <f aca="false">IF($A23="","",IFERROR(IF(INDEX(photos!$E$2:$E$701,MATCH($A23&amp;"|"&amp;$B23&amp;"|placement|Y",photos!$R$2:$R$701,0))="","",INDEX(photos!$E$2:$E$701,MATCH($A23&amp;"|"&amp;$B23&amp;"|placement|Y",photos!$R$2:$R$701,0))),""))</f>
        <v/>
      </c>
      <c r="Z23" s="30" t="str">
        <f aca="false">IF($A23="","",IF(COUNTIFS(counts!$C$2:$C$701,$A23,counts!$D$2:$D$701,$B23,counts!$E$2:$E$701,"placed")=0,"",SUMIFS(counts!$F$2:$F$701,counts!$C$2:$C$701,$A23,counts!$D$2:$D$701,$B23,counts!$E$2:$E$701,"placed")))</f>
        <v/>
      </c>
      <c r="AA23" s="30" t="n">
        <f aca="false">IF($A23="","",IF($Y23="",0,N($Z23)))</f>
        <v>0</v>
      </c>
      <c r="AB23" s="30" t="str">
        <f aca="false">IF($A23="","",IF(OR($Y23="",$I23=""),"N",IF($Y23&lt;=WORKDAY(N($I23),1,calendar!$A$2:$A$80),"Y","N")))</f>
        <v>N</v>
      </c>
      <c r="AC23" s="33" t="str">
        <f aca="false">IF(OR($A23="",$V23="",$Y23=""),"",ROUND(($Y23+N(IFERROR(IF(INDEX(photos!$F$2:$F$701,MATCH($A23&amp;"|"&amp;$B23&amp;"|placement|Y",photos!$R$2:$R$701,0))="","",INDEX(photos!$F$2:$F$701,MATCH($A23&amp;"|"&amp;$B23&amp;"|placement|Y",photos!$R$2:$R$701,0))),""))-$V23)*24,1))</f>
        <v/>
      </c>
      <c r="AD23" s="30" t="n">
        <f aca="false">IF($A23="","",SUMIFS(inventory!$G$2:$G$801,inventory!$C$2:$C$801,$A23,inventory!$D$2:$D$801,$B23,inventory!$E$2:$E$801,"topped_up"))</f>
        <v>0</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N</v>
      </c>
      <c r="AL23" s="30" t="n">
        <f aca="true">IF(OR($A23="",$I23=""),"",IF($BC23="Y",SUMIFS(survey_frozen!$C$2:$C$251,survey_frozen!$P$2:$P$251,$A23&amp;"|"&amp;$B23),IFERROR(COUNTIFS(INDIRECT("'"&amp;$A23&amp;"'!$B$2:$B$501"),$T23,INDIRECT("'"&amp;$A23&amp;"'!$A$2:$A$501"),"&gt;="&amp;$I23,INDIRECT("'"&amp;$A23&amp;"'!$A$2:$A$501"),"&lt;"&amp;($BA23+1)),0)))</f>
        <v>0</v>
      </c>
      <c r="AM23" s="30" t="n">
        <f aca="true">IF(OR($A23="",$I23=""),"",IF($BC23="Y",SUMIFS(survey_frozen!$D$2:$D$251,survey_frozen!$P$2:$P$251,$A23&amp;"|"&amp;$B23),IFERROR(COUNTIFS(INDIRECT("'"&amp;$A23&amp;"'!$B$2:$B$501"),$T23,INDIRECT("'"&amp;$A23&amp;"'!$A$2:$A$501"),"&gt;="&amp;$I23,INDIRECT("'"&amp;$A23&amp;"'!$A$2:$A$501"),"&lt;"&amp;($BA23+1),INDIRECT("'"&amp;$A23&amp;"'!$C$2:$C$501"),"Yes"),0)))</f>
        <v>0</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f>
        <v/>
      </c>
      <c r="AQ23" s="30" t="n">
        <f aca="true">IF(OR($A23="",$I23=""),"",IF($BC23="Y",SUMIFS(survey_frozen!$E$2:$E$251,survey_frozen!$P$2:$P$251,$A23&amp;"|"&amp;$B23),IFERROR(COUNTIFS(INDIRECT("'"&amp;$A23&amp;"'!$B$2:$B$501"),$T23,INDIRECT("'"&amp;$A23&amp;"'!$A$2:$A$501"),"&gt;="&amp;$I23,INDIRECT("'"&amp;$A23&amp;"'!$A$2:$A$501"),"&lt;"&amp;($BA23+1),INDIRECT("'"&amp;$A23&amp;"'!$F$2:$F$501"),"Didn't see it"),0)))</f>
        <v>0</v>
      </c>
      <c r="AR23" s="30" t="n">
        <f aca="true">IF(OR($A23="",$I23=""),"",IF($BC23="Y",SUMIFS(survey_frozen!$F$2:$F$251,survey_frozen!$P$2:$P$251,$A23&amp;"|"&amp;$B23),IFERROR(COUNTIFS(INDIRECT("'"&amp;$A23&amp;"'!$B$2:$B$501"),$T23,INDIRECT("'"&amp;$A23&amp;"'!$A$2:$A$501"),"&gt;="&amp;$I23,INDIRECT("'"&amp;$A23&amp;"'!$A$2:$A$501"),"&lt;"&amp;($BA23+1),INDIRECT("'"&amp;$A23&amp;"'!$F$2:$F$501"),"Not for me"),0)))</f>
        <v>0</v>
      </c>
      <c r="AS23" s="30" t="n">
        <f aca="true">IF(OR($A23="",$I23=""),"",IF($BC23="Y",SUMIFS(survey_frozen!$G$2:$G$251,survey_frozen!$P$2:$P$251,$A23&amp;"|"&amp;$B23),IFERROR(COUNTIFS(INDIRECT("'"&amp;$A23&amp;"'!$B$2:$B$501"),$T23,INDIRECT("'"&amp;$A23&amp;"'!$A$2:$A$501"),"&gt;="&amp;$I23,INDIRECT("'"&amp;$A23&amp;"'!$A$2:$A$501"),"&lt;"&amp;($BA23+1),INDIRECT("'"&amp;$A23&amp;"'!$F$2:$F$501"),"Gone by the time I looked"),0)))</f>
        <v>0</v>
      </c>
      <c r="AT23" s="30" t="n">
        <f aca="true">IF(OR($A23="",$I23=""),"",IF($BC23="Y",SUMIFS(survey_frozen!$H$2:$H$251,survey_frozen!$P$2:$P$251,$A23&amp;"|"&amp;$B23),IFERROR(COUNTIFS(INDIRECT("'"&amp;$A23&amp;"'!$B$2:$B$501"),$T23,INDIRECT("'"&amp;$A23&amp;"'!$A$2:$A$501"),"&gt;="&amp;$I23,INDIRECT("'"&amp;$A23&amp;"'!$A$2:$A$501"),"&lt;"&amp;($BA23+1),INDIRECT("'"&amp;$A23&amp;"'!$D$2:$D$501"),"&gt;=1"),0)))</f>
        <v>0</v>
      </c>
      <c r="AU23" s="30" t="n">
        <f aca="true">IF(OR($A23="",$I23=""),"",IF($BC23="Y",SUMIFS(survey_frozen!$I$2:$I$251,survey_frozen!$P$2:$P$251,$A23&amp;"|"&amp;$B23),IFERROR(SUMIFS(INDIRECT("'"&amp;$A23&amp;"'!$D$2:$D$501"),INDIRECT("'"&amp;$A23&amp;"'!$B$2:$B$501"),$T23,INDIRECT("'"&amp;$A23&amp;"'!$A$2:$A$501"),"&gt;="&amp;$I23,INDIRECT("'"&amp;$A23&amp;"'!$A$2:$A$501"),"&lt;"&amp;($BA23+1)),0)))</f>
        <v>0</v>
      </c>
      <c r="AV23" s="30" t="n">
        <f aca="true">IF(OR($A23="",$I23=""),"",IF($BC23="Y",SUMIFS(survey_frozen!$J$2:$J$251,survey_frozen!$P$2:$P$251,$A23&amp;"|"&amp;$B23),IFERROR(COUNTIFS(INDIRECT("'"&amp;$A23&amp;"'!$B$2:$B$501"),$T23,INDIRECT("'"&amp;$A23&amp;"'!$A$2:$A$501"),"&gt;="&amp;$I23,INDIRECT("'"&amp;$A23&amp;"'!$A$2:$A$501"),"&lt;"&amp;($BA23+1),INDIRECT("'"&amp;$A23&amp;"'!$E$2:$E$501"),"Yes"),0)))</f>
        <v>0</v>
      </c>
      <c r="AW23" s="30" t="n">
        <f aca="true">IF(OR($A23="",$I23=""),"",IF($BC23="Y",SUMIFS(survey_frozen!$K$2:$K$251,survey_frozen!$P$2:$P$251,$A23&amp;"|"&amp;$B23),IFERROR(COUNTIFS(INDIRECT("'"&amp;$A23&amp;"'!$B$2:$B$501"),$T23,INDIRECT("'"&amp;$A23&amp;"'!$A$2:$A$501"),"&gt;="&amp;$I23,INDIRECT("'"&amp;$A23&amp;"'!$A$2:$A$501"),"&lt;"&amp;($BA23+1),INDIRECT("'"&amp;$A23&amp;"'!$E$2:$E$501"),"Maybe"),0)))</f>
        <v>0</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0</v>
      </c>
      <c r="AZ23" s="30" t="str">
        <f aca="false">IF($A23="","",$A23&amp;"|"&amp;$L23)</f>
        <v>SAMPLE-CMP-004|2</v>
      </c>
      <c r="BA23" s="31" t="n">
        <f aca="false">IF($A23="","",IFERROR(IF(INDEX(drops!$R$2:$R$21,MATCH($H23,drops!$A$2:$A$21,0))="","",INDEX(drops!$R$2:$R$21,MATCH($H23,drops!$A$2:$A$21,0))),""))</f>
        <v>46434</v>
      </c>
      <c r="BB23" s="30" t="n">
        <f aca="false">IF(OR($A23="",$Q23&lt;&gt;"Y"),1000000,N($AL23))</f>
        <v>0</v>
      </c>
      <c r="BC23" s="30" t="str">
        <f aca="false">IF($A23="","",IF(COUNTIF(survey_frozen!$P$2:$P$251,$A23&amp;"|"&amp;$B23)&gt;0,"Y",""))</f>
        <v/>
      </c>
    </row>
    <row r="24" customFormat="false" ht="15" hidden="false" customHeight="false" outlineLevel="0" collapsed="false">
      <c r="A24" s="0" t="s">
        <v>498</v>
      </c>
      <c r="B24" s="0" t="s">
        <v>599</v>
      </c>
      <c r="C24" s="11" t="n">
        <v>46393</v>
      </c>
      <c r="D24" s="10" t="s">
        <v>652</v>
      </c>
      <c r="E24" s="11" t="n">
        <v>46396</v>
      </c>
      <c r="F24" s="10" t="s">
        <v>653</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IF($B24="","",IFERROR(IF(INDEX(offices!$N$2:$N$61,MATCH($B24,offices!$A$2:$A$61,0))="","",INDEX(offices!$N$2:$N$61,MATCH($B24,offices!$A$2:$A$61,0))),""))</f>
        <v>SAMPLE Halcyon Media</v>
      </c>
      <c r="L24" s="30" t="n">
        <f aca="false">IF($A24="","",IF($Q24="N","",COUNTIFS($A$2:$A24,$A24,$Q$2:$Q24,"&lt;&gt;N")))</f>
        <v>3</v>
      </c>
      <c r="M24" s="30" t="str">
        <f aca="false">IF(OR($A24="",$L24=""),"",IF(AND(config!$B$34="names_if_public",IFERROR(IF(INDEX(offices!$AF$2:$AF$61,MATCH($B24,offices!$A$2:$A$61,0))="","",INDEX(offices!$AF$2:$AF$61,MATCH($B24,offices!$A$2:$A$61,0))),"")="Y"),$K24,CHAR(64+$L24)))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C$2:$AC$61,MATCH($B24,offices!$A$2:$A$61,0))="","",INDEX(offices!$AC$2:$AC$61,MATCH($B24,offices!$A$2:$A$61,0))),"")&lt;&gt;"",ISNUMBER(SEARCH($J24,IFERROR(IF(INDEX(offices!$AC$2:$AC$61,MATCH($B24,offices!$A$2:$A$61,0))="","",INDEX(offices!$AC$2:$AC$61,MATCH($B24,offices!$A$2:$A$61,0))),"")))),"BRAND VETOED; ","")&amp;IF(ISNUMBER(SEARCH(IFERROR(IF(INDEX(campaigns!$BF$2:$BF$51,MATCH($A24,campaigns!$A$2:$A$51,0))="","",INDEX(campaigns!$BF$2:$BF$51,MATCH($A24,campaigns!$A$2:$A$51,0))),""),IFERROR(IF(INDEX(offices!$AB$2:$AB$61,MATCH($B24,offices!$A$2:$A$61,0))="","",INDEX(offices!$AB$2:$AB$61,MATCH($B24,offices!$A$2:$A$61,0))),""))),"","info: category not on the office's list; ")&amp;IF(IFERROR(IF(INDEX(offices!$AC$2:$AC$61,MATCH($B24,offices!$A$2:$A$61,0))="","",INDEX(offices!$AC$2:$AC$61,MATCH($B24,offices!$A$2:$A$61,0))),"")&lt;&gt;"","info: read the vetoes against the label; ",""))</f>
        <v/>
      </c>
      <c r="S24" s="30" t="n">
        <f aca="false">IF($A24="","",IF($G24&lt;&gt;"",$G24,IFERROR(IF(INDEX(offices!$AL$2:$AL$61,MATCH($B24,offices!$A$2:$A$61,0))="","",INDEX(offices!$AL$2:$AL$61,MATCH($B24,offices!$A$2:$A$61,0))),"")))</f>
        <v>50</v>
      </c>
      <c r="T24" s="30" t="str">
        <f aca="false">IF($A24="","",$A24&amp;"."&amp;$B24)</f>
        <v>SAMPLE-CMP-004.SAMPLE-O-003</v>
      </c>
      <c r="U24" s="30" t="n">
        <f aca="false">IF($A24="","",SUMIFS(inventory!$G$2:$G$801,inventory!$C$2:$C$801,$A24,inventory!$D$2:$D$801,$B24,inventory!$E$2:$E$801,"delivered"))</f>
        <v>0</v>
      </c>
      <c r="V24" s="37" t="str">
        <f aca="false">IF($A24="","",IFERROR(1/(1/SUMPRODUCT(MAX((inventory!$C$2:$C$801=$A24)*(inventory!$D$2:$D$801=$B24)*(inventory!$E$2:$E$801="delivered")*(inventory!$A$2:$A$801+inventory!$B$2:$B$801)))),""))</f>
        <v/>
      </c>
      <c r="W24" s="30" t="str">
        <f aca="false">IF($A24="","",IFERROR(IF(INDEX(inventory!$J$2:$J$801,MATCH($A24&amp;"|"&amp;$B24&amp;"|delivered",inventory!$R$2:$R$801,0))="","",INDEX(inventory!$J$2:$J$801,MATCH($A24&amp;"|"&amp;$B24&amp;"|delivered",inventory!$R$2:$R$801,0))),""))</f>
        <v/>
      </c>
      <c r="X24" s="30" t="str">
        <f aca="false">IF($A24="","",IFERROR(IF(INDEX(photos!$H$2:$H$701,MATCH($A24&amp;"|"&amp;$B24&amp;"|placement|Y",photos!$R$2:$R$701,0))="","",INDEX(photos!$H$2:$H$701,MATCH($A24&amp;"|"&amp;$B24&amp;"|placement|Y",photos!$R$2:$R$701,0))),""))</f>
        <v/>
      </c>
      <c r="Y24" s="31" t="str">
        <f aca="false">IF($A24="","",IFERROR(IF(INDEX(photos!$E$2:$E$701,MATCH($A24&amp;"|"&amp;$B24&amp;"|placement|Y",photos!$R$2:$R$701,0))="","",INDEX(photos!$E$2:$E$701,MATCH($A24&amp;"|"&amp;$B24&amp;"|placement|Y",photos!$R$2:$R$701,0))),""))</f>
        <v/>
      </c>
      <c r="Z24" s="30" t="str">
        <f aca="false">IF($A24="","",IF(COUNTIFS(counts!$C$2:$C$701,$A24,counts!$D$2:$D$701,$B24,counts!$E$2:$E$701,"placed")=0,"",SUMIFS(counts!$F$2:$F$701,counts!$C$2:$C$701,$A24,counts!$D$2:$D$701,$B24,counts!$E$2:$E$701,"placed")))</f>
        <v/>
      </c>
      <c r="AA24" s="30" t="n">
        <f aca="false">IF($A24="","",IF($Y24="",0,N($Z24)))</f>
        <v>0</v>
      </c>
      <c r="AB24" s="30" t="str">
        <f aca="false">IF($A24="","",IF(OR($Y24="",$I24=""),"N",IF($Y24&lt;=WORKDAY(N($I24),1,calendar!$A$2:$A$80),"Y","N")))</f>
        <v>N</v>
      </c>
      <c r="AC24" s="33" t="str">
        <f aca="false">IF(OR($A24="",$V24="",$Y24=""),"",ROUND(($Y24+N(IFERROR(IF(INDEX(photos!$F$2:$F$701,MATCH($A24&amp;"|"&amp;$B24&amp;"|placement|Y",photos!$R$2:$R$701,0))="","",INDEX(photos!$F$2:$F$701,MATCH($A24&amp;"|"&amp;$B24&amp;"|placement|Y",photos!$R$2:$R$701,0))),""))-$V24)*24,1))</f>
        <v/>
      </c>
      <c r="AD24" s="30" t="n">
        <f aca="false">IF($A24="","",SUMIFS(inventory!$G$2:$G$801,inventory!$C$2:$C$801,$A24,inventory!$D$2:$D$801,$B24,inventory!$E$2:$E$801,"topped_up"))</f>
        <v>0</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N</v>
      </c>
      <c r="AL24" s="30" t="n">
        <f aca="true">IF(OR($A24="",$I24=""),"",IF($BC24="Y",SUMIFS(survey_frozen!$C$2:$C$251,survey_frozen!$P$2:$P$251,$A24&amp;"|"&amp;$B24),IFERROR(COUNTIFS(INDIRECT("'"&amp;$A24&amp;"'!$B$2:$B$501"),$T24,INDIRECT("'"&amp;$A24&amp;"'!$A$2:$A$501"),"&gt;="&amp;$I24,INDIRECT("'"&amp;$A24&amp;"'!$A$2:$A$501"),"&lt;"&amp;($BA24+1)),0)))</f>
        <v>0</v>
      </c>
      <c r="AM24" s="30" t="n">
        <f aca="true">IF(OR($A24="",$I24=""),"",IF($BC24="Y",SUMIFS(survey_frozen!$D$2:$D$251,survey_frozen!$P$2:$P$251,$A24&amp;"|"&amp;$B24),IFERROR(COUNTIFS(INDIRECT("'"&amp;$A24&amp;"'!$B$2:$B$501"),$T24,INDIRECT("'"&amp;$A24&amp;"'!$A$2:$A$501"),"&gt;="&amp;$I24,INDIRECT("'"&amp;$A24&amp;"'!$A$2:$A$501"),"&lt;"&amp;($BA24+1),INDIRECT("'"&amp;$A24&amp;"'!$C$2:$C$501"),"Yes"),0)))</f>
        <v>0</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0</v>
      </c>
      <c r="AU24" s="30" t="n">
        <f aca="true">IF(OR($A24="",$I24=""),"",IF($BC24="Y",SUMIFS(survey_frozen!$I$2:$I$251,survey_frozen!$P$2:$P$251,$A24&amp;"|"&amp;$B24),IFERROR(SUMIFS(INDIRECT("'"&amp;$A24&amp;"'!$D$2:$D$501"),INDIRECT("'"&amp;$A24&amp;"'!$B$2:$B$501"),$T24,INDIRECT("'"&amp;$A24&amp;"'!$A$2:$A$501"),"&gt;="&amp;$I24,INDIRECT("'"&amp;$A24&amp;"'!$A$2:$A$501"),"&lt;"&amp;($BA24+1)),0)))</f>
        <v>0</v>
      </c>
      <c r="AV24" s="30" t="n">
        <f aca="true">IF(OR($A24="",$I24=""),"",IF($BC24="Y",SUMIFS(survey_frozen!$J$2:$J$251,survey_frozen!$P$2:$P$251,$A24&amp;"|"&amp;$B24),IFERROR(COUNTIFS(INDIRECT("'"&amp;$A24&amp;"'!$B$2:$B$501"),$T24,INDIRECT("'"&amp;$A24&amp;"'!$A$2:$A$501"),"&gt;="&amp;$I24,INDIRECT("'"&amp;$A24&amp;"'!$A$2:$A$501"),"&lt;"&amp;($BA24+1),INDIRECT("'"&amp;$A24&amp;"'!$E$2:$E$501"),"Yes"),0)))</f>
        <v>0</v>
      </c>
      <c r="AW24" s="30" t="n">
        <f aca="true">IF(OR($A24="",$I24=""),"",IF($BC24="Y",SUMIFS(survey_frozen!$K$2:$K$251,survey_frozen!$P$2:$P$251,$A24&amp;"|"&amp;$B24),IFERROR(COUNTIFS(INDIRECT("'"&amp;$A24&amp;"'!$B$2:$B$501"),$T24,INDIRECT("'"&amp;$A24&amp;"'!$A$2:$A$501"),"&gt;="&amp;$I24,INDIRECT("'"&amp;$A24&amp;"'!$A$2:$A$501"),"&lt;"&amp;($BA24+1),INDIRECT("'"&amp;$A24&amp;"'!$E$2:$E$501"),"Maybe"),0)))</f>
        <v>0</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0</v>
      </c>
      <c r="AZ24" s="30" t="str">
        <f aca="false">IF($A24="","",$A24&amp;"|"&amp;$L24)</f>
        <v>SAMPLE-CMP-004|3</v>
      </c>
      <c r="BA24" s="31" t="n">
        <f aca="false">IF($A24="","",IFERROR(IF(INDEX(drops!$R$2:$R$21,MATCH($H24,drops!$A$2:$A$21,0))="","",INDEX(drops!$R$2:$R$21,MATCH($H24,drops!$A$2:$A$21,0))),""))</f>
        <v>46434</v>
      </c>
      <c r="BB24" s="30" t="n">
        <f aca="false">IF(OR($A24="",$Q24&lt;&gt;"Y"),1000000,N($AL24))</f>
        <v>0</v>
      </c>
      <c r="BC24" s="30" t="str">
        <f aca="false">IF($A24="","",IF(COUNTIF(survey_frozen!$P$2:$P$251,$A24&amp;"|"&amp;$B24)&gt;0,"Y",""))</f>
        <v/>
      </c>
    </row>
    <row r="25" customFormat="false" ht="15" hidden="false" customHeight="false" outlineLevel="0" collapsed="false">
      <c r="A25" s="0" t="s">
        <v>498</v>
      </c>
      <c r="B25" s="0" t="s">
        <v>602</v>
      </c>
      <c r="C25" s="11" t="n">
        <v>46393</v>
      </c>
      <c r="D25" s="10" t="s">
        <v>652</v>
      </c>
      <c r="E25" s="11" t="n">
        <v>46394</v>
      </c>
      <c r="F25" s="10" t="s">
        <v>653</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IF($B25="","",IFERROR(IF(INDEX(offices!$N$2:$N$61,MATCH($B25,offices!$A$2:$A$61,0))="","",INDEX(offices!$N$2:$N$61,MATCH($B25,offices!$A$2:$A$61,0))),""))</f>
        <v>SAMPLE Union Food Fund</v>
      </c>
      <c r="L25" s="30" t="n">
        <f aca="false">IF($A25="","",IF($Q25="N","",COUNTIFS($A$2:$A25,$A25,$Q$2:$Q25,"&lt;&gt;N")))</f>
        <v>4</v>
      </c>
      <c r="M25" s="30" t="str">
        <f aca="false">IF(OR($A25="",$L25=""),"",IF(AND(config!$B$34="names_if_public",IFERROR(IF(INDEX(offices!$AF$2:$AF$61,MATCH($B25,offices!$A$2:$A$61,0))="","",INDEX(offices!$AF$2:$AF$61,MATCH($B25,offices!$A$2:$A$61,0))),"")="Y"),$K25,CHAR(64+$L25)))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C$2:$AC$61,MATCH($B25,offices!$A$2:$A$61,0))="","",INDEX(offices!$AC$2:$AC$61,MATCH($B25,offices!$A$2:$A$61,0))),"")&lt;&gt;"",ISNUMBER(SEARCH($J25,IFERROR(IF(INDEX(offices!$AC$2:$AC$61,MATCH($B25,offices!$A$2:$A$61,0))="","",INDEX(offices!$AC$2:$AC$61,MATCH($B25,offices!$A$2:$A$61,0))),"")))),"BRAND VETOED; ","")&amp;IF(ISNUMBER(SEARCH(IFERROR(IF(INDEX(campaigns!$BF$2:$BF$51,MATCH($A25,campaigns!$A$2:$A$51,0))="","",INDEX(campaigns!$BF$2:$BF$51,MATCH($A25,campaigns!$A$2:$A$51,0))),""),IFERROR(IF(INDEX(offices!$AB$2:$AB$61,MATCH($B25,offices!$A$2:$A$61,0))="","",INDEX(offices!$AB$2:$AB$61,MATCH($B25,offices!$A$2:$A$61,0))),""))),"","info: category not on the office's list; ")&amp;IF(IFERROR(IF(INDEX(offices!$AC$2:$AC$61,MATCH($B25,offices!$A$2:$A$61,0))="","",INDEX(offices!$AC$2:$AC$61,MATCH($B25,offices!$A$2:$A$61,0))),"")&lt;&gt;"","info: read the vetoes against the label; ",""))</f>
        <v/>
      </c>
      <c r="S25" s="30" t="n">
        <f aca="false">IF($A25="","",IF($G25&lt;&gt;"",$G25,IFERROR(IF(INDEX(offices!$AL$2:$AL$61,MATCH($B25,offices!$A$2:$A$61,0))="","",INDEX(offices!$AL$2:$AL$61,MATCH($B25,offices!$A$2:$A$61,0))),"")))</f>
        <v>50</v>
      </c>
      <c r="T25" s="30" t="str">
        <f aca="false">IF($A25="","",$A25&amp;"."&amp;$B25)</f>
        <v>SAMPLE-CMP-004.SAMPLE-O-004</v>
      </c>
      <c r="U25" s="30" t="n">
        <f aca="false">IF($A25="","",SUMIFS(inventory!$G$2:$G$801,inventory!$C$2:$C$801,$A25,inventory!$D$2:$D$801,$B25,inventory!$E$2:$E$801,"delivered"))</f>
        <v>0</v>
      </c>
      <c r="V25" s="37" t="str">
        <f aca="false">IF($A25="","",IFERROR(1/(1/SUMPRODUCT(MAX((inventory!$C$2:$C$801=$A25)*(inventory!$D$2:$D$801=$B25)*(inventory!$E$2:$E$801="delivered")*(inventory!$A$2:$A$801+inventory!$B$2:$B$801)))),""))</f>
        <v/>
      </c>
      <c r="W25" s="30" t="str">
        <f aca="false">IF($A25="","",IFERROR(IF(INDEX(inventory!$J$2:$J$801,MATCH($A25&amp;"|"&amp;$B25&amp;"|delivered",inventory!$R$2:$R$801,0))="","",INDEX(inventory!$J$2:$J$801,MATCH($A25&amp;"|"&amp;$B25&amp;"|delivered",inventory!$R$2:$R$801,0))),""))</f>
        <v/>
      </c>
      <c r="X25" s="30" t="str">
        <f aca="false">IF($A25="","",IFERROR(IF(INDEX(photos!$H$2:$H$701,MATCH($A25&amp;"|"&amp;$B25&amp;"|placement|Y",photos!$R$2:$R$701,0))="","",INDEX(photos!$H$2:$H$701,MATCH($A25&amp;"|"&amp;$B25&amp;"|placement|Y",photos!$R$2:$R$701,0))),""))</f>
        <v/>
      </c>
      <c r="Y25" s="31" t="str">
        <f aca="false">IF($A25="","",IFERROR(IF(INDEX(photos!$E$2:$E$701,MATCH($A25&amp;"|"&amp;$B25&amp;"|placement|Y",photos!$R$2:$R$701,0))="","",INDEX(photos!$E$2:$E$701,MATCH($A25&amp;"|"&amp;$B25&amp;"|placement|Y",photos!$R$2:$R$701,0))),""))</f>
        <v/>
      </c>
      <c r="Z25" s="30" t="str">
        <f aca="false">IF($A25="","",IF(COUNTIFS(counts!$C$2:$C$701,$A25,counts!$D$2:$D$701,$B25,counts!$E$2:$E$701,"placed")=0,"",SUMIFS(counts!$F$2:$F$701,counts!$C$2:$C$701,$A25,counts!$D$2:$D$701,$B25,counts!$E$2:$E$701,"placed")))</f>
        <v/>
      </c>
      <c r="AA25" s="30" t="n">
        <f aca="false">IF($A25="","",IF($Y25="",0,N($Z25)))</f>
        <v>0</v>
      </c>
      <c r="AB25" s="30" t="str">
        <f aca="false">IF($A25="","",IF(OR($Y25="",$I25=""),"N",IF($Y25&lt;=WORKDAY(N($I25),1,calendar!$A$2:$A$80),"Y","N")))</f>
        <v>N</v>
      </c>
      <c r="AC25" s="33" t="str">
        <f aca="false">IF(OR($A25="",$V25="",$Y25=""),"",ROUND(($Y25+N(IFERROR(IF(INDEX(photos!$F$2:$F$701,MATCH($A25&amp;"|"&amp;$B25&amp;"|placement|Y",photos!$R$2:$R$701,0))="","",INDEX(photos!$F$2:$F$701,MATCH($A25&amp;"|"&amp;$B25&amp;"|placement|Y",photos!$R$2:$R$701,0))),""))-$V25)*24,1))</f>
        <v/>
      </c>
      <c r="AD25" s="30" t="n">
        <f aca="false">IF($A25="","",SUMIFS(inventory!$G$2:$G$801,inventory!$C$2:$C$801,$A25,inventory!$D$2:$D$801,$B25,inventory!$E$2:$E$801,"topped_up"))</f>
        <v>0</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N</v>
      </c>
      <c r="AL25" s="30" t="n">
        <f aca="true">IF(OR($A25="",$I25=""),"",IF($BC25="Y",SUMIFS(survey_frozen!$C$2:$C$251,survey_frozen!$P$2:$P$251,$A25&amp;"|"&amp;$B25),IFERROR(COUNTIFS(INDIRECT("'"&amp;$A25&amp;"'!$B$2:$B$501"),$T25,INDIRECT("'"&amp;$A25&amp;"'!$A$2:$A$501"),"&gt;="&amp;$I25,INDIRECT("'"&amp;$A25&amp;"'!$A$2:$A$501"),"&lt;"&amp;($BA25+1)),0)))</f>
        <v>0</v>
      </c>
      <c r="AM25" s="30" t="n">
        <f aca="true">IF(OR($A25="",$I25=""),"",IF($BC25="Y",SUMIFS(survey_frozen!$D$2:$D$251,survey_frozen!$P$2:$P$251,$A25&amp;"|"&amp;$B25),IFERROR(COUNTIFS(INDIRECT("'"&amp;$A25&amp;"'!$B$2:$B$501"),$T25,INDIRECT("'"&amp;$A25&amp;"'!$A$2:$A$501"),"&gt;="&amp;$I25,INDIRECT("'"&amp;$A25&amp;"'!$A$2:$A$501"),"&lt;"&amp;($BA25+1),INDIRECT("'"&amp;$A25&amp;"'!$C$2:$C$501"),"Yes"),0)))</f>
        <v>0</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f>
        <v/>
      </c>
      <c r="AQ25" s="30" t="n">
        <f aca="true">IF(OR($A25="",$I25=""),"",IF($BC25="Y",SUMIFS(survey_frozen!$E$2:$E$251,survey_frozen!$P$2:$P$251,$A25&amp;"|"&amp;$B25),IFERROR(COUNTIFS(INDIRECT("'"&amp;$A25&amp;"'!$B$2:$B$501"),$T25,INDIRECT("'"&amp;$A25&amp;"'!$A$2:$A$501"),"&gt;="&amp;$I25,INDIRECT("'"&amp;$A25&amp;"'!$A$2:$A$501"),"&lt;"&amp;($BA25+1),INDIRECT("'"&amp;$A25&amp;"'!$F$2:$F$501"),"Didn't see it"),0)))</f>
        <v>0</v>
      </c>
      <c r="AR25" s="30" t="n">
        <f aca="true">IF(OR($A25="",$I25=""),"",IF($BC25="Y",SUMIFS(survey_frozen!$F$2:$F$251,survey_frozen!$P$2:$P$251,$A25&amp;"|"&amp;$B25),IFERROR(COUNTIFS(INDIRECT("'"&amp;$A25&amp;"'!$B$2:$B$501"),$T25,INDIRECT("'"&amp;$A25&amp;"'!$A$2:$A$501"),"&gt;="&amp;$I25,INDIRECT("'"&amp;$A25&amp;"'!$A$2:$A$501"),"&lt;"&amp;($BA25+1),INDIRECT("'"&amp;$A25&amp;"'!$F$2:$F$501"),"Not for me"),0)))</f>
        <v>0</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0</v>
      </c>
      <c r="AU25" s="30" t="n">
        <f aca="true">IF(OR($A25="",$I25=""),"",IF($BC25="Y",SUMIFS(survey_frozen!$I$2:$I$251,survey_frozen!$P$2:$P$251,$A25&amp;"|"&amp;$B25),IFERROR(SUMIFS(INDIRECT("'"&amp;$A25&amp;"'!$D$2:$D$501"),INDIRECT("'"&amp;$A25&amp;"'!$B$2:$B$501"),$T25,INDIRECT("'"&amp;$A25&amp;"'!$A$2:$A$501"),"&gt;="&amp;$I25,INDIRECT("'"&amp;$A25&amp;"'!$A$2:$A$501"),"&lt;"&amp;($BA25+1)),0)))</f>
        <v>0</v>
      </c>
      <c r="AV25" s="30" t="n">
        <f aca="true">IF(OR($A25="",$I25=""),"",IF($BC25="Y",SUMIFS(survey_frozen!$J$2:$J$251,survey_frozen!$P$2:$P$251,$A25&amp;"|"&amp;$B25),IFERROR(COUNTIFS(INDIRECT("'"&amp;$A25&amp;"'!$B$2:$B$501"),$T25,INDIRECT("'"&amp;$A25&amp;"'!$A$2:$A$501"),"&gt;="&amp;$I25,INDIRECT("'"&amp;$A25&amp;"'!$A$2:$A$501"),"&lt;"&amp;($BA25+1),INDIRECT("'"&amp;$A25&amp;"'!$E$2:$E$501"),"Yes"),0)))</f>
        <v>0</v>
      </c>
      <c r="AW25" s="30" t="n">
        <f aca="true">IF(OR($A25="",$I25=""),"",IF($BC25="Y",SUMIFS(survey_frozen!$K$2:$K$251,survey_frozen!$P$2:$P$251,$A25&amp;"|"&amp;$B25),IFERROR(COUNTIFS(INDIRECT("'"&amp;$A25&amp;"'!$B$2:$B$501"),$T25,INDIRECT("'"&amp;$A25&amp;"'!$A$2:$A$501"),"&gt;="&amp;$I25,INDIRECT("'"&amp;$A25&amp;"'!$A$2:$A$501"),"&lt;"&amp;($BA25+1),INDIRECT("'"&amp;$A25&amp;"'!$E$2:$E$501"),"Maybe"),0)))</f>
        <v>0</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0</v>
      </c>
      <c r="AZ25" s="30" t="str">
        <f aca="false">IF($A25="","",$A25&amp;"|"&amp;$L25)</f>
        <v>SAMPLE-CMP-004|4</v>
      </c>
      <c r="BA25" s="31" t="n">
        <f aca="false">IF($A25="","",IFERROR(IF(INDEX(drops!$R$2:$R$21,MATCH($H25,drops!$A$2:$A$21,0))="","",INDEX(drops!$R$2:$R$21,MATCH($H25,drops!$A$2:$A$21,0))),""))</f>
        <v>46434</v>
      </c>
      <c r="BB25" s="30" t="n">
        <f aca="false">IF(OR($A25="",$Q25&lt;&gt;"Y"),1000000,N($AL25))</f>
        <v>0</v>
      </c>
      <c r="BC25" s="30" t="str">
        <f aca="false">IF($A25="","",IF(COUNTIF(survey_frozen!$P$2:$P$251,$A25&amp;"|"&amp;$B25)&gt;0,"Y",""))</f>
        <v/>
      </c>
    </row>
    <row r="26" customFormat="false" ht="15" hidden="false" customHeight="false" outlineLevel="0" collapsed="false">
      <c r="A26" s="0" t="s">
        <v>498</v>
      </c>
      <c r="B26" s="0" t="s">
        <v>604</v>
      </c>
      <c r="C26" s="11" t="n">
        <v>46393</v>
      </c>
      <c r="D26" s="10" t="s">
        <v>652</v>
      </c>
      <c r="E26" s="11" t="n">
        <v>46395</v>
      </c>
      <c r="F26" s="10" t="s">
        <v>653</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IF($B26="","",IFERROR(IF(INDEX(offices!$N$2:$N$61,MATCH($B26,offices!$A$2:$A$61,0))="","",INDEX(offices!$N$2:$N$61,MATCH($B26,offices!$A$2:$A$61,0))),""))</f>
        <v>SAMPLE Studio Marlow</v>
      </c>
      <c r="L26" s="30" t="n">
        <f aca="false">IF($A26="","",IF($Q26="N","",COUNTIFS($A$2:$A26,$A26,$Q$2:$Q26,"&lt;&gt;N")))</f>
        <v>5</v>
      </c>
      <c r="M26" s="30" t="str">
        <f aca="false">IF(OR($A26="",$L26=""),"",IF(AND(config!$B$34="names_if_public",IFERROR(IF(INDEX(offices!$AF$2:$AF$61,MATCH($B26,offices!$A$2:$A$61,0))="","",INDEX(offices!$AF$2:$AF$61,MATCH($B26,offices!$A$2:$A$61,0))),"")="Y"),$K26,CHAR(64+$L26)))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C$2:$AC$61,MATCH($B26,offices!$A$2:$A$61,0))="","",INDEX(offices!$AC$2:$AC$61,MATCH($B26,offices!$A$2:$A$61,0))),"")&lt;&gt;"",ISNUMBER(SEARCH($J26,IFERROR(IF(INDEX(offices!$AC$2:$AC$61,MATCH($B26,offices!$A$2:$A$61,0))="","",INDEX(offices!$AC$2:$AC$61,MATCH($B26,offices!$A$2:$A$61,0))),"")))),"BRAND VETOED; ","")&amp;IF(ISNUMBER(SEARCH(IFERROR(IF(INDEX(campaigns!$BF$2:$BF$51,MATCH($A26,campaigns!$A$2:$A$51,0))="","",INDEX(campaigns!$BF$2:$BF$51,MATCH($A26,campaigns!$A$2:$A$51,0))),""),IFERROR(IF(INDEX(offices!$AB$2:$AB$61,MATCH($B26,offices!$A$2:$A$61,0))="","",INDEX(offices!$AB$2:$AB$61,MATCH($B26,offices!$A$2:$A$61,0))),""))),"","info: category not on the office's list; ")&amp;IF(IFERROR(IF(INDEX(offices!$AC$2:$AC$61,MATCH($B26,offices!$A$2:$A$61,0))="","",INDEX(offices!$AC$2:$AC$61,MATCH($B26,offices!$A$2:$A$61,0))),"")&lt;&gt;"","info: read the vetoes against the label; ",""))</f>
        <v/>
      </c>
      <c r="S26" s="30" t="n">
        <f aca="false">IF($A26="","",IF($G26&lt;&gt;"",$G26,IFERROR(IF(INDEX(offices!$AL$2:$AL$61,MATCH($B26,offices!$A$2:$A$61,0))="","",INDEX(offices!$AL$2:$AL$61,MATCH($B26,offices!$A$2:$A$61,0))),"")))</f>
        <v>70</v>
      </c>
      <c r="T26" s="30" t="str">
        <f aca="false">IF($A26="","",$A26&amp;"."&amp;$B26)</f>
        <v>SAMPLE-CMP-004.SAMPLE-O-005</v>
      </c>
      <c r="U26" s="30" t="n">
        <f aca="false">IF($A26="","",SUMIFS(inventory!$G$2:$G$801,inventory!$C$2:$C$801,$A26,inventory!$D$2:$D$801,$B26,inventory!$E$2:$E$801,"delivered"))</f>
        <v>0</v>
      </c>
      <c r="V26" s="37" t="str">
        <f aca="false">IF($A26="","",IFERROR(1/(1/SUMPRODUCT(MAX((inventory!$C$2:$C$801=$A26)*(inventory!$D$2:$D$801=$B26)*(inventory!$E$2:$E$801="delivered")*(inventory!$A$2:$A$801+inventory!$B$2:$B$801)))),""))</f>
        <v/>
      </c>
      <c r="W26" s="30" t="str">
        <f aca="false">IF($A26="","",IFERROR(IF(INDEX(inventory!$J$2:$J$801,MATCH($A26&amp;"|"&amp;$B26&amp;"|delivered",inventory!$R$2:$R$801,0))="","",INDEX(inventory!$J$2:$J$801,MATCH($A26&amp;"|"&amp;$B26&amp;"|delivered",inventory!$R$2:$R$801,0))),""))</f>
        <v/>
      </c>
      <c r="X26" s="30" t="str">
        <f aca="false">IF($A26="","",IFERROR(IF(INDEX(photos!$H$2:$H$701,MATCH($A26&amp;"|"&amp;$B26&amp;"|placement|Y",photos!$R$2:$R$701,0))="","",INDEX(photos!$H$2:$H$701,MATCH($A26&amp;"|"&amp;$B26&amp;"|placement|Y",photos!$R$2:$R$701,0))),""))</f>
        <v/>
      </c>
      <c r="Y26" s="31" t="str">
        <f aca="false">IF($A26="","",IFERROR(IF(INDEX(photos!$E$2:$E$701,MATCH($A26&amp;"|"&amp;$B26&amp;"|placement|Y",photos!$R$2:$R$701,0))="","",INDEX(photos!$E$2:$E$701,MATCH($A26&amp;"|"&amp;$B26&amp;"|placement|Y",photos!$R$2:$R$701,0))),""))</f>
        <v/>
      </c>
      <c r="Z26" s="30" t="str">
        <f aca="false">IF($A26="","",IF(COUNTIFS(counts!$C$2:$C$701,$A26,counts!$D$2:$D$701,$B26,counts!$E$2:$E$701,"placed")=0,"",SUMIFS(counts!$F$2:$F$701,counts!$C$2:$C$701,$A26,counts!$D$2:$D$701,$B26,counts!$E$2:$E$701,"placed")))</f>
        <v/>
      </c>
      <c r="AA26" s="30" t="n">
        <f aca="false">IF($A26="","",IF($Y26="",0,N($Z26)))</f>
        <v>0</v>
      </c>
      <c r="AB26" s="30" t="str">
        <f aca="false">IF($A26="","",IF(OR($Y26="",$I26=""),"N",IF($Y26&lt;=WORKDAY(N($I26),1,calendar!$A$2:$A$80),"Y","N")))</f>
        <v>N</v>
      </c>
      <c r="AC26" s="33" t="str">
        <f aca="false">IF(OR($A26="",$V26="",$Y26=""),"",ROUND(($Y26+N(IFERROR(IF(INDEX(photos!$F$2:$F$701,MATCH($A26&amp;"|"&amp;$B26&amp;"|placement|Y",photos!$R$2:$R$701,0))="","",INDEX(photos!$F$2:$F$701,MATCH($A26&amp;"|"&amp;$B26&amp;"|placement|Y",photos!$R$2:$R$701,0))),""))-$V26)*24,1))</f>
        <v/>
      </c>
      <c r="AD26" s="30" t="n">
        <f aca="false">IF($A26="","",SUMIFS(inventory!$G$2:$G$801,inventory!$C$2:$C$801,$A26,inventory!$D$2:$D$801,$B26,inventory!$E$2:$E$801,"topped_up"))</f>
        <v>0</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N</v>
      </c>
      <c r="AL26" s="30" t="n">
        <f aca="true">IF(OR($A26="",$I26=""),"",IF($BC26="Y",SUMIFS(survey_frozen!$C$2:$C$251,survey_frozen!$P$2:$P$251,$A26&amp;"|"&amp;$B26),IFERROR(COUNTIFS(INDIRECT("'"&amp;$A26&amp;"'!$B$2:$B$501"),$T26,INDIRECT("'"&amp;$A26&amp;"'!$A$2:$A$501"),"&gt;="&amp;$I26,INDIRECT("'"&amp;$A26&amp;"'!$A$2:$A$501"),"&lt;"&amp;($BA26+1)),0)))</f>
        <v>0</v>
      </c>
      <c r="AM26" s="30" t="n">
        <f aca="true">IF(OR($A26="",$I26=""),"",IF($BC26="Y",SUMIFS(survey_frozen!$D$2:$D$251,survey_frozen!$P$2:$P$251,$A26&amp;"|"&amp;$B26),IFERROR(COUNTIFS(INDIRECT("'"&amp;$A26&amp;"'!$B$2:$B$501"),$T26,INDIRECT("'"&amp;$A26&amp;"'!$A$2:$A$501"),"&gt;="&amp;$I26,INDIRECT("'"&amp;$A26&amp;"'!$A$2:$A$501"),"&lt;"&amp;($BA26+1),INDIRECT("'"&amp;$A26&amp;"'!$C$2:$C$501"),"Yes"),0)))</f>
        <v>0</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0</v>
      </c>
      <c r="AU26" s="30" t="n">
        <f aca="true">IF(OR($A26="",$I26=""),"",IF($BC26="Y",SUMIFS(survey_frozen!$I$2:$I$251,survey_frozen!$P$2:$P$251,$A26&amp;"|"&amp;$B26),IFERROR(SUMIFS(INDIRECT("'"&amp;$A26&amp;"'!$D$2:$D$501"),INDIRECT("'"&amp;$A26&amp;"'!$B$2:$B$501"),$T26,INDIRECT("'"&amp;$A26&amp;"'!$A$2:$A$501"),"&gt;="&amp;$I26,INDIRECT("'"&amp;$A26&amp;"'!$A$2:$A$501"),"&lt;"&amp;($BA26+1)),0)))</f>
        <v>0</v>
      </c>
      <c r="AV26" s="30" t="n">
        <f aca="true">IF(OR($A26="",$I26=""),"",IF($BC26="Y",SUMIFS(survey_frozen!$J$2:$J$251,survey_frozen!$P$2:$P$251,$A26&amp;"|"&amp;$B26),IFERROR(COUNTIFS(INDIRECT("'"&amp;$A26&amp;"'!$B$2:$B$501"),$T26,INDIRECT("'"&amp;$A26&amp;"'!$A$2:$A$501"),"&gt;="&amp;$I26,INDIRECT("'"&amp;$A26&amp;"'!$A$2:$A$501"),"&lt;"&amp;($BA26+1),INDIRECT("'"&amp;$A26&amp;"'!$E$2:$E$501"),"Yes"),0)))</f>
        <v>0</v>
      </c>
      <c r="AW26" s="30" t="n">
        <f aca="true">IF(OR($A26="",$I26=""),"",IF($BC26="Y",SUMIFS(survey_frozen!$K$2:$K$251,survey_frozen!$P$2:$P$251,$A26&amp;"|"&amp;$B26),IFERROR(COUNTIFS(INDIRECT("'"&amp;$A26&amp;"'!$B$2:$B$501"),$T26,INDIRECT("'"&amp;$A26&amp;"'!$A$2:$A$501"),"&gt;="&amp;$I26,INDIRECT("'"&amp;$A26&amp;"'!$A$2:$A$501"),"&lt;"&amp;($BA26+1),INDIRECT("'"&amp;$A26&amp;"'!$E$2:$E$501"),"Maybe"),0)))</f>
        <v>0</v>
      </c>
      <c r="AX26" s="30" t="n">
        <f aca="true">IF(OR($A26="",$I26=""),"",IF($BC26="Y",SUMIFS(survey_frozen!$L$2:$L$251,survey_frozen!$P$2:$P$251,$A26&amp;"|"&amp;$B26),IFERROR(COUNTIFS(INDIRECT("'"&amp;$A26&amp;"'!$B$2:$B$501"),$T26,INDIRECT("'"&amp;$A26&amp;"'!$A$2:$A$501"),"&gt;="&amp;$I26,INDIRECT("'"&amp;$A26&amp;"'!$A$2:$A$501"),"&lt;"&amp;($BA26+1),INDIRECT("'"&amp;$A26&amp;"'!$E$2:$E$501"),"No"),0)))</f>
        <v>0</v>
      </c>
      <c r="AY26" s="30" t="n">
        <f aca="true">IF(OR($A26="",$I26=""),"",IF($BC26="Y",SUMIFS(survey_frozen!$M$2:$M$251,survey_frozen!$P$2:$P$251,$A26&amp;"|"&amp;$B26),IFERROR(COUNTIFS(INDIRECT("'"&amp;$A26&amp;"'!$B$2:$B$501"),$T26,INDIRECT("'"&amp;$A26&amp;"'!$A$2:$A$501"),"&gt;="&amp;$I26,INDIRECT("'"&amp;$A26&amp;"'!$A$2:$A$501"),"&lt;"&amp;($BA26+1),INDIRECT("'"&amp;$A26&amp;"'!$G$2:$G$501"),"&lt;&gt;"),0)))</f>
        <v>0</v>
      </c>
      <c r="AZ26" s="30" t="str">
        <f aca="false">IF($A26="","",$A26&amp;"|"&amp;$L26)</f>
        <v>SAMPLE-CMP-004|5</v>
      </c>
      <c r="BA26" s="31" t="n">
        <f aca="false">IF($A26="","",IFERROR(IF(INDEX(drops!$R$2:$R$21,MATCH($H26,drops!$A$2:$A$21,0))="","",INDEX(drops!$R$2:$R$21,MATCH($H26,drops!$A$2:$A$21,0))),""))</f>
        <v>46434</v>
      </c>
      <c r="BB26" s="30" t="n">
        <f aca="false">IF(OR($A26="",$Q26&lt;&gt;"Y"),1000000,N($AL26))</f>
        <v>0</v>
      </c>
      <c r="BC26" s="30" t="str">
        <f aca="false">IF($A26="","",IF(COUNTIF(survey_frozen!$P$2:$P$251,$A26&amp;"|"&amp;$B26)&gt;0,"Y",""))</f>
        <v/>
      </c>
    </row>
    <row r="27" customFormat="false" ht="15" hidden="false" customHeight="false" outlineLevel="0" collapsed="false">
      <c r="A27" s="0" t="s">
        <v>498</v>
      </c>
      <c r="B27" s="0" t="s">
        <v>606</v>
      </c>
      <c r="C27" s="11" t="n">
        <v>46393</v>
      </c>
      <c r="D27" s="10" t="s">
        <v>652</v>
      </c>
      <c r="E27" s="11" t="n">
        <v>46396</v>
      </c>
      <c r="F27" s="10" t="s">
        <v>653</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IF($B27="","",IFERROR(IF(INDEX(offices!$N$2:$N$61,MATCH($B27,offices!$A$2:$A$61,0))="","",INDEX(offices!$N$2:$N$61,MATCH($B27,offices!$A$2:$A$61,0))),""))</f>
        <v>SAMPLE Kestrel Analytics</v>
      </c>
      <c r="L27" s="30" t="n">
        <f aca="false">IF($A27="","",IF($Q27="N","",COUNTIFS($A$2:$A27,$A27,$Q$2:$Q27,"&lt;&gt;N")))</f>
        <v>6</v>
      </c>
      <c r="M27" s="30" t="str">
        <f aca="false">IF(OR($A27="",$L27=""),"",IF(AND(config!$B$34="names_if_public",IFERROR(IF(INDEX(offices!$AF$2:$AF$61,MATCH($B27,offices!$A$2:$A$61,0))="","",INDEX(offices!$AF$2:$AF$61,MATCH($B27,offices!$A$2:$A$61,0))),"")="Y"),$K27,CHAR(64+$L27)))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C$2:$AC$61,MATCH($B27,offices!$A$2:$A$61,0))="","",INDEX(offices!$AC$2:$AC$61,MATCH($B27,offices!$A$2:$A$61,0))),"")&lt;&gt;"",ISNUMBER(SEARCH($J27,IFERROR(IF(INDEX(offices!$AC$2:$AC$61,MATCH($B27,offices!$A$2:$A$61,0))="","",INDEX(offices!$AC$2:$AC$61,MATCH($B27,offices!$A$2:$A$61,0))),"")))),"BRAND VETOED; ","")&amp;IF(ISNUMBER(SEARCH(IFERROR(IF(INDEX(campaigns!$BF$2:$BF$51,MATCH($A27,campaigns!$A$2:$A$51,0))="","",INDEX(campaigns!$BF$2:$BF$51,MATCH($A27,campaigns!$A$2:$A$51,0))),""),IFERROR(IF(INDEX(offices!$AB$2:$AB$61,MATCH($B27,offices!$A$2:$A$61,0))="","",INDEX(offices!$AB$2:$AB$61,MATCH($B27,offices!$A$2:$A$61,0))),""))),"","info: category not on the office's list; ")&amp;IF(IFERROR(IF(INDEX(offices!$AC$2:$AC$61,MATCH($B27,offices!$A$2:$A$61,0))="","",INDEX(offices!$AC$2:$AC$61,MATCH($B27,offices!$A$2:$A$61,0))),"")&lt;&gt;"","info: read the vetoes against the label; ",""))</f>
        <v/>
      </c>
      <c r="S27" s="30" t="n">
        <f aca="false">IF($A27="","",IF($G27&lt;&gt;"",$G27,IFERROR(IF(INDEX(offices!$AL$2:$AL$61,MATCH($B27,offices!$A$2:$A$61,0))="","",INDEX(offices!$AL$2:$AL$61,MATCH($B27,offices!$A$2:$A$61,0))),"")))</f>
        <v>45</v>
      </c>
      <c r="T27" s="30" t="str">
        <f aca="false">IF($A27="","",$A27&amp;"."&amp;$B27)</f>
        <v>SAMPLE-CMP-004.SAMPLE-O-006</v>
      </c>
      <c r="U27" s="30" t="n">
        <f aca="false">IF($A27="","",SUMIFS(inventory!$G$2:$G$801,inventory!$C$2:$C$801,$A27,inventory!$D$2:$D$801,$B27,inventory!$E$2:$E$801,"delivered"))</f>
        <v>0</v>
      </c>
      <c r="V27" s="37" t="str">
        <f aca="false">IF($A27="","",IFERROR(1/(1/SUMPRODUCT(MAX((inventory!$C$2:$C$801=$A27)*(inventory!$D$2:$D$801=$B27)*(inventory!$E$2:$E$801="delivered")*(inventory!$A$2:$A$801+inventory!$B$2:$B$801)))),""))</f>
        <v/>
      </c>
      <c r="W27" s="30" t="str">
        <f aca="false">IF($A27="","",IFERROR(IF(INDEX(inventory!$J$2:$J$801,MATCH($A27&amp;"|"&amp;$B27&amp;"|delivered",inventory!$R$2:$R$801,0))="","",INDEX(inventory!$J$2:$J$801,MATCH($A27&amp;"|"&amp;$B27&amp;"|delivered",inventory!$R$2:$R$801,0))),""))</f>
        <v/>
      </c>
      <c r="X27" s="30" t="str">
        <f aca="false">IF($A27="","",IFERROR(IF(INDEX(photos!$H$2:$H$701,MATCH($A27&amp;"|"&amp;$B27&amp;"|placement|Y",photos!$R$2:$R$701,0))="","",INDEX(photos!$H$2:$H$701,MATCH($A27&amp;"|"&amp;$B27&amp;"|placement|Y",photos!$R$2:$R$701,0))),""))</f>
        <v/>
      </c>
      <c r="Y27" s="31" t="str">
        <f aca="false">IF($A27="","",IFERROR(IF(INDEX(photos!$E$2:$E$701,MATCH($A27&amp;"|"&amp;$B27&amp;"|placement|Y",photos!$R$2:$R$701,0))="","",INDEX(photos!$E$2:$E$701,MATCH($A27&amp;"|"&amp;$B27&amp;"|placement|Y",photos!$R$2:$R$701,0))),""))</f>
        <v/>
      </c>
      <c r="Z27" s="30" t="str">
        <f aca="false">IF($A27="","",IF(COUNTIFS(counts!$C$2:$C$701,$A27,counts!$D$2:$D$701,$B27,counts!$E$2:$E$701,"placed")=0,"",SUMIFS(counts!$F$2:$F$701,counts!$C$2:$C$701,$A27,counts!$D$2:$D$701,$B27,counts!$E$2:$E$701,"placed")))</f>
        <v/>
      </c>
      <c r="AA27" s="30" t="n">
        <f aca="false">IF($A27="","",IF($Y27="",0,N($Z27)))</f>
        <v>0</v>
      </c>
      <c r="AB27" s="30" t="str">
        <f aca="false">IF($A27="","",IF(OR($Y27="",$I27=""),"N",IF($Y27&lt;=WORKDAY(N($I27),1,calendar!$A$2:$A$80),"Y","N")))</f>
        <v>N</v>
      </c>
      <c r="AC27" s="33" t="str">
        <f aca="false">IF(OR($A27="",$V27="",$Y27=""),"",ROUND(($Y27+N(IFERROR(IF(INDEX(photos!$F$2:$F$701,MATCH($A27&amp;"|"&amp;$B27&amp;"|placement|Y",photos!$R$2:$R$701,0))="","",INDEX(photos!$F$2:$F$701,MATCH($A27&amp;"|"&amp;$B27&amp;"|placement|Y",photos!$R$2:$R$701,0))),""))-$V27)*24,1))</f>
        <v/>
      </c>
      <c r="AD27" s="30" t="n">
        <f aca="false">IF($A27="","",SUMIFS(inventory!$G$2:$G$801,inventory!$C$2:$C$801,$A27,inventory!$D$2:$D$801,$B27,inventory!$E$2:$E$801,"topped_up"))</f>
        <v>0</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N</v>
      </c>
      <c r="AL27" s="30" t="n">
        <f aca="true">IF(OR($A27="",$I27=""),"",IF($BC27="Y",SUMIFS(survey_frozen!$C$2:$C$251,survey_frozen!$P$2:$P$251,$A27&amp;"|"&amp;$B27),IFERROR(COUNTIFS(INDIRECT("'"&amp;$A27&amp;"'!$B$2:$B$501"),$T27,INDIRECT("'"&amp;$A27&amp;"'!$A$2:$A$501"),"&gt;="&amp;$I27,INDIRECT("'"&amp;$A27&amp;"'!$A$2:$A$501"),"&lt;"&amp;($BA27+1)),0)))</f>
        <v>0</v>
      </c>
      <c r="AM27" s="30" t="n">
        <f aca="true">IF(OR($A27="",$I27=""),"",IF($BC27="Y",SUMIFS(survey_frozen!$D$2:$D$251,survey_frozen!$P$2:$P$251,$A27&amp;"|"&amp;$B27),IFERROR(COUNTIFS(INDIRECT("'"&amp;$A27&amp;"'!$B$2:$B$501"),$T27,INDIRECT("'"&amp;$A27&amp;"'!$A$2:$A$501"),"&gt;="&amp;$I27,INDIRECT("'"&amp;$A27&amp;"'!$A$2:$A$501"),"&lt;"&amp;($BA27+1),INDIRECT("'"&amp;$A27&amp;"'!$C$2:$C$501"),"Yes"),0)))</f>
        <v>0</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f>
        <v/>
      </c>
      <c r="AQ27" s="30" t="n">
        <f aca="true">IF(OR($A27="",$I27=""),"",IF($BC27="Y",SUMIFS(survey_frozen!$E$2:$E$251,survey_frozen!$P$2:$P$251,$A27&amp;"|"&amp;$B27),IFERROR(COUNTIFS(INDIRECT("'"&amp;$A27&amp;"'!$B$2:$B$501"),$T27,INDIRECT("'"&amp;$A27&amp;"'!$A$2:$A$501"),"&gt;="&amp;$I27,INDIRECT("'"&amp;$A27&amp;"'!$A$2:$A$501"),"&lt;"&amp;($BA27+1),INDIRECT("'"&amp;$A27&amp;"'!$F$2:$F$501"),"Didn't see it"),0)))</f>
        <v>0</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0</v>
      </c>
      <c r="AU27" s="30" t="n">
        <f aca="true">IF(OR($A27="",$I27=""),"",IF($BC27="Y",SUMIFS(survey_frozen!$I$2:$I$251,survey_frozen!$P$2:$P$251,$A27&amp;"|"&amp;$B27),IFERROR(SUMIFS(INDIRECT("'"&amp;$A27&amp;"'!$D$2:$D$501"),INDIRECT("'"&amp;$A27&amp;"'!$B$2:$B$501"),$T27,INDIRECT("'"&amp;$A27&amp;"'!$A$2:$A$501"),"&gt;="&amp;$I27,INDIRECT("'"&amp;$A27&amp;"'!$A$2:$A$501"),"&lt;"&amp;($BA27+1)),0)))</f>
        <v>0</v>
      </c>
      <c r="AV27" s="30" t="n">
        <f aca="true">IF(OR($A27="",$I27=""),"",IF($BC27="Y",SUMIFS(survey_frozen!$J$2:$J$251,survey_frozen!$P$2:$P$251,$A27&amp;"|"&amp;$B27),IFERROR(COUNTIFS(INDIRECT("'"&amp;$A27&amp;"'!$B$2:$B$501"),$T27,INDIRECT("'"&amp;$A27&amp;"'!$A$2:$A$501"),"&gt;="&amp;$I27,INDIRECT("'"&amp;$A27&amp;"'!$A$2:$A$501"),"&lt;"&amp;($BA27+1),INDIRECT("'"&amp;$A27&amp;"'!$E$2:$E$501"),"Yes"),0)))</f>
        <v>0</v>
      </c>
      <c r="AW27" s="30" t="n">
        <f aca="true">IF(OR($A27="",$I27=""),"",IF($BC27="Y",SUMIFS(survey_frozen!$K$2:$K$251,survey_frozen!$P$2:$P$251,$A27&amp;"|"&amp;$B27),IFERROR(COUNTIFS(INDIRECT("'"&amp;$A27&amp;"'!$B$2:$B$501"),$T27,INDIRECT("'"&amp;$A27&amp;"'!$A$2:$A$501"),"&gt;="&amp;$I27,INDIRECT("'"&amp;$A27&amp;"'!$A$2:$A$501"),"&lt;"&amp;($BA27+1),INDIRECT("'"&amp;$A27&amp;"'!$E$2:$E$501"),"Maybe"),0)))</f>
        <v>0</v>
      </c>
      <c r="AX27" s="30" t="n">
        <f aca="true">IF(OR($A27="",$I27=""),"",IF($BC27="Y",SUMIFS(survey_frozen!$L$2:$L$251,survey_frozen!$P$2:$P$251,$A27&amp;"|"&amp;$B27),IFERROR(COUNTIFS(INDIRECT("'"&amp;$A27&amp;"'!$B$2:$B$501"),$T27,INDIRECT("'"&amp;$A27&amp;"'!$A$2:$A$501"),"&gt;="&amp;$I27,INDIRECT("'"&amp;$A27&amp;"'!$A$2:$A$501"),"&lt;"&amp;($BA27+1),INDIRECT("'"&amp;$A27&amp;"'!$E$2:$E$501"),"No"),0)))</f>
        <v>0</v>
      </c>
      <c r="AY27" s="30" t="n">
        <f aca="true">IF(OR($A27="",$I27=""),"",IF($BC27="Y",SUMIFS(survey_frozen!$M$2:$M$251,survey_frozen!$P$2:$P$251,$A27&amp;"|"&amp;$B27),IFERROR(COUNTIFS(INDIRECT("'"&amp;$A27&amp;"'!$B$2:$B$501"),$T27,INDIRECT("'"&amp;$A27&amp;"'!$A$2:$A$501"),"&gt;="&amp;$I27,INDIRECT("'"&amp;$A27&amp;"'!$A$2:$A$501"),"&lt;"&amp;($BA27+1),INDIRECT("'"&amp;$A27&amp;"'!$G$2:$G$501"),"&lt;&gt;"),0)))</f>
        <v>0</v>
      </c>
      <c r="AZ27" s="30" t="str">
        <f aca="false">IF($A27="","",$A27&amp;"|"&amp;$L27)</f>
        <v>SAMPLE-CMP-004|6</v>
      </c>
      <c r="BA27" s="31" t="n">
        <f aca="false">IF($A27="","",IFERROR(IF(INDEX(drops!$R$2:$R$21,MATCH($H27,drops!$A$2:$A$21,0))="","",INDEX(drops!$R$2:$R$21,MATCH($H27,drops!$A$2:$A$21,0))),""))</f>
        <v>46434</v>
      </c>
      <c r="BB27" s="30" t="n">
        <f aca="false">IF(OR($A27="",$Q27&lt;&gt;"Y"),1000000,N($AL27))</f>
        <v>0</v>
      </c>
      <c r="BC27" s="30" t="str">
        <f aca="false">IF($A27="","",IF(COUNTIF(survey_frozen!$P$2:$P$251,$A27&amp;"|"&amp;$B27)&gt;0,"Y",""))</f>
        <v/>
      </c>
    </row>
    <row r="28" customFormat="false" ht="15" hidden="false" customHeight="false" outlineLevel="0" collapsed="false">
      <c r="A28" s="0" t="s">
        <v>498</v>
      </c>
      <c r="B28" s="0" t="s">
        <v>608</v>
      </c>
      <c r="C28" s="11" t="n">
        <v>46393</v>
      </c>
      <c r="D28" s="10" t="s">
        <v>144</v>
      </c>
      <c r="E28" s="11" t="n">
        <v>46395</v>
      </c>
      <c r="F28" s="10" t="s">
        <v>653</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IF($B28="","",IFERROR(IF(INDEX(offices!$N$2:$N$61,MATCH($B28,offices!$A$2:$A$61,0))="","",INDEX(offices!$N$2:$N$61,MATCH($B28,offices!$A$2:$A$61,0))),""))</f>
        <v>SAMPLE Brine &amp; Bell PR</v>
      </c>
      <c r="L28" s="30" t="str">
        <f aca="false">IF($A28="","",IF($Q28="N","",COUNTIFS($A$2:$A28,$A28,$Q$2:$Q28,"&lt;&gt;N")))</f>
        <v/>
      </c>
      <c r="M28" s="30" t="str">
        <f aca="false">IF(OR($A28="",$L28=""),"",IF(AND(config!$B$34="names_if_public",IFERROR(IF(INDEX(offices!$AF$2:$AF$61,MATCH($B28,offices!$A$2:$A$61,0))="","",INDEX(offices!$AF$2:$AF$61,MATCH($B28,offices!$A$2:$A$61,0))),"")="Y"),$K28,CHAR(64+$L28)))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C$2:$AC$61,MATCH($B28,offices!$A$2:$A$61,0))="","",INDEX(offices!$AC$2:$AC$61,MATCH($B28,offices!$A$2:$A$61,0))),"")&lt;&gt;"",ISNUMBER(SEARCH($J28,IFERROR(IF(INDEX(offices!$AC$2:$AC$61,MATCH($B28,offices!$A$2:$A$61,0))="","",INDEX(offices!$AC$2:$AC$61,MATCH($B28,offices!$A$2:$A$61,0))),"")))),"BRAND VETOED; ","")&amp;IF(ISNUMBER(SEARCH(IFERROR(IF(INDEX(campaigns!$BF$2:$BF$51,MATCH($A28,campaigns!$A$2:$A$51,0))="","",INDEX(campaigns!$BF$2:$BF$51,MATCH($A28,campaigns!$A$2:$A$51,0))),""),IFERROR(IF(INDEX(offices!$AB$2:$AB$61,MATCH($B28,offices!$A$2:$A$61,0))="","",INDEX(offices!$AB$2:$AB$61,MATCH($B28,offices!$A$2:$A$61,0))),""))),"","info: category not on the office's list; ")&amp;IF(IFERROR(IF(INDEX(offices!$AC$2:$AC$61,MATCH($B28,offices!$A$2:$A$61,0))="","",INDEX(offices!$AC$2:$AC$61,MATCH($B28,offices!$A$2:$A$61,0))),"")&lt;&gt;"","info: read the vetoes against the label; ",""))</f>
        <v>info: read the vetoes against the label; </v>
      </c>
      <c r="S28" s="30" t="n">
        <f aca="false">IF($A28="","",IF($G28&lt;&gt;"",$G28,IFERROR(IF(INDEX(offices!$AL$2:$AL$61,MATCH($B28,offices!$A$2:$A$61,0))="","",INDEX(offices!$AL$2:$AL$61,MATCH($B28,offices!$A$2:$A$61,0))),"")))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row>
    <row r="29" customFormat="false" ht="15" hidden="false" customHeight="false" outlineLevel="0" collapsed="false">
      <c r="A29" s="0" t="s">
        <v>498</v>
      </c>
      <c r="B29" s="0" t="s">
        <v>610</v>
      </c>
      <c r="C29" s="11" t="n">
        <v>46394</v>
      </c>
      <c r="D29" s="10" t="s">
        <v>652</v>
      </c>
      <c r="E29" s="11" t="n">
        <v>46396</v>
      </c>
      <c r="F29" s="10" t="s">
        <v>653</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IF($B29="","",IFERROR(IF(INDEX(offices!$N$2:$N$61,MATCH($B29,offices!$A$2:$A$61,0))="","",INDEX(offices!$N$2:$N$61,MATCH($B29,offices!$A$2:$A$61,0))),""))</f>
        <v>SAMPLE Larch Legal</v>
      </c>
      <c r="L29" s="30" t="n">
        <f aca="false">IF($A29="","",IF($Q29="N","",COUNTIFS($A$2:$A29,$A29,$Q$2:$Q29,"&lt;&gt;N")))</f>
        <v>7</v>
      </c>
      <c r="M29" s="30" t="str">
        <f aca="false">IF(OR($A29="",$L29=""),"",IF(AND(config!$B$34="names_if_public",IFERROR(IF(INDEX(offices!$AF$2:$AF$61,MATCH($B29,offices!$A$2:$A$61,0))="","",INDEX(offices!$AF$2:$AF$61,MATCH($B29,offices!$A$2:$A$61,0))),"")="Y"),$K29,CHAR(64+$L29)))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C$2:$AC$61,MATCH($B29,offices!$A$2:$A$61,0))="","",INDEX(offices!$AC$2:$AC$61,MATCH($B29,offices!$A$2:$A$61,0))),"")&lt;&gt;"",ISNUMBER(SEARCH($J29,IFERROR(IF(INDEX(offices!$AC$2:$AC$61,MATCH($B29,offices!$A$2:$A$61,0))="","",INDEX(offices!$AC$2:$AC$61,MATCH($B29,offices!$A$2:$A$61,0))),"")))),"BRAND VETOED; ","")&amp;IF(ISNUMBER(SEARCH(IFERROR(IF(INDEX(campaigns!$BF$2:$BF$51,MATCH($A29,campaigns!$A$2:$A$51,0))="","",INDEX(campaigns!$BF$2:$BF$51,MATCH($A29,campaigns!$A$2:$A$51,0))),""),IFERROR(IF(INDEX(offices!$AB$2:$AB$61,MATCH($B29,offices!$A$2:$A$61,0))="","",INDEX(offices!$AB$2:$AB$61,MATCH($B29,offices!$A$2:$A$61,0))),""))),"","info: category not on the office's list; ")&amp;IF(IFERROR(IF(INDEX(offices!$AC$2:$AC$61,MATCH($B29,offices!$A$2:$A$61,0))="","",INDEX(offices!$AC$2:$AC$61,MATCH($B29,offices!$A$2:$A$61,0))),"")&lt;&gt;"","info: read the vetoes against the label; ",""))</f>
        <v/>
      </c>
      <c r="S29" s="30" t="n">
        <f aca="false">IF($A29="","",IF($G29&lt;&gt;"",$G29,IFERROR(IF(INDEX(offices!$AL$2:$AL$61,MATCH($B29,offices!$A$2:$A$61,0))="","",INDEX(offices!$AL$2:$AL$61,MATCH($B29,offices!$A$2:$A$61,0))),"")))</f>
        <v>45</v>
      </c>
      <c r="T29" s="30" t="str">
        <f aca="false">IF($A29="","",$A29&amp;"."&amp;$B29)</f>
        <v>SAMPLE-CMP-004.SAMPLE-O-008</v>
      </c>
      <c r="U29" s="30" t="n">
        <f aca="false">IF($A29="","",SUMIFS(inventory!$G$2:$G$801,inventory!$C$2:$C$801,$A29,inventory!$D$2:$D$801,$B29,inventory!$E$2:$E$801,"delivered"))</f>
        <v>0</v>
      </c>
      <c r="V29" s="37" t="str">
        <f aca="false">IF($A29="","",IFERROR(1/(1/SUMPRODUCT(MAX((inventory!$C$2:$C$801=$A29)*(inventory!$D$2:$D$801=$B29)*(inventory!$E$2:$E$801="delivered")*(inventory!$A$2:$A$801+inventory!$B$2:$B$801)))),""))</f>
        <v/>
      </c>
      <c r="W29" s="30" t="str">
        <f aca="false">IF($A29="","",IFERROR(IF(INDEX(inventory!$J$2:$J$801,MATCH($A29&amp;"|"&amp;$B29&amp;"|delivered",inventory!$R$2:$R$801,0))="","",INDEX(inventory!$J$2:$J$801,MATCH($A29&amp;"|"&amp;$B29&amp;"|delivered",inventory!$R$2:$R$801,0))),""))</f>
        <v/>
      </c>
      <c r="X29" s="30" t="str">
        <f aca="false">IF($A29="","",IFERROR(IF(INDEX(photos!$H$2:$H$701,MATCH($A29&amp;"|"&amp;$B29&amp;"|placement|Y",photos!$R$2:$R$701,0))="","",INDEX(photos!$H$2:$H$701,MATCH($A29&amp;"|"&amp;$B29&amp;"|placement|Y",photos!$R$2:$R$701,0))),""))</f>
        <v/>
      </c>
      <c r="Y29" s="31" t="str">
        <f aca="false">IF($A29="","",IFERROR(IF(INDEX(photos!$E$2:$E$701,MATCH($A29&amp;"|"&amp;$B29&amp;"|placement|Y",photos!$R$2:$R$701,0))="","",INDEX(photos!$E$2:$E$701,MATCH($A29&amp;"|"&amp;$B29&amp;"|placement|Y",photos!$R$2:$R$701,0))),""))</f>
        <v/>
      </c>
      <c r="Z29" s="30" t="str">
        <f aca="false">IF($A29="","",IF(COUNTIFS(counts!$C$2:$C$701,$A29,counts!$D$2:$D$701,$B29,counts!$E$2:$E$701,"placed")=0,"",SUMIFS(counts!$F$2:$F$701,counts!$C$2:$C$701,$A29,counts!$D$2:$D$701,$B29,counts!$E$2:$E$701,"placed")))</f>
        <v/>
      </c>
      <c r="AA29" s="30" t="n">
        <f aca="false">IF($A29="","",IF($Y29="",0,N($Z29)))</f>
        <v>0</v>
      </c>
      <c r="AB29" s="30" t="str">
        <f aca="false">IF($A29="","",IF(OR($Y29="",$I29=""),"N",IF($Y29&lt;=WORKDAY(N($I29),1,calendar!$A$2:$A$80),"Y","N")))</f>
        <v>N</v>
      </c>
      <c r="AC29" s="33" t="str">
        <f aca="false">IF(OR($A29="",$V29="",$Y29=""),"",ROUND(($Y29+N(IFERROR(IF(INDEX(photos!$F$2:$F$701,MATCH($A29&amp;"|"&amp;$B29&amp;"|placement|Y",photos!$R$2:$R$701,0))="","",INDEX(photos!$F$2:$F$701,MATCH($A29&amp;"|"&amp;$B29&amp;"|placement|Y",photos!$R$2:$R$701,0))),""))-$V29)*24,1))</f>
        <v/>
      </c>
      <c r="AD29" s="30" t="n">
        <f aca="false">IF($A29="","",SUMIFS(inventory!$G$2:$G$801,inventory!$C$2:$C$801,$A29,inventory!$D$2:$D$801,$B29,inventory!$E$2:$E$801,"topped_up"))</f>
        <v>0</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N</v>
      </c>
      <c r="AL29" s="30" t="n">
        <f aca="true">IF(OR($A29="",$I29=""),"",IF($BC29="Y",SUMIFS(survey_frozen!$C$2:$C$251,survey_frozen!$P$2:$P$251,$A29&amp;"|"&amp;$B29),IFERROR(COUNTIFS(INDIRECT("'"&amp;$A29&amp;"'!$B$2:$B$501"),$T29,INDIRECT("'"&amp;$A29&amp;"'!$A$2:$A$501"),"&gt;="&amp;$I29,INDIRECT("'"&amp;$A29&amp;"'!$A$2:$A$501"),"&lt;"&amp;($BA29+1)),0)))</f>
        <v>0</v>
      </c>
      <c r="AM29" s="30" t="n">
        <f aca="true">IF(OR($A29="",$I29=""),"",IF($BC29="Y",SUMIFS(survey_frozen!$D$2:$D$251,survey_frozen!$P$2:$P$251,$A29&amp;"|"&amp;$B29),IFERROR(COUNTIFS(INDIRECT("'"&amp;$A29&amp;"'!$B$2:$B$501"),$T29,INDIRECT("'"&amp;$A29&amp;"'!$A$2:$A$501"),"&gt;="&amp;$I29,INDIRECT("'"&amp;$A29&amp;"'!$A$2:$A$501"),"&lt;"&amp;($BA29+1),INDIRECT("'"&amp;$A29&amp;"'!$C$2:$C$501"),"Yes"),0)))</f>
        <v>0</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f>
        <v/>
      </c>
      <c r="AQ29" s="30" t="n">
        <f aca="true">IF(OR($A29="",$I29=""),"",IF($BC29="Y",SUMIFS(survey_frozen!$E$2:$E$251,survey_frozen!$P$2:$P$251,$A29&amp;"|"&amp;$B29),IFERROR(COUNTIFS(INDIRECT("'"&amp;$A29&amp;"'!$B$2:$B$501"),$T29,INDIRECT("'"&amp;$A29&amp;"'!$A$2:$A$501"),"&gt;="&amp;$I29,INDIRECT("'"&amp;$A29&amp;"'!$A$2:$A$501"),"&lt;"&amp;($BA29+1),INDIRECT("'"&amp;$A29&amp;"'!$F$2:$F$501"),"Didn't see it"),0)))</f>
        <v>0</v>
      </c>
      <c r="AR29" s="30" t="n">
        <f aca="true">IF(OR($A29="",$I29=""),"",IF($BC29="Y",SUMIFS(survey_frozen!$F$2:$F$251,survey_frozen!$P$2:$P$251,$A29&amp;"|"&amp;$B29),IFERROR(COUNTIFS(INDIRECT("'"&amp;$A29&amp;"'!$B$2:$B$501"),$T29,INDIRECT("'"&amp;$A29&amp;"'!$A$2:$A$501"),"&gt;="&amp;$I29,INDIRECT("'"&amp;$A29&amp;"'!$A$2:$A$501"),"&lt;"&amp;($BA29+1),INDIRECT("'"&amp;$A29&amp;"'!$F$2:$F$501"),"Not for me"),0)))</f>
        <v>0</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0</v>
      </c>
      <c r="AU29" s="30" t="n">
        <f aca="true">IF(OR($A29="",$I29=""),"",IF($BC29="Y",SUMIFS(survey_frozen!$I$2:$I$251,survey_frozen!$P$2:$P$251,$A29&amp;"|"&amp;$B29),IFERROR(SUMIFS(INDIRECT("'"&amp;$A29&amp;"'!$D$2:$D$501"),INDIRECT("'"&amp;$A29&amp;"'!$B$2:$B$501"),$T29,INDIRECT("'"&amp;$A29&amp;"'!$A$2:$A$501"),"&gt;="&amp;$I29,INDIRECT("'"&amp;$A29&amp;"'!$A$2:$A$501"),"&lt;"&amp;($BA29+1)),0)))</f>
        <v>0</v>
      </c>
      <c r="AV29" s="30" t="n">
        <f aca="true">IF(OR($A29="",$I29=""),"",IF($BC29="Y",SUMIFS(survey_frozen!$J$2:$J$251,survey_frozen!$P$2:$P$251,$A29&amp;"|"&amp;$B29),IFERROR(COUNTIFS(INDIRECT("'"&amp;$A29&amp;"'!$B$2:$B$501"),$T29,INDIRECT("'"&amp;$A29&amp;"'!$A$2:$A$501"),"&gt;="&amp;$I29,INDIRECT("'"&amp;$A29&amp;"'!$A$2:$A$501"),"&lt;"&amp;($BA29+1),INDIRECT("'"&amp;$A29&amp;"'!$E$2:$E$501"),"Yes"),0)))</f>
        <v>0</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0</v>
      </c>
      <c r="AZ29" s="30" t="str">
        <f aca="false">IF($A29="","",$A29&amp;"|"&amp;$L29)</f>
        <v>SAMPLE-CMP-004|7</v>
      </c>
      <c r="BA29" s="31" t="n">
        <f aca="false">IF($A29="","",IFERROR(IF(INDEX(drops!$R$2:$R$21,MATCH($H29,drops!$A$2:$A$21,0))="","",INDEX(drops!$R$2:$R$21,MATCH($H29,drops!$A$2:$A$21,0))),""))</f>
        <v>46434</v>
      </c>
      <c r="BB29" s="30" t="n">
        <f aca="false">IF(OR($A29="",$Q29&lt;&gt;"Y"),1000000,N($AL29))</f>
        <v>0</v>
      </c>
      <c r="BC29" s="30" t="str">
        <f aca="false">IF($A29="","",IF(COUNTIF(survey_frozen!$P$2:$P$251,$A29&amp;"|"&amp;$B29)&gt;0,"Y",""))</f>
        <v/>
      </c>
    </row>
    <row r="30" customFormat="false" ht="15" hidden="false" customHeight="false" outlineLevel="0" collapsed="false">
      <c r="A30" s="0" t="s">
        <v>498</v>
      </c>
      <c r="B30" s="0" t="s">
        <v>612</v>
      </c>
      <c r="C30" s="11" t="n">
        <v>46395</v>
      </c>
      <c r="D30" s="10" t="s">
        <v>652</v>
      </c>
      <c r="E30" s="11" t="n">
        <v>46398</v>
      </c>
      <c r="F30" s="10" t="s">
        <v>653</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IF($B30="","",IFERROR(IF(INDEX(offices!$N$2:$N$61,MATCH($B30,offices!$A$2:$A$61,0))="","",INDEX(offices!$N$2:$N$61,MATCH($B30,offices!$A$2:$A$61,0))),""))</f>
        <v>SAMPLE Overlook Games</v>
      </c>
      <c r="L30" s="30" t="n">
        <f aca="false">IF($A30="","",IF($Q30="N","",COUNTIFS($A$2:$A30,$A30,$Q$2:$Q30,"&lt;&gt;N")))</f>
        <v>8</v>
      </c>
      <c r="M30" s="30" t="str">
        <f aca="false">IF(OR($A30="",$L30=""),"",IF(AND(config!$B$34="names_if_public",IFERROR(IF(INDEX(offices!$AF$2:$AF$61,MATCH($B30,offices!$A$2:$A$61,0))="","",INDEX(offices!$AF$2:$AF$61,MATCH($B30,offices!$A$2:$A$61,0))),"")="Y"),$K30,CHAR(64+$L30)))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C$2:$AC$61,MATCH($B30,offices!$A$2:$A$61,0))="","",INDEX(offices!$AC$2:$AC$61,MATCH($B30,offices!$A$2:$A$61,0))),"")&lt;&gt;"",ISNUMBER(SEARCH($J30,IFERROR(IF(INDEX(offices!$AC$2:$AC$61,MATCH($B30,offices!$A$2:$A$61,0))="","",INDEX(offices!$AC$2:$AC$61,MATCH($B30,offices!$A$2:$A$61,0))),"")))),"BRAND VETOED; ","")&amp;IF(ISNUMBER(SEARCH(IFERROR(IF(INDEX(campaigns!$BF$2:$BF$51,MATCH($A30,campaigns!$A$2:$A$51,0))="","",INDEX(campaigns!$BF$2:$BF$51,MATCH($A30,campaigns!$A$2:$A$51,0))),""),IFERROR(IF(INDEX(offices!$AB$2:$AB$61,MATCH($B30,offices!$A$2:$A$61,0))="","",INDEX(offices!$AB$2:$AB$61,MATCH($B30,offices!$A$2:$A$61,0))),""))),"","info: category not on the office's list; ")&amp;IF(IFERROR(IF(INDEX(offices!$AC$2:$AC$61,MATCH($B30,offices!$A$2:$A$61,0))="","",INDEX(offices!$AC$2:$AC$61,MATCH($B30,offices!$A$2:$A$61,0))),"")&lt;&gt;"","info: read the vetoes against the label; ",""))</f>
        <v/>
      </c>
      <c r="S30" s="30" t="n">
        <f aca="false">IF($A30="","",IF($G30&lt;&gt;"",$G30,IFERROR(IF(INDEX(offices!$AL$2:$AL$61,MATCH($B30,offices!$A$2:$A$61,0))="","",INDEX(offices!$AL$2:$AL$61,MATCH($B30,offices!$A$2:$A$61,0))),"")))</f>
        <v>75</v>
      </c>
      <c r="T30" s="30" t="str">
        <f aca="false">IF($A30="","",$A30&amp;"."&amp;$B30)</f>
        <v>SAMPLE-CMP-004.SAMPLE-O-009</v>
      </c>
      <c r="U30" s="30" t="n">
        <f aca="false">IF($A30="","",SUMIFS(inventory!$G$2:$G$801,inventory!$C$2:$C$801,$A30,inventory!$D$2:$D$801,$B30,inventory!$E$2:$E$801,"delivered"))</f>
        <v>0</v>
      </c>
      <c r="V30" s="37" t="str">
        <f aca="false">IF($A30="","",IFERROR(1/(1/SUMPRODUCT(MAX((inventory!$C$2:$C$801=$A30)*(inventory!$D$2:$D$801=$B30)*(inventory!$E$2:$E$801="delivered")*(inventory!$A$2:$A$801+inventory!$B$2:$B$801)))),""))</f>
        <v/>
      </c>
      <c r="W30" s="30" t="str">
        <f aca="false">IF($A30="","",IFERROR(IF(INDEX(inventory!$J$2:$J$801,MATCH($A30&amp;"|"&amp;$B30&amp;"|delivered",inventory!$R$2:$R$801,0))="","",INDEX(inventory!$J$2:$J$801,MATCH($A30&amp;"|"&amp;$B30&amp;"|delivered",inventory!$R$2:$R$801,0))),""))</f>
        <v/>
      </c>
      <c r="X30" s="30" t="str">
        <f aca="false">IF($A30="","",IFERROR(IF(INDEX(photos!$H$2:$H$701,MATCH($A30&amp;"|"&amp;$B30&amp;"|placement|Y",photos!$R$2:$R$701,0))="","",INDEX(photos!$H$2:$H$701,MATCH($A30&amp;"|"&amp;$B30&amp;"|placement|Y",photos!$R$2:$R$701,0))),""))</f>
        <v/>
      </c>
      <c r="Y30" s="31" t="str">
        <f aca="false">IF($A30="","",IFERROR(IF(INDEX(photos!$E$2:$E$701,MATCH($A30&amp;"|"&amp;$B30&amp;"|placement|Y",photos!$R$2:$R$701,0))="","",INDEX(photos!$E$2:$E$701,MATCH($A30&amp;"|"&amp;$B30&amp;"|placement|Y",photos!$R$2:$R$701,0))),""))</f>
        <v/>
      </c>
      <c r="Z30" s="30" t="str">
        <f aca="false">IF($A30="","",IF(COUNTIFS(counts!$C$2:$C$701,$A30,counts!$D$2:$D$701,$B30,counts!$E$2:$E$701,"placed")=0,"",SUMIFS(counts!$F$2:$F$701,counts!$C$2:$C$701,$A30,counts!$D$2:$D$701,$B30,counts!$E$2:$E$701,"placed")))</f>
        <v/>
      </c>
      <c r="AA30" s="30" t="n">
        <f aca="false">IF($A30="","",IF($Y30="",0,N($Z30)))</f>
        <v>0</v>
      </c>
      <c r="AB30" s="30" t="str">
        <f aca="false">IF($A30="","",IF(OR($Y30="",$I30=""),"N",IF($Y30&lt;=WORKDAY(N($I30),1,calendar!$A$2:$A$80),"Y","N")))</f>
        <v>N</v>
      </c>
      <c r="AC30" s="33" t="str">
        <f aca="false">IF(OR($A30="",$V30="",$Y30=""),"",ROUND(($Y30+N(IFERROR(IF(INDEX(photos!$F$2:$F$701,MATCH($A30&amp;"|"&amp;$B30&amp;"|placement|Y",photos!$R$2:$R$701,0))="","",INDEX(photos!$F$2:$F$701,MATCH($A30&amp;"|"&amp;$B30&amp;"|placement|Y",photos!$R$2:$R$701,0))),""))-$V30)*24,1))</f>
        <v/>
      </c>
      <c r="AD30" s="30" t="n">
        <f aca="false">IF($A30="","",SUMIFS(inventory!$G$2:$G$801,inventory!$C$2:$C$801,$A30,inventory!$D$2:$D$801,$B30,inventory!$E$2:$E$801,"topped_up"))</f>
        <v>0</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N</v>
      </c>
      <c r="AL30" s="30" t="n">
        <f aca="true">IF(OR($A30="",$I30=""),"",IF($BC30="Y",SUMIFS(survey_frozen!$C$2:$C$251,survey_frozen!$P$2:$P$251,$A30&amp;"|"&amp;$B30),IFERROR(COUNTIFS(INDIRECT("'"&amp;$A30&amp;"'!$B$2:$B$501"),$T30,INDIRECT("'"&amp;$A30&amp;"'!$A$2:$A$501"),"&gt;="&amp;$I30,INDIRECT("'"&amp;$A30&amp;"'!$A$2:$A$501"),"&lt;"&amp;($BA30+1)),0)))</f>
        <v>0</v>
      </c>
      <c r="AM30" s="30" t="n">
        <f aca="true">IF(OR($A30="",$I30=""),"",IF($BC30="Y",SUMIFS(survey_frozen!$D$2:$D$251,survey_frozen!$P$2:$P$251,$A30&amp;"|"&amp;$B30),IFERROR(COUNTIFS(INDIRECT("'"&amp;$A30&amp;"'!$B$2:$B$501"),$T30,INDIRECT("'"&amp;$A30&amp;"'!$A$2:$A$501"),"&gt;="&amp;$I30,INDIRECT("'"&amp;$A30&amp;"'!$A$2:$A$501"),"&lt;"&amp;($BA30+1),INDIRECT("'"&amp;$A30&amp;"'!$C$2:$C$501"),"Yes"),0)))</f>
        <v>0</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f>
        <v/>
      </c>
      <c r="AQ30" s="30" t="n">
        <f aca="true">IF(OR($A30="",$I30=""),"",IF($BC30="Y",SUMIFS(survey_frozen!$E$2:$E$251,survey_frozen!$P$2:$P$251,$A30&amp;"|"&amp;$B30),IFERROR(COUNTIFS(INDIRECT("'"&amp;$A30&amp;"'!$B$2:$B$501"),$T30,INDIRECT("'"&amp;$A30&amp;"'!$A$2:$A$501"),"&gt;="&amp;$I30,INDIRECT("'"&amp;$A30&amp;"'!$A$2:$A$501"),"&lt;"&amp;($BA30+1),INDIRECT("'"&amp;$A30&amp;"'!$F$2:$F$501"),"Didn't see it"),0)))</f>
        <v>0</v>
      </c>
      <c r="AR30" s="30" t="n">
        <f aca="true">IF(OR($A30="",$I30=""),"",IF($BC30="Y",SUMIFS(survey_frozen!$F$2:$F$251,survey_frozen!$P$2:$P$251,$A30&amp;"|"&amp;$B30),IFERROR(COUNTIFS(INDIRECT("'"&amp;$A30&amp;"'!$B$2:$B$501"),$T30,INDIRECT("'"&amp;$A30&amp;"'!$A$2:$A$501"),"&gt;="&amp;$I30,INDIRECT("'"&amp;$A30&amp;"'!$A$2:$A$501"),"&lt;"&amp;($BA30+1),INDIRECT("'"&amp;$A30&amp;"'!$F$2:$F$501"),"Not for me"),0)))</f>
        <v>0</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0</v>
      </c>
      <c r="AU30" s="30" t="n">
        <f aca="true">IF(OR($A30="",$I30=""),"",IF($BC30="Y",SUMIFS(survey_frozen!$I$2:$I$251,survey_frozen!$P$2:$P$251,$A30&amp;"|"&amp;$B30),IFERROR(SUMIFS(INDIRECT("'"&amp;$A30&amp;"'!$D$2:$D$501"),INDIRECT("'"&amp;$A30&amp;"'!$B$2:$B$501"),$T30,INDIRECT("'"&amp;$A30&amp;"'!$A$2:$A$501"),"&gt;="&amp;$I30,INDIRECT("'"&amp;$A30&amp;"'!$A$2:$A$501"),"&lt;"&amp;($BA30+1)),0)))</f>
        <v>0</v>
      </c>
      <c r="AV30" s="30" t="n">
        <f aca="true">IF(OR($A30="",$I30=""),"",IF($BC30="Y",SUMIFS(survey_frozen!$J$2:$J$251,survey_frozen!$P$2:$P$251,$A30&amp;"|"&amp;$B30),IFERROR(COUNTIFS(INDIRECT("'"&amp;$A30&amp;"'!$B$2:$B$501"),$T30,INDIRECT("'"&amp;$A30&amp;"'!$A$2:$A$501"),"&gt;="&amp;$I30,INDIRECT("'"&amp;$A30&amp;"'!$A$2:$A$501"),"&lt;"&amp;($BA30+1),INDIRECT("'"&amp;$A30&amp;"'!$E$2:$E$501"),"Yes"),0)))</f>
        <v>0</v>
      </c>
      <c r="AW30" s="30" t="n">
        <f aca="true">IF(OR($A30="",$I30=""),"",IF($BC30="Y",SUMIFS(survey_frozen!$K$2:$K$251,survey_frozen!$P$2:$P$251,$A30&amp;"|"&amp;$B30),IFERROR(COUNTIFS(INDIRECT("'"&amp;$A30&amp;"'!$B$2:$B$501"),$T30,INDIRECT("'"&amp;$A30&amp;"'!$A$2:$A$501"),"&gt;="&amp;$I30,INDIRECT("'"&amp;$A30&amp;"'!$A$2:$A$501"),"&lt;"&amp;($BA30+1),INDIRECT("'"&amp;$A30&amp;"'!$E$2:$E$501"),"Maybe"),0)))</f>
        <v>0</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0</v>
      </c>
      <c r="AZ30" s="30" t="str">
        <f aca="false">IF($A30="","",$A30&amp;"|"&amp;$L30)</f>
        <v>SAMPLE-CMP-004|8</v>
      </c>
      <c r="BA30" s="31" t="n">
        <f aca="false">IF($A30="","",IFERROR(IF(INDEX(drops!$R$2:$R$21,MATCH($H30,drops!$A$2:$A$21,0))="","",INDEX(drops!$R$2:$R$21,MATCH($H30,drops!$A$2:$A$21,0))),""))</f>
        <v>46434</v>
      </c>
      <c r="BB30" s="30" t="n">
        <f aca="false">IF(OR($A30="",$Q30&lt;&gt;"Y"),1000000,N($AL30))</f>
        <v>0</v>
      </c>
      <c r="BC30" s="30" t="str">
        <f aca="false">IF($A30="","",IF(COUNTIF(survey_frozen!$P$2:$P$251,$A30&amp;"|"&amp;$B30)&gt;0,"Y",""))</f>
        <v/>
      </c>
    </row>
    <row r="31" customFormat="false" ht="15" hidden="false" customHeight="false" outlineLevel="0" collapsed="false">
      <c r="A31" s="0" t="s">
        <v>498</v>
      </c>
      <c r="B31" s="0" t="s">
        <v>614</v>
      </c>
      <c r="C31" s="11" t="n">
        <v>46400</v>
      </c>
      <c r="D31" s="10" t="s">
        <v>652</v>
      </c>
      <c r="E31" s="11" t="n">
        <v>46401</v>
      </c>
      <c r="F31" s="10" t="s">
        <v>653</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IF($B31="","",IFERROR(IF(INDEX(offices!$N$2:$N$61,MATCH($B31,offices!$A$2:$A$61,0))="","",INDEX(offices!$N$2:$N$61,MATCH($B31,offices!$A$2:$A$61,0))),""))</f>
        <v>SAMPLE Quill Nonprofit Press</v>
      </c>
      <c r="L31" s="30" t="n">
        <f aca="false">IF($A31="","",IF($Q31="N","",COUNTIFS($A$2:$A31,$A31,$Q$2:$Q31,"&lt;&gt;N")))</f>
        <v>9</v>
      </c>
      <c r="M31" s="30" t="str">
        <f aca="false">IF(OR($A31="",$L31=""),"",IF(AND(config!$B$34="names_if_public",IFERROR(IF(INDEX(offices!$AF$2:$AF$61,MATCH($B31,offices!$A$2:$A$61,0))="","",INDEX(offices!$AF$2:$AF$61,MATCH($B31,offices!$A$2:$A$61,0))),"")="Y"),$K31,CHAR(64+$L31)))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C$2:$AC$61,MATCH($B31,offices!$A$2:$A$61,0))="","",INDEX(offices!$AC$2:$AC$61,MATCH($B31,offices!$A$2:$A$61,0))),"")&lt;&gt;"",ISNUMBER(SEARCH($J31,IFERROR(IF(INDEX(offices!$AC$2:$AC$61,MATCH($B31,offices!$A$2:$A$61,0))="","",INDEX(offices!$AC$2:$AC$61,MATCH($B31,offices!$A$2:$A$61,0))),"")))),"BRAND VETOED; ","")&amp;IF(ISNUMBER(SEARCH(IFERROR(IF(INDEX(campaigns!$BF$2:$BF$51,MATCH($A31,campaigns!$A$2:$A$51,0))="","",INDEX(campaigns!$BF$2:$BF$51,MATCH($A31,campaigns!$A$2:$A$51,0))),""),IFERROR(IF(INDEX(offices!$AB$2:$AB$61,MATCH($B31,offices!$A$2:$A$61,0))="","",INDEX(offices!$AB$2:$AB$61,MATCH($B31,offices!$A$2:$A$61,0))),""))),"","info: category not on the office's list; ")&amp;IF(IFERROR(IF(INDEX(offices!$AC$2:$AC$61,MATCH($B31,offices!$A$2:$A$61,0))="","",INDEX(offices!$AC$2:$AC$61,MATCH($B31,offices!$A$2:$A$61,0))),"")&lt;&gt;"","info: read the vetoes against the label; ",""))</f>
        <v/>
      </c>
      <c r="S31" s="30" t="n">
        <f aca="false">IF($A31="","",IF($G31&lt;&gt;"",$G31,IFERROR(IF(INDEX(offices!$AL$2:$AL$61,MATCH($B31,offices!$A$2:$A$61,0))="","",INDEX(offices!$AL$2:$AL$61,MATCH($B31,offices!$A$2:$A$61,0))),"")))</f>
        <v>40</v>
      </c>
      <c r="T31" s="30" t="str">
        <f aca="false">IF($A31="","",$A31&amp;"."&amp;$B31)</f>
        <v>SAMPLE-CMP-004.SAMPLE-O-010</v>
      </c>
      <c r="U31" s="30" t="n">
        <f aca="false">IF($A31="","",SUMIFS(inventory!$G$2:$G$801,inventory!$C$2:$C$801,$A31,inventory!$D$2:$D$801,$B31,inventory!$E$2:$E$801,"delivered"))</f>
        <v>0</v>
      </c>
      <c r="V31" s="37" t="str">
        <f aca="false">IF($A31="","",IFERROR(1/(1/SUMPRODUCT(MAX((inventory!$C$2:$C$801=$A31)*(inventory!$D$2:$D$801=$B31)*(inventory!$E$2:$E$801="delivered")*(inventory!$A$2:$A$801+inventory!$B$2:$B$801)))),""))</f>
        <v/>
      </c>
      <c r="W31" s="30" t="str">
        <f aca="false">IF($A31="","",IFERROR(IF(INDEX(inventory!$J$2:$J$801,MATCH($A31&amp;"|"&amp;$B31&amp;"|delivered",inventory!$R$2:$R$801,0))="","",INDEX(inventory!$J$2:$J$801,MATCH($A31&amp;"|"&amp;$B31&amp;"|delivered",inventory!$R$2:$R$801,0))),""))</f>
        <v/>
      </c>
      <c r="X31" s="30" t="str">
        <f aca="false">IF($A31="","",IFERROR(IF(INDEX(photos!$H$2:$H$701,MATCH($A31&amp;"|"&amp;$B31&amp;"|placement|Y",photos!$R$2:$R$701,0))="","",INDEX(photos!$H$2:$H$701,MATCH($A31&amp;"|"&amp;$B31&amp;"|placement|Y",photos!$R$2:$R$701,0))),""))</f>
        <v/>
      </c>
      <c r="Y31" s="31" t="str">
        <f aca="false">IF($A31="","",IFERROR(IF(INDEX(photos!$E$2:$E$701,MATCH($A31&amp;"|"&amp;$B31&amp;"|placement|Y",photos!$R$2:$R$701,0))="","",INDEX(photos!$E$2:$E$701,MATCH($A31&amp;"|"&amp;$B31&amp;"|placement|Y",photos!$R$2:$R$701,0))),""))</f>
        <v/>
      </c>
      <c r="Z31" s="30" t="str">
        <f aca="false">IF($A31="","",IF(COUNTIFS(counts!$C$2:$C$701,$A31,counts!$D$2:$D$701,$B31,counts!$E$2:$E$701,"placed")=0,"",SUMIFS(counts!$F$2:$F$701,counts!$C$2:$C$701,$A31,counts!$D$2:$D$701,$B31,counts!$E$2:$E$701,"placed")))</f>
        <v/>
      </c>
      <c r="AA31" s="30" t="n">
        <f aca="false">IF($A31="","",IF($Y31="",0,N($Z31)))</f>
        <v>0</v>
      </c>
      <c r="AB31" s="30" t="str">
        <f aca="false">IF($A31="","",IF(OR($Y31="",$I31=""),"N",IF($Y31&lt;=WORKDAY(N($I31),1,calendar!$A$2:$A$80),"Y","N")))</f>
        <v>N</v>
      </c>
      <c r="AC31" s="33" t="str">
        <f aca="false">IF(OR($A31="",$V31="",$Y31=""),"",ROUND(($Y31+N(IFERROR(IF(INDEX(photos!$F$2:$F$701,MATCH($A31&amp;"|"&amp;$B31&amp;"|placement|Y",photos!$R$2:$R$701,0))="","",INDEX(photos!$F$2:$F$701,MATCH($A31&amp;"|"&amp;$B31&amp;"|placement|Y",photos!$R$2:$R$701,0))),""))-$V31)*24,1))</f>
        <v/>
      </c>
      <c r="AD31" s="30" t="n">
        <f aca="false">IF($A31="","",SUMIFS(inventory!$G$2:$G$801,inventory!$C$2:$C$801,$A31,inventory!$D$2:$D$801,$B31,inventory!$E$2:$E$801,"topped_up"))</f>
        <v>0</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N</v>
      </c>
      <c r="AL31" s="30" t="n">
        <f aca="true">IF(OR($A31="",$I31=""),"",IF($BC31="Y",SUMIFS(survey_frozen!$C$2:$C$251,survey_frozen!$P$2:$P$251,$A31&amp;"|"&amp;$B31),IFERROR(COUNTIFS(INDIRECT("'"&amp;$A31&amp;"'!$B$2:$B$501"),$T31,INDIRECT("'"&amp;$A31&amp;"'!$A$2:$A$501"),"&gt;="&amp;$I31,INDIRECT("'"&amp;$A31&amp;"'!$A$2:$A$501"),"&lt;"&amp;($BA31+1)),0)))</f>
        <v>0</v>
      </c>
      <c r="AM31" s="30" t="n">
        <f aca="true">IF(OR($A31="",$I31=""),"",IF($BC31="Y",SUMIFS(survey_frozen!$D$2:$D$251,survey_frozen!$P$2:$P$251,$A31&amp;"|"&amp;$B31),IFERROR(COUNTIFS(INDIRECT("'"&amp;$A31&amp;"'!$B$2:$B$501"),$T31,INDIRECT("'"&amp;$A31&amp;"'!$A$2:$A$501"),"&gt;="&amp;$I31,INDIRECT("'"&amp;$A31&amp;"'!$A$2:$A$501"),"&lt;"&amp;($BA31+1),INDIRECT("'"&amp;$A31&amp;"'!$C$2:$C$501"),"Yes"),0)))</f>
        <v>0</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f>
        <v/>
      </c>
      <c r="AQ31" s="30" t="n">
        <f aca="true">IF(OR($A31="",$I31=""),"",IF($BC31="Y",SUMIFS(survey_frozen!$E$2:$E$251,survey_frozen!$P$2:$P$251,$A31&amp;"|"&amp;$B31),IFERROR(COUNTIFS(INDIRECT("'"&amp;$A31&amp;"'!$B$2:$B$501"),$T31,INDIRECT("'"&amp;$A31&amp;"'!$A$2:$A$501"),"&gt;="&amp;$I31,INDIRECT("'"&amp;$A31&amp;"'!$A$2:$A$501"),"&lt;"&amp;($BA31+1),INDIRECT("'"&amp;$A31&amp;"'!$F$2:$F$501"),"Didn't see it"),0)))</f>
        <v>0</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0</v>
      </c>
      <c r="AT31" s="30" t="n">
        <f aca="true">IF(OR($A31="",$I31=""),"",IF($BC31="Y",SUMIFS(survey_frozen!$H$2:$H$251,survey_frozen!$P$2:$P$251,$A31&amp;"|"&amp;$B31),IFERROR(COUNTIFS(INDIRECT("'"&amp;$A31&amp;"'!$B$2:$B$501"),$T31,INDIRECT("'"&amp;$A31&amp;"'!$A$2:$A$501"),"&gt;="&amp;$I31,INDIRECT("'"&amp;$A31&amp;"'!$A$2:$A$501"),"&lt;"&amp;($BA31+1),INDIRECT("'"&amp;$A31&amp;"'!$D$2:$D$501"),"&gt;=1"),0)))</f>
        <v>0</v>
      </c>
      <c r="AU31" s="30" t="n">
        <f aca="true">IF(OR($A31="",$I31=""),"",IF($BC31="Y",SUMIFS(survey_frozen!$I$2:$I$251,survey_frozen!$P$2:$P$251,$A31&amp;"|"&amp;$B31),IFERROR(SUMIFS(INDIRECT("'"&amp;$A31&amp;"'!$D$2:$D$501"),INDIRECT("'"&amp;$A31&amp;"'!$B$2:$B$501"),$T31,INDIRECT("'"&amp;$A31&amp;"'!$A$2:$A$501"),"&gt;="&amp;$I31,INDIRECT("'"&amp;$A31&amp;"'!$A$2:$A$501"),"&lt;"&amp;($BA31+1)),0)))</f>
        <v>0</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0</v>
      </c>
      <c r="AX31" s="30" t="n">
        <f aca="true">IF(OR($A31="",$I31=""),"",IF($BC31="Y",SUMIFS(survey_frozen!$L$2:$L$251,survey_frozen!$P$2:$P$251,$A31&amp;"|"&amp;$B31),IFERROR(COUNTIFS(INDIRECT("'"&amp;$A31&amp;"'!$B$2:$B$501"),$T31,INDIRECT("'"&amp;$A31&amp;"'!$A$2:$A$501"),"&gt;="&amp;$I31,INDIRECT("'"&amp;$A31&amp;"'!$A$2:$A$501"),"&lt;"&amp;($BA31+1),INDIRECT("'"&amp;$A31&amp;"'!$E$2:$E$501"),"No"),0)))</f>
        <v>0</v>
      </c>
      <c r="AY31" s="30" t="n">
        <f aca="true">IF(OR($A31="",$I31=""),"",IF($BC31="Y",SUMIFS(survey_frozen!$M$2:$M$251,survey_frozen!$P$2:$P$251,$A31&amp;"|"&amp;$B31),IFERROR(COUNTIFS(INDIRECT("'"&amp;$A31&amp;"'!$B$2:$B$501"),$T31,INDIRECT("'"&amp;$A31&amp;"'!$A$2:$A$501"),"&gt;="&amp;$I31,INDIRECT("'"&amp;$A31&amp;"'!$A$2:$A$501"),"&lt;"&amp;($BA31+1),INDIRECT("'"&amp;$A31&amp;"'!$G$2:$G$501"),"&lt;&gt;"),0)))</f>
        <v>0</v>
      </c>
      <c r="AZ31" s="30" t="str">
        <f aca="false">IF($A31="","",$A31&amp;"|"&amp;$L31)</f>
        <v>SAMPLE-CMP-004|9</v>
      </c>
      <c r="BA31" s="31" t="n">
        <f aca="false">IF($A31="","",IFERROR(IF(INDEX(drops!$R$2:$R$21,MATCH($H31,drops!$A$2:$A$21,0))="","",INDEX(drops!$R$2:$R$21,MATCH($H31,drops!$A$2:$A$21,0))),""))</f>
        <v>46434</v>
      </c>
      <c r="BB31" s="30" t="n">
        <f aca="false">IF(OR($A31="",$Q31&lt;&gt;"Y"),1000000,N($AL31))</f>
        <v>0</v>
      </c>
      <c r="BC31" s="30" t="str">
        <f aca="false">IF($A31="","",IF(COUNTIF(survey_frozen!$P$2:$P$251,$A31&amp;"|"&amp;$B31)&gt;0,"Y",""))</f>
        <v/>
      </c>
    </row>
    <row r="32" customFormat="false" ht="15" hidden="false" customHeight="false" outlineLevel="0" collapsed="false">
      <c r="A32" s="0" t="s">
        <v>507</v>
      </c>
      <c r="B32" s="0" t="s">
        <v>594</v>
      </c>
      <c r="C32" s="11" t="n">
        <v>46395</v>
      </c>
      <c r="D32" s="10" t="s">
        <v>652</v>
      </c>
      <c r="E32" s="11" t="n">
        <v>46396</v>
      </c>
      <c r="F32" s="10" t="s">
        <v>653</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IF($B32="","",IFERROR(IF(INDEX(offices!$N$2:$N$61,MATCH($B32,offices!$A$2:$A$61,0))="","",INDEX(offices!$N$2:$N$61,MATCH($B32,offices!$A$2:$A$61,0))),""))</f>
        <v>SAMPLE Northpoint Software</v>
      </c>
      <c r="L32" s="30" t="n">
        <f aca="false">IF($A32="","",IF($Q32="N","",COUNTIFS($A$2:$A32,$A32,$Q$2:$Q32,"&lt;&gt;N")))</f>
        <v>1</v>
      </c>
      <c r="M32" s="30" t="str">
        <f aca="false">IF(OR($A32="",$L32=""),"",IF(AND(config!$B$34="names_if_public",IFERROR(IF(INDEX(offices!$AF$2:$AF$61,MATCH($B32,offices!$A$2:$A$61,0))="","",INDEX(offices!$AF$2:$AF$61,MATCH($B32,offices!$A$2:$A$61,0))),"")="Y"),$K32,CHAR(64+$L32)))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C$2:$AC$61,MATCH($B32,offices!$A$2:$A$61,0))="","",INDEX(offices!$AC$2:$AC$61,MATCH($B32,offices!$A$2:$A$61,0))),"")&lt;&gt;"",ISNUMBER(SEARCH($J32,IFERROR(IF(INDEX(offices!$AC$2:$AC$61,MATCH($B32,offices!$A$2:$A$61,0))="","",INDEX(offices!$AC$2:$AC$61,MATCH($B32,offices!$A$2:$A$61,0))),"")))),"BRAND VETOED; ","")&amp;IF(ISNUMBER(SEARCH(IFERROR(IF(INDEX(campaigns!$BF$2:$BF$51,MATCH($A32,campaigns!$A$2:$A$51,0))="","",INDEX(campaigns!$BF$2:$BF$51,MATCH($A32,campaigns!$A$2:$A$51,0))),""),IFERROR(IF(INDEX(offices!$AB$2:$AB$61,MATCH($B32,offices!$A$2:$A$61,0))="","",INDEX(offices!$AB$2:$AB$61,MATCH($B32,offices!$A$2:$A$61,0))),""))),"","info: category not on the office's list; ")&amp;IF(IFERROR(IF(INDEX(offices!$AC$2:$AC$61,MATCH($B32,offices!$A$2:$A$61,0))="","",INDEX(offices!$AC$2:$AC$61,MATCH($B32,offices!$A$2:$A$61,0))),"")&lt;&gt;"","info: read the vetoes against the label; ",""))</f>
        <v/>
      </c>
      <c r="S32" s="30" t="n">
        <f aca="false">IF($A32="","",IF($G32&lt;&gt;"",$G32,IFERROR(IF(INDEX(offices!$AL$2:$AL$61,MATCH($B32,offices!$A$2:$A$61,0))="","",INDEX(offices!$AL$2:$AL$61,MATCH($B32,offices!$A$2:$A$61,0))),"")))</f>
        <v>40</v>
      </c>
      <c r="T32" s="30" t="str">
        <f aca="false">IF($A32="","",$A32&amp;"."&amp;$B32)</f>
        <v>SAMPLE-CMP-005.SAMPLE-O-001</v>
      </c>
      <c r="U32" s="30" t="n">
        <f aca="false">IF($A32="","",SUMIFS(inventory!$G$2:$G$801,inventory!$C$2:$C$801,$A32,inventory!$D$2:$D$801,$B32,inventory!$E$2:$E$801,"delivered"))</f>
        <v>0</v>
      </c>
      <c r="V32" s="37" t="str">
        <f aca="false">IF($A32="","",IFERROR(1/(1/SUMPRODUCT(MAX((inventory!$C$2:$C$801=$A32)*(inventory!$D$2:$D$801=$B32)*(inventory!$E$2:$E$801="delivered")*(inventory!$A$2:$A$801+inventory!$B$2:$B$801)))),""))</f>
        <v/>
      </c>
      <c r="W32" s="30" t="str">
        <f aca="false">IF($A32="","",IFERROR(IF(INDEX(inventory!$J$2:$J$801,MATCH($A32&amp;"|"&amp;$B32&amp;"|delivered",inventory!$R$2:$R$801,0))="","",INDEX(inventory!$J$2:$J$801,MATCH($A32&amp;"|"&amp;$B32&amp;"|delivered",inventory!$R$2:$R$801,0))),""))</f>
        <v/>
      </c>
      <c r="X32" s="30" t="str">
        <f aca="false">IF($A32="","",IFERROR(IF(INDEX(photos!$H$2:$H$701,MATCH($A32&amp;"|"&amp;$B32&amp;"|placement|Y",photos!$R$2:$R$701,0))="","",INDEX(photos!$H$2:$H$701,MATCH($A32&amp;"|"&amp;$B32&amp;"|placement|Y",photos!$R$2:$R$701,0))),""))</f>
        <v/>
      </c>
      <c r="Y32" s="31" t="str">
        <f aca="false">IF($A32="","",IFERROR(IF(INDEX(photos!$E$2:$E$701,MATCH($A32&amp;"|"&amp;$B32&amp;"|placement|Y",photos!$R$2:$R$701,0))="","",INDEX(photos!$E$2:$E$701,MATCH($A32&amp;"|"&amp;$B32&amp;"|placement|Y",photos!$R$2:$R$701,0))),""))</f>
        <v/>
      </c>
      <c r="Z32" s="30" t="str">
        <f aca="false">IF($A32="","",IF(COUNTIFS(counts!$C$2:$C$701,$A32,counts!$D$2:$D$701,$B32,counts!$E$2:$E$701,"placed")=0,"",SUMIFS(counts!$F$2:$F$701,counts!$C$2:$C$701,$A32,counts!$D$2:$D$701,$B32,counts!$E$2:$E$701,"placed")))</f>
        <v/>
      </c>
      <c r="AA32" s="30" t="n">
        <f aca="false">IF($A32="","",IF($Y32="",0,N($Z32)))</f>
        <v>0</v>
      </c>
      <c r="AB32" s="30" t="str">
        <f aca="false">IF($A32="","",IF(OR($Y32="",$I32=""),"N",IF($Y32&lt;=WORKDAY(N($I32),1,calendar!$A$2:$A$80),"Y","N")))</f>
        <v>N</v>
      </c>
      <c r="AC32" s="33" t="str">
        <f aca="false">IF(OR($A32="",$V32="",$Y32=""),"",ROUND(($Y32+N(IFERROR(IF(INDEX(photos!$F$2:$F$701,MATCH($A32&amp;"|"&amp;$B32&amp;"|placement|Y",photos!$R$2:$R$701,0))="","",INDEX(photos!$F$2:$F$701,MATCH($A32&amp;"|"&amp;$B32&amp;"|placement|Y",photos!$R$2:$R$701,0))),""))-$V32)*24,1))</f>
        <v/>
      </c>
      <c r="AD32" s="30" t="n">
        <f aca="false">IF($A32="","",SUMIFS(inventory!$G$2:$G$801,inventory!$C$2:$C$801,$A32,inventory!$D$2:$D$801,$B32,inventory!$E$2:$E$801,"topped_up"))</f>
        <v>0</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N</v>
      </c>
      <c r="AL32" s="30" t="n">
        <f aca="true">IF(OR($A32="",$I32=""),"",IF($BC32="Y",SUMIFS(survey_frozen!$C$2:$C$251,survey_frozen!$P$2:$P$251,$A32&amp;"|"&amp;$B32),IFERROR(COUNTIFS(INDIRECT("'"&amp;$A32&amp;"'!$B$2:$B$501"),$T32,INDIRECT("'"&amp;$A32&amp;"'!$A$2:$A$501"),"&gt;="&amp;$I32,INDIRECT("'"&amp;$A32&amp;"'!$A$2:$A$501"),"&lt;"&amp;($BA32+1)),0)))</f>
        <v>0</v>
      </c>
      <c r="AM32" s="30" t="n">
        <f aca="true">IF(OR($A32="",$I32=""),"",IF($BC32="Y",SUMIFS(survey_frozen!$D$2:$D$251,survey_frozen!$P$2:$P$251,$A32&amp;"|"&amp;$B32),IFERROR(COUNTIFS(INDIRECT("'"&amp;$A32&amp;"'!$B$2:$B$501"),$T32,INDIRECT("'"&amp;$A32&amp;"'!$A$2:$A$501"),"&gt;="&amp;$I32,INDIRECT("'"&amp;$A32&amp;"'!$A$2:$A$501"),"&lt;"&amp;($BA32+1),INDIRECT("'"&amp;$A32&amp;"'!$C$2:$C$501"),"Yes"),0)))</f>
        <v>0</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0</v>
      </c>
      <c r="AS32" s="30" t="n">
        <f aca="true">IF(OR($A32="",$I32=""),"",IF($BC32="Y",SUMIFS(survey_frozen!$G$2:$G$251,survey_frozen!$P$2:$P$251,$A32&amp;"|"&amp;$B32),IFERROR(COUNTIFS(INDIRECT("'"&amp;$A32&amp;"'!$B$2:$B$501"),$T32,INDIRECT("'"&amp;$A32&amp;"'!$A$2:$A$501"),"&gt;="&amp;$I32,INDIRECT("'"&amp;$A32&amp;"'!$A$2:$A$501"),"&lt;"&amp;($BA32+1),INDIRECT("'"&amp;$A32&amp;"'!$F$2:$F$501"),"Gone by the time I looked"),0)))</f>
        <v>0</v>
      </c>
      <c r="AT32" s="30" t="n">
        <f aca="true">IF(OR($A32="",$I32=""),"",IF($BC32="Y",SUMIFS(survey_frozen!$H$2:$H$251,survey_frozen!$P$2:$P$251,$A32&amp;"|"&amp;$B32),IFERROR(COUNTIFS(INDIRECT("'"&amp;$A32&amp;"'!$B$2:$B$501"),$T32,INDIRECT("'"&amp;$A32&amp;"'!$A$2:$A$501"),"&gt;="&amp;$I32,INDIRECT("'"&amp;$A32&amp;"'!$A$2:$A$501"),"&lt;"&amp;($BA32+1),INDIRECT("'"&amp;$A32&amp;"'!$D$2:$D$501"),"&gt;=1"),0)))</f>
        <v>0</v>
      </c>
      <c r="AU32" s="30" t="n">
        <f aca="true">IF(OR($A32="",$I32=""),"",IF($BC32="Y",SUMIFS(survey_frozen!$I$2:$I$251,survey_frozen!$P$2:$P$251,$A32&amp;"|"&amp;$B32),IFERROR(SUMIFS(INDIRECT("'"&amp;$A32&amp;"'!$D$2:$D$501"),INDIRECT("'"&amp;$A32&amp;"'!$B$2:$B$501"),$T32,INDIRECT("'"&amp;$A32&amp;"'!$A$2:$A$501"),"&gt;="&amp;$I32,INDIRECT("'"&amp;$A32&amp;"'!$A$2:$A$501"),"&lt;"&amp;($BA32+1)),0)))</f>
        <v>0</v>
      </c>
      <c r="AV32" s="30" t="n">
        <f aca="true">IF(OR($A32="",$I32=""),"",IF($BC32="Y",SUMIFS(survey_frozen!$J$2:$J$251,survey_frozen!$P$2:$P$251,$A32&amp;"|"&amp;$B32),IFERROR(COUNTIFS(INDIRECT("'"&amp;$A32&amp;"'!$B$2:$B$501"),$T32,INDIRECT("'"&amp;$A32&amp;"'!$A$2:$A$501"),"&gt;="&amp;$I32,INDIRECT("'"&amp;$A32&amp;"'!$A$2:$A$501"),"&lt;"&amp;($BA32+1),INDIRECT("'"&amp;$A32&amp;"'!$E$2:$E$501"),"Yes"),0)))</f>
        <v>0</v>
      </c>
      <c r="AW32" s="30" t="n">
        <f aca="true">IF(OR($A32="",$I32=""),"",IF($BC32="Y",SUMIFS(survey_frozen!$K$2:$K$251,survey_frozen!$P$2:$P$251,$A32&amp;"|"&amp;$B32),IFERROR(COUNTIFS(INDIRECT("'"&amp;$A32&amp;"'!$B$2:$B$501"),$T32,INDIRECT("'"&amp;$A32&amp;"'!$A$2:$A$501"),"&gt;="&amp;$I32,INDIRECT("'"&amp;$A32&amp;"'!$A$2:$A$501"),"&lt;"&amp;($BA32+1),INDIRECT("'"&amp;$A32&amp;"'!$E$2:$E$501"),"Maybe"),0)))</f>
        <v>0</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0</v>
      </c>
      <c r="AZ32" s="30" t="str">
        <f aca="false">IF($A32="","",$A32&amp;"|"&amp;$L32)</f>
        <v>SAMPLE-CMP-005|1</v>
      </c>
      <c r="BA32" s="31" t="n">
        <f aca="false">IF($A32="","",IFERROR(IF(INDEX(drops!$R$2:$R$21,MATCH($H32,drops!$A$2:$A$21,0))="","",INDEX(drops!$R$2:$R$21,MATCH($H32,drops!$A$2:$A$21,0))),""))</f>
        <v>46434</v>
      </c>
      <c r="BB32" s="30" t="n">
        <f aca="false">IF(OR($A32="",$Q32&lt;&gt;"Y"),1000000,N($AL32))</f>
        <v>0</v>
      </c>
      <c r="BC32" s="30" t="str">
        <f aca="false">IF($A32="","",IF(COUNTIF(survey_frozen!$P$2:$P$251,$A32&amp;"|"&amp;$B32)&gt;0,"Y",""))</f>
        <v/>
      </c>
    </row>
    <row r="33" customFormat="false" ht="15" hidden="false" customHeight="false" outlineLevel="0" collapsed="false">
      <c r="A33" s="0" t="s">
        <v>507</v>
      </c>
      <c r="B33" s="0" t="s">
        <v>597</v>
      </c>
      <c r="C33" s="11" t="n">
        <v>46395</v>
      </c>
      <c r="D33" s="10" t="s">
        <v>652</v>
      </c>
      <c r="E33" s="11" t="n">
        <v>46397</v>
      </c>
      <c r="F33" s="10" t="s">
        <v>653</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IF($B33="","",IFERROR(IF(INDEX(offices!$N$2:$N$61,MATCH($B33,offices!$A$2:$A$61,0))="","",INDEX(offices!$N$2:$N$61,MATCH($B33,offices!$A$2:$A$61,0))),""))</f>
        <v>SAMPLE Ferro Architecture</v>
      </c>
      <c r="L33" s="30" t="n">
        <f aca="false">IF($A33="","",IF($Q33="N","",COUNTIFS($A$2:$A33,$A33,$Q$2:$Q33,"&lt;&gt;N")))</f>
        <v>2</v>
      </c>
      <c r="M33" s="30" t="str">
        <f aca="false">IF(OR($A33="",$L33=""),"",IF(AND(config!$B$34="names_if_public",IFERROR(IF(INDEX(offices!$AF$2:$AF$61,MATCH($B33,offices!$A$2:$A$61,0))="","",INDEX(offices!$AF$2:$AF$61,MATCH($B33,offices!$A$2:$A$61,0))),"")="Y"),$K33,CHAR(64+$L33)))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C$2:$AC$61,MATCH($B33,offices!$A$2:$A$61,0))="","",INDEX(offices!$AC$2:$AC$61,MATCH($B33,offices!$A$2:$A$61,0))),"")&lt;&gt;"",ISNUMBER(SEARCH($J33,IFERROR(IF(INDEX(offices!$AC$2:$AC$61,MATCH($B33,offices!$A$2:$A$61,0))="","",INDEX(offices!$AC$2:$AC$61,MATCH($B33,offices!$A$2:$A$61,0))),"")))),"BRAND VETOED; ","")&amp;IF(ISNUMBER(SEARCH(IFERROR(IF(INDEX(campaigns!$BF$2:$BF$51,MATCH($A33,campaigns!$A$2:$A$51,0))="","",INDEX(campaigns!$BF$2:$BF$51,MATCH($A33,campaigns!$A$2:$A$51,0))),""),IFERROR(IF(INDEX(offices!$AB$2:$AB$61,MATCH($B33,offices!$A$2:$A$61,0))="","",INDEX(offices!$AB$2:$AB$61,MATCH($B33,offices!$A$2:$A$61,0))),""))),"","info: category not on the office's list; ")&amp;IF(IFERROR(IF(INDEX(offices!$AC$2:$AC$61,MATCH($B33,offices!$A$2:$A$61,0))="","",INDEX(offices!$AC$2:$AC$61,MATCH($B33,offices!$A$2:$A$61,0))),"")&lt;&gt;"","info: read the vetoes against the label; ",""))</f>
        <v/>
      </c>
      <c r="S33" s="30" t="n">
        <f aca="false">IF($A33="","",IF($G33&lt;&gt;"",$G33,IFERROR(IF(INDEX(offices!$AL$2:$AL$61,MATCH($B33,offices!$A$2:$A$61,0))="","",INDEX(offices!$AL$2:$AL$61,MATCH($B33,offices!$A$2:$A$61,0))),"")))</f>
        <v>40</v>
      </c>
      <c r="T33" s="30" t="str">
        <f aca="false">IF($A33="","",$A33&amp;"."&amp;$B33)</f>
        <v>SAMPLE-CMP-005.SAMPLE-O-002</v>
      </c>
      <c r="U33" s="30" t="n">
        <f aca="false">IF($A33="","",SUMIFS(inventory!$G$2:$G$801,inventory!$C$2:$C$801,$A33,inventory!$D$2:$D$801,$B33,inventory!$E$2:$E$801,"delivered"))</f>
        <v>0</v>
      </c>
      <c r="V33" s="37" t="str">
        <f aca="false">IF($A33="","",IFERROR(1/(1/SUMPRODUCT(MAX((inventory!$C$2:$C$801=$A33)*(inventory!$D$2:$D$801=$B33)*(inventory!$E$2:$E$801="delivered")*(inventory!$A$2:$A$801+inventory!$B$2:$B$801)))),""))</f>
        <v/>
      </c>
      <c r="W33" s="30" t="str">
        <f aca="false">IF($A33="","",IFERROR(IF(INDEX(inventory!$J$2:$J$801,MATCH($A33&amp;"|"&amp;$B33&amp;"|delivered",inventory!$R$2:$R$801,0))="","",INDEX(inventory!$J$2:$J$801,MATCH($A33&amp;"|"&amp;$B33&amp;"|delivered",inventory!$R$2:$R$801,0))),""))</f>
        <v/>
      </c>
      <c r="X33" s="30" t="str">
        <f aca="false">IF($A33="","",IFERROR(IF(INDEX(photos!$H$2:$H$701,MATCH($A33&amp;"|"&amp;$B33&amp;"|placement|Y",photos!$R$2:$R$701,0))="","",INDEX(photos!$H$2:$H$701,MATCH($A33&amp;"|"&amp;$B33&amp;"|placement|Y",photos!$R$2:$R$701,0))),""))</f>
        <v/>
      </c>
      <c r="Y33" s="31" t="str">
        <f aca="false">IF($A33="","",IFERROR(IF(INDEX(photos!$E$2:$E$701,MATCH($A33&amp;"|"&amp;$B33&amp;"|placement|Y",photos!$R$2:$R$701,0))="","",INDEX(photos!$E$2:$E$701,MATCH($A33&amp;"|"&amp;$B33&amp;"|placement|Y",photos!$R$2:$R$701,0))),""))</f>
        <v/>
      </c>
      <c r="Z33" s="30" t="str">
        <f aca="false">IF($A33="","",IF(COUNTIFS(counts!$C$2:$C$701,$A33,counts!$D$2:$D$701,$B33,counts!$E$2:$E$701,"placed")=0,"",SUMIFS(counts!$F$2:$F$701,counts!$C$2:$C$701,$A33,counts!$D$2:$D$701,$B33,counts!$E$2:$E$701,"placed")))</f>
        <v/>
      </c>
      <c r="AA33" s="30" t="n">
        <f aca="false">IF($A33="","",IF($Y33="",0,N($Z33)))</f>
        <v>0</v>
      </c>
      <c r="AB33" s="30" t="str">
        <f aca="false">IF($A33="","",IF(OR($Y33="",$I33=""),"N",IF($Y33&lt;=WORKDAY(N($I33),1,calendar!$A$2:$A$80),"Y","N")))</f>
        <v>N</v>
      </c>
      <c r="AC33" s="33" t="str">
        <f aca="false">IF(OR($A33="",$V33="",$Y33=""),"",ROUND(($Y33+N(IFERROR(IF(INDEX(photos!$F$2:$F$701,MATCH($A33&amp;"|"&amp;$B33&amp;"|placement|Y",photos!$R$2:$R$701,0))="","",INDEX(photos!$F$2:$F$701,MATCH($A33&amp;"|"&amp;$B33&amp;"|placement|Y",photos!$R$2:$R$701,0))),""))-$V33)*24,1))</f>
        <v/>
      </c>
      <c r="AD33" s="30" t="n">
        <f aca="false">IF($A33="","",SUMIFS(inventory!$G$2:$G$801,inventory!$C$2:$C$801,$A33,inventory!$D$2:$D$801,$B33,inventory!$E$2:$E$801,"topped_up"))</f>
        <v>0</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N</v>
      </c>
      <c r="AL33" s="30" t="n">
        <f aca="true">IF(OR($A33="",$I33=""),"",IF($BC33="Y",SUMIFS(survey_frozen!$C$2:$C$251,survey_frozen!$P$2:$P$251,$A33&amp;"|"&amp;$B33),IFERROR(COUNTIFS(INDIRECT("'"&amp;$A33&amp;"'!$B$2:$B$501"),$T33,INDIRECT("'"&amp;$A33&amp;"'!$A$2:$A$501"),"&gt;="&amp;$I33,INDIRECT("'"&amp;$A33&amp;"'!$A$2:$A$501"),"&lt;"&amp;($BA33+1)),0)))</f>
        <v>0</v>
      </c>
      <c r="AM33" s="30" t="n">
        <f aca="true">IF(OR($A33="",$I33=""),"",IF($BC33="Y",SUMIFS(survey_frozen!$D$2:$D$251,survey_frozen!$P$2:$P$251,$A33&amp;"|"&amp;$B33),IFERROR(COUNTIFS(INDIRECT("'"&amp;$A33&amp;"'!$B$2:$B$501"),$T33,INDIRECT("'"&amp;$A33&amp;"'!$A$2:$A$501"),"&gt;="&amp;$I33,INDIRECT("'"&amp;$A33&amp;"'!$A$2:$A$501"),"&lt;"&amp;($BA33+1),INDIRECT("'"&amp;$A33&amp;"'!$C$2:$C$501"),"Yes"),0)))</f>
        <v>0</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0</v>
      </c>
      <c r="AS33" s="30" t="n">
        <f aca="true">IF(OR($A33="",$I33=""),"",IF($BC33="Y",SUMIFS(survey_frozen!$G$2:$G$251,survey_frozen!$P$2:$P$251,$A33&amp;"|"&amp;$B33),IFERROR(COUNTIFS(INDIRECT("'"&amp;$A33&amp;"'!$B$2:$B$501"),$T33,INDIRECT("'"&amp;$A33&amp;"'!$A$2:$A$501"),"&gt;="&amp;$I33,INDIRECT("'"&amp;$A33&amp;"'!$A$2:$A$501"),"&lt;"&amp;($BA33+1),INDIRECT("'"&amp;$A33&amp;"'!$F$2:$F$501"),"Gone by the time I looked"),0)))</f>
        <v>0</v>
      </c>
      <c r="AT33" s="30" t="n">
        <f aca="true">IF(OR($A33="",$I33=""),"",IF($BC33="Y",SUMIFS(survey_frozen!$H$2:$H$251,survey_frozen!$P$2:$P$251,$A33&amp;"|"&amp;$B33),IFERROR(COUNTIFS(INDIRECT("'"&amp;$A33&amp;"'!$B$2:$B$501"),$T33,INDIRECT("'"&amp;$A33&amp;"'!$A$2:$A$501"),"&gt;="&amp;$I33,INDIRECT("'"&amp;$A33&amp;"'!$A$2:$A$501"),"&lt;"&amp;($BA33+1),INDIRECT("'"&amp;$A33&amp;"'!$D$2:$D$501"),"&gt;=1"),0)))</f>
        <v>0</v>
      </c>
      <c r="AU33" s="30" t="n">
        <f aca="true">IF(OR($A33="",$I33=""),"",IF($BC33="Y",SUMIFS(survey_frozen!$I$2:$I$251,survey_frozen!$P$2:$P$251,$A33&amp;"|"&amp;$B33),IFERROR(SUMIFS(INDIRECT("'"&amp;$A33&amp;"'!$D$2:$D$501"),INDIRECT("'"&amp;$A33&amp;"'!$B$2:$B$501"),$T33,INDIRECT("'"&amp;$A33&amp;"'!$A$2:$A$501"),"&gt;="&amp;$I33,INDIRECT("'"&amp;$A33&amp;"'!$A$2:$A$501"),"&lt;"&amp;($BA33+1)),0)))</f>
        <v>0</v>
      </c>
      <c r="AV33" s="30" t="n">
        <f aca="true">IF(OR($A33="",$I33=""),"",IF($BC33="Y",SUMIFS(survey_frozen!$J$2:$J$251,survey_frozen!$P$2:$P$251,$A33&amp;"|"&amp;$B33),IFERROR(COUNTIFS(INDIRECT("'"&amp;$A33&amp;"'!$B$2:$B$501"),$T33,INDIRECT("'"&amp;$A33&amp;"'!$A$2:$A$501"),"&gt;="&amp;$I33,INDIRECT("'"&amp;$A33&amp;"'!$A$2:$A$501"),"&lt;"&amp;($BA33+1),INDIRECT("'"&amp;$A33&amp;"'!$E$2:$E$501"),"Yes"),0)))</f>
        <v>0</v>
      </c>
      <c r="AW33" s="30" t="n">
        <f aca="true">IF(OR($A33="",$I33=""),"",IF($BC33="Y",SUMIFS(survey_frozen!$K$2:$K$251,survey_frozen!$P$2:$P$251,$A33&amp;"|"&amp;$B33),IFERROR(COUNTIFS(INDIRECT("'"&amp;$A33&amp;"'!$B$2:$B$501"),$T33,INDIRECT("'"&amp;$A33&amp;"'!$A$2:$A$501"),"&gt;="&amp;$I33,INDIRECT("'"&amp;$A33&amp;"'!$A$2:$A$501"),"&lt;"&amp;($BA33+1),INDIRECT("'"&amp;$A33&amp;"'!$E$2:$E$501"),"Maybe"),0)))</f>
        <v>0</v>
      </c>
      <c r="AX33" s="30" t="n">
        <f aca="true">IF(OR($A33="",$I33=""),"",IF($BC33="Y",SUMIFS(survey_frozen!$L$2:$L$251,survey_frozen!$P$2:$P$251,$A33&amp;"|"&amp;$B33),IFERROR(COUNTIFS(INDIRECT("'"&amp;$A33&amp;"'!$B$2:$B$501"),$T33,INDIRECT("'"&amp;$A33&amp;"'!$A$2:$A$501"),"&gt;="&amp;$I33,INDIRECT("'"&amp;$A33&amp;"'!$A$2:$A$501"),"&lt;"&amp;($BA33+1),INDIRECT("'"&amp;$A33&amp;"'!$E$2:$E$501"),"No"),0)))</f>
        <v>0</v>
      </c>
      <c r="AY33" s="30" t="n">
        <f aca="true">IF(OR($A33="",$I33=""),"",IF($BC33="Y",SUMIFS(survey_frozen!$M$2:$M$251,survey_frozen!$P$2:$P$251,$A33&amp;"|"&amp;$B33),IFERROR(COUNTIFS(INDIRECT("'"&amp;$A33&amp;"'!$B$2:$B$501"),$T33,INDIRECT("'"&amp;$A33&amp;"'!$A$2:$A$501"),"&gt;="&amp;$I33,INDIRECT("'"&amp;$A33&amp;"'!$A$2:$A$501"),"&lt;"&amp;($BA33+1),INDIRECT("'"&amp;$A33&amp;"'!$G$2:$G$501"),"&lt;&gt;"),0)))</f>
        <v>0</v>
      </c>
      <c r="AZ33" s="30" t="str">
        <f aca="false">IF($A33="","",$A33&amp;"|"&amp;$L33)</f>
        <v>SAMPLE-CMP-005|2</v>
      </c>
      <c r="BA33" s="31" t="n">
        <f aca="false">IF($A33="","",IFERROR(IF(INDEX(drops!$R$2:$R$21,MATCH($H33,drops!$A$2:$A$21,0))="","",INDEX(drops!$R$2:$R$21,MATCH($H33,drops!$A$2:$A$21,0))),""))</f>
        <v>46434</v>
      </c>
      <c r="BB33" s="30" t="n">
        <f aca="false">IF(OR($A33="",$Q33&lt;&gt;"Y"),1000000,N($AL33))</f>
        <v>0</v>
      </c>
      <c r="BC33" s="30" t="str">
        <f aca="false">IF($A33="","",IF(COUNTIF(survey_frozen!$P$2:$P$251,$A33&amp;"|"&amp;$B33)&gt;0,"Y",""))</f>
        <v/>
      </c>
    </row>
    <row r="34" customFormat="false" ht="15" hidden="false" customHeight="false" outlineLevel="0" collapsed="false">
      <c r="A34" s="0" t="s">
        <v>507</v>
      </c>
      <c r="B34" s="0" t="s">
        <v>599</v>
      </c>
      <c r="C34" s="11" t="n">
        <v>46395</v>
      </c>
      <c r="D34" s="10" t="s">
        <v>652</v>
      </c>
      <c r="E34" s="11" t="n">
        <v>46398</v>
      </c>
      <c r="F34" s="10" t="s">
        <v>653</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IF($B34="","",IFERROR(IF(INDEX(offices!$N$2:$N$61,MATCH($B34,offices!$A$2:$A$61,0))="","",INDEX(offices!$N$2:$N$61,MATCH($B34,offices!$A$2:$A$61,0))),""))</f>
        <v>SAMPLE Halcyon Media</v>
      </c>
      <c r="L34" s="30" t="n">
        <f aca="false">IF($A34="","",IF($Q34="N","",COUNTIFS($A$2:$A34,$A34,$Q$2:$Q34,"&lt;&gt;N")))</f>
        <v>3</v>
      </c>
      <c r="M34" s="30" t="str">
        <f aca="false">IF(OR($A34="",$L34=""),"",IF(AND(config!$B$34="names_if_public",IFERROR(IF(INDEX(offices!$AF$2:$AF$61,MATCH($B34,offices!$A$2:$A$61,0))="","",INDEX(offices!$AF$2:$AF$61,MATCH($B34,offices!$A$2:$A$61,0))),"")="Y"),$K34,CHAR(64+$L34)))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C$2:$AC$61,MATCH($B34,offices!$A$2:$A$61,0))="","",INDEX(offices!$AC$2:$AC$61,MATCH($B34,offices!$A$2:$A$61,0))),"")&lt;&gt;"",ISNUMBER(SEARCH($J34,IFERROR(IF(INDEX(offices!$AC$2:$AC$61,MATCH($B34,offices!$A$2:$A$61,0))="","",INDEX(offices!$AC$2:$AC$61,MATCH($B34,offices!$A$2:$A$61,0))),"")))),"BRAND VETOED; ","")&amp;IF(ISNUMBER(SEARCH(IFERROR(IF(INDEX(campaigns!$BF$2:$BF$51,MATCH($A34,campaigns!$A$2:$A$51,0))="","",INDEX(campaigns!$BF$2:$BF$51,MATCH($A34,campaigns!$A$2:$A$51,0))),""),IFERROR(IF(INDEX(offices!$AB$2:$AB$61,MATCH($B34,offices!$A$2:$A$61,0))="","",INDEX(offices!$AB$2:$AB$61,MATCH($B34,offices!$A$2:$A$61,0))),""))),"","info: category not on the office's list; ")&amp;IF(IFERROR(IF(INDEX(offices!$AC$2:$AC$61,MATCH($B34,offices!$A$2:$A$61,0))="","",INDEX(offices!$AC$2:$AC$61,MATCH($B34,offices!$A$2:$A$61,0))),"")&lt;&gt;"","info: read the vetoes against the label; ",""))</f>
        <v/>
      </c>
      <c r="S34" s="30" t="n">
        <f aca="false">IF($A34="","",IF($G34&lt;&gt;"",$G34,IFERROR(IF(INDEX(offices!$AL$2:$AL$61,MATCH($B34,offices!$A$2:$A$61,0))="","",INDEX(offices!$AL$2:$AL$61,MATCH($B34,offices!$A$2:$A$61,0))),"")))</f>
        <v>50</v>
      </c>
      <c r="T34" s="30" t="str">
        <f aca="false">IF($A34="","",$A34&amp;"."&amp;$B34)</f>
        <v>SAMPLE-CMP-005.SAMPLE-O-003</v>
      </c>
      <c r="U34" s="30" t="n">
        <f aca="false">IF($A34="","",SUMIFS(inventory!$G$2:$G$801,inventory!$C$2:$C$801,$A34,inventory!$D$2:$D$801,$B34,inventory!$E$2:$E$801,"delivered"))</f>
        <v>0</v>
      </c>
      <c r="V34" s="37" t="str">
        <f aca="false">IF($A34="","",IFERROR(1/(1/SUMPRODUCT(MAX((inventory!$C$2:$C$801=$A34)*(inventory!$D$2:$D$801=$B34)*(inventory!$E$2:$E$801="delivered")*(inventory!$A$2:$A$801+inventory!$B$2:$B$801)))),""))</f>
        <v/>
      </c>
      <c r="W34" s="30" t="str">
        <f aca="false">IF($A34="","",IFERROR(IF(INDEX(inventory!$J$2:$J$801,MATCH($A34&amp;"|"&amp;$B34&amp;"|delivered",inventory!$R$2:$R$801,0))="","",INDEX(inventory!$J$2:$J$801,MATCH($A34&amp;"|"&amp;$B34&amp;"|delivered",inventory!$R$2:$R$801,0))),""))</f>
        <v/>
      </c>
      <c r="X34" s="30" t="str">
        <f aca="false">IF($A34="","",IFERROR(IF(INDEX(photos!$H$2:$H$701,MATCH($A34&amp;"|"&amp;$B34&amp;"|placement|Y",photos!$R$2:$R$701,0))="","",INDEX(photos!$H$2:$H$701,MATCH($A34&amp;"|"&amp;$B34&amp;"|placement|Y",photos!$R$2:$R$701,0))),""))</f>
        <v/>
      </c>
      <c r="Y34" s="31" t="str">
        <f aca="false">IF($A34="","",IFERROR(IF(INDEX(photos!$E$2:$E$701,MATCH($A34&amp;"|"&amp;$B34&amp;"|placement|Y",photos!$R$2:$R$701,0))="","",INDEX(photos!$E$2:$E$701,MATCH($A34&amp;"|"&amp;$B34&amp;"|placement|Y",photos!$R$2:$R$701,0))),""))</f>
        <v/>
      </c>
      <c r="Z34" s="30" t="str">
        <f aca="false">IF($A34="","",IF(COUNTIFS(counts!$C$2:$C$701,$A34,counts!$D$2:$D$701,$B34,counts!$E$2:$E$701,"placed")=0,"",SUMIFS(counts!$F$2:$F$701,counts!$C$2:$C$701,$A34,counts!$D$2:$D$701,$B34,counts!$E$2:$E$701,"placed")))</f>
        <v/>
      </c>
      <c r="AA34" s="30" t="n">
        <f aca="false">IF($A34="","",IF($Y34="",0,N($Z34)))</f>
        <v>0</v>
      </c>
      <c r="AB34" s="30" t="str">
        <f aca="false">IF($A34="","",IF(OR($Y34="",$I34=""),"N",IF($Y34&lt;=WORKDAY(N($I34),1,calendar!$A$2:$A$80),"Y","N")))</f>
        <v>N</v>
      </c>
      <c r="AC34" s="33" t="str">
        <f aca="false">IF(OR($A34="",$V34="",$Y34=""),"",ROUND(($Y34+N(IFERROR(IF(INDEX(photos!$F$2:$F$701,MATCH($A34&amp;"|"&amp;$B34&amp;"|placement|Y",photos!$R$2:$R$701,0))="","",INDEX(photos!$F$2:$F$701,MATCH($A34&amp;"|"&amp;$B34&amp;"|placement|Y",photos!$R$2:$R$701,0))),""))-$V34)*24,1))</f>
        <v/>
      </c>
      <c r="AD34" s="30" t="n">
        <f aca="false">IF($A34="","",SUMIFS(inventory!$G$2:$G$801,inventory!$C$2:$C$801,$A34,inventory!$D$2:$D$801,$B34,inventory!$E$2:$E$801,"topped_up"))</f>
        <v>0</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N</v>
      </c>
      <c r="AL34" s="30" t="n">
        <f aca="true">IF(OR($A34="",$I34=""),"",IF($BC34="Y",SUMIFS(survey_frozen!$C$2:$C$251,survey_frozen!$P$2:$P$251,$A34&amp;"|"&amp;$B34),IFERROR(COUNTIFS(INDIRECT("'"&amp;$A34&amp;"'!$B$2:$B$501"),$T34,INDIRECT("'"&amp;$A34&amp;"'!$A$2:$A$501"),"&gt;="&amp;$I34,INDIRECT("'"&amp;$A34&amp;"'!$A$2:$A$501"),"&lt;"&amp;($BA34+1)),0)))</f>
        <v>0</v>
      </c>
      <c r="AM34" s="30" t="n">
        <f aca="true">IF(OR($A34="",$I34=""),"",IF($BC34="Y",SUMIFS(survey_frozen!$D$2:$D$251,survey_frozen!$P$2:$P$251,$A34&amp;"|"&amp;$B34),IFERROR(COUNTIFS(INDIRECT("'"&amp;$A34&amp;"'!$B$2:$B$501"),$T34,INDIRECT("'"&amp;$A34&amp;"'!$A$2:$A$501"),"&gt;="&amp;$I34,INDIRECT("'"&amp;$A34&amp;"'!$A$2:$A$501"),"&lt;"&amp;($BA34+1),INDIRECT("'"&amp;$A34&amp;"'!$C$2:$C$501"),"Yes"),0)))</f>
        <v>0</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f>
        <v/>
      </c>
      <c r="AQ34" s="30" t="n">
        <f aca="true">IF(OR($A34="",$I34=""),"",IF($BC34="Y",SUMIFS(survey_frozen!$E$2:$E$251,survey_frozen!$P$2:$P$251,$A34&amp;"|"&amp;$B34),IFERROR(COUNTIFS(INDIRECT("'"&amp;$A34&amp;"'!$B$2:$B$501"),$T34,INDIRECT("'"&amp;$A34&amp;"'!$A$2:$A$501"),"&gt;="&amp;$I34,INDIRECT("'"&amp;$A34&amp;"'!$A$2:$A$501"),"&lt;"&amp;($BA34+1),INDIRECT("'"&amp;$A34&amp;"'!$F$2:$F$501"),"Didn't see it"),0)))</f>
        <v>0</v>
      </c>
      <c r="AR34" s="30" t="n">
        <f aca="true">IF(OR($A34="",$I34=""),"",IF($BC34="Y",SUMIFS(survey_frozen!$F$2:$F$251,survey_frozen!$P$2:$P$251,$A34&amp;"|"&amp;$B34),IFERROR(COUNTIFS(INDIRECT("'"&amp;$A34&amp;"'!$B$2:$B$501"),$T34,INDIRECT("'"&amp;$A34&amp;"'!$A$2:$A$501"),"&gt;="&amp;$I34,INDIRECT("'"&amp;$A34&amp;"'!$A$2:$A$501"),"&lt;"&amp;($BA34+1),INDIRECT("'"&amp;$A34&amp;"'!$F$2:$F$501"),"Not for me"),0)))</f>
        <v>0</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0</v>
      </c>
      <c r="AU34" s="30" t="n">
        <f aca="true">IF(OR($A34="",$I34=""),"",IF($BC34="Y",SUMIFS(survey_frozen!$I$2:$I$251,survey_frozen!$P$2:$P$251,$A34&amp;"|"&amp;$B34),IFERROR(SUMIFS(INDIRECT("'"&amp;$A34&amp;"'!$D$2:$D$501"),INDIRECT("'"&amp;$A34&amp;"'!$B$2:$B$501"),$T34,INDIRECT("'"&amp;$A34&amp;"'!$A$2:$A$501"),"&gt;="&amp;$I34,INDIRECT("'"&amp;$A34&amp;"'!$A$2:$A$501"),"&lt;"&amp;($BA34+1)),0)))</f>
        <v>0</v>
      </c>
      <c r="AV34" s="30" t="n">
        <f aca="true">IF(OR($A34="",$I34=""),"",IF($BC34="Y",SUMIFS(survey_frozen!$J$2:$J$251,survey_frozen!$P$2:$P$251,$A34&amp;"|"&amp;$B34),IFERROR(COUNTIFS(INDIRECT("'"&amp;$A34&amp;"'!$B$2:$B$501"),$T34,INDIRECT("'"&amp;$A34&amp;"'!$A$2:$A$501"),"&gt;="&amp;$I34,INDIRECT("'"&amp;$A34&amp;"'!$A$2:$A$501"),"&lt;"&amp;($BA34+1),INDIRECT("'"&amp;$A34&amp;"'!$E$2:$E$501"),"Yes"),0)))</f>
        <v>0</v>
      </c>
      <c r="AW34" s="30" t="n">
        <f aca="true">IF(OR($A34="",$I34=""),"",IF($BC34="Y",SUMIFS(survey_frozen!$K$2:$K$251,survey_frozen!$P$2:$P$251,$A34&amp;"|"&amp;$B34),IFERROR(COUNTIFS(INDIRECT("'"&amp;$A34&amp;"'!$B$2:$B$501"),$T34,INDIRECT("'"&amp;$A34&amp;"'!$A$2:$A$501"),"&gt;="&amp;$I34,INDIRECT("'"&amp;$A34&amp;"'!$A$2:$A$501"),"&lt;"&amp;($BA34+1),INDIRECT("'"&amp;$A34&amp;"'!$E$2:$E$501"),"Maybe"),0)))</f>
        <v>0</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0</v>
      </c>
      <c r="AZ34" s="30" t="str">
        <f aca="false">IF($A34="","",$A34&amp;"|"&amp;$L34)</f>
        <v>SAMPLE-CMP-005|3</v>
      </c>
      <c r="BA34" s="31" t="n">
        <f aca="false">IF($A34="","",IFERROR(IF(INDEX(drops!$R$2:$R$21,MATCH($H34,drops!$A$2:$A$21,0))="","",INDEX(drops!$R$2:$R$21,MATCH($H34,drops!$A$2:$A$21,0))),""))</f>
        <v>46434</v>
      </c>
      <c r="BB34" s="30" t="n">
        <f aca="false">IF(OR($A34="",$Q34&lt;&gt;"Y"),1000000,N($AL34))</f>
        <v>0</v>
      </c>
      <c r="BC34" s="30" t="str">
        <f aca="false">IF($A34="","",IF(COUNTIF(survey_frozen!$P$2:$P$251,$A34&amp;"|"&amp;$B34)&gt;0,"Y",""))</f>
        <v/>
      </c>
    </row>
    <row r="35" customFormat="false" ht="15" hidden="false" customHeight="false" outlineLevel="0" collapsed="false">
      <c r="A35" s="0" t="s">
        <v>507</v>
      </c>
      <c r="B35" s="0" t="s">
        <v>602</v>
      </c>
      <c r="C35" s="11" t="n">
        <v>46395</v>
      </c>
      <c r="D35" s="10" t="s">
        <v>652</v>
      </c>
      <c r="E35" s="11" t="n">
        <v>46396</v>
      </c>
      <c r="F35" s="10" t="s">
        <v>653</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IF($B35="","",IFERROR(IF(INDEX(offices!$N$2:$N$61,MATCH($B35,offices!$A$2:$A$61,0))="","",INDEX(offices!$N$2:$N$61,MATCH($B35,offices!$A$2:$A$61,0))),""))</f>
        <v>SAMPLE Union Food Fund</v>
      </c>
      <c r="L35" s="30" t="n">
        <f aca="false">IF($A35="","",IF($Q35="N","",COUNTIFS($A$2:$A35,$A35,$Q$2:$Q35,"&lt;&gt;N")))</f>
        <v>4</v>
      </c>
      <c r="M35" s="30" t="str">
        <f aca="false">IF(OR($A35="",$L35=""),"",IF(AND(config!$B$34="names_if_public",IFERROR(IF(INDEX(offices!$AF$2:$AF$61,MATCH($B35,offices!$A$2:$A$61,0))="","",INDEX(offices!$AF$2:$AF$61,MATCH($B35,offices!$A$2:$A$61,0))),"")="Y"),$K35,CHAR(64+$L35)))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C$2:$AC$61,MATCH($B35,offices!$A$2:$A$61,0))="","",INDEX(offices!$AC$2:$AC$61,MATCH($B35,offices!$A$2:$A$61,0))),"")&lt;&gt;"",ISNUMBER(SEARCH($J35,IFERROR(IF(INDEX(offices!$AC$2:$AC$61,MATCH($B35,offices!$A$2:$A$61,0))="","",INDEX(offices!$AC$2:$AC$61,MATCH($B35,offices!$A$2:$A$61,0))),"")))),"BRAND VETOED; ","")&amp;IF(ISNUMBER(SEARCH(IFERROR(IF(INDEX(campaigns!$BF$2:$BF$51,MATCH($A35,campaigns!$A$2:$A$51,0))="","",INDEX(campaigns!$BF$2:$BF$51,MATCH($A35,campaigns!$A$2:$A$51,0))),""),IFERROR(IF(INDEX(offices!$AB$2:$AB$61,MATCH($B35,offices!$A$2:$A$61,0))="","",INDEX(offices!$AB$2:$AB$61,MATCH($B35,offices!$A$2:$A$61,0))),""))),"","info: category not on the office's list; ")&amp;IF(IFERROR(IF(INDEX(offices!$AC$2:$AC$61,MATCH($B35,offices!$A$2:$A$61,0))="","",INDEX(offices!$AC$2:$AC$61,MATCH($B35,offices!$A$2:$A$61,0))),"")&lt;&gt;"","info: read the vetoes against the label; ",""))</f>
        <v/>
      </c>
      <c r="S35" s="30" t="n">
        <f aca="false">IF($A35="","",IF($G35&lt;&gt;"",$G35,IFERROR(IF(INDEX(offices!$AL$2:$AL$61,MATCH($B35,offices!$A$2:$A$61,0))="","",INDEX(offices!$AL$2:$AL$61,MATCH($B35,offices!$A$2:$A$61,0))),"")))</f>
        <v>50</v>
      </c>
      <c r="T35" s="30" t="str">
        <f aca="false">IF($A35="","",$A35&amp;"."&amp;$B35)</f>
        <v>SAMPLE-CMP-005.SAMPLE-O-004</v>
      </c>
      <c r="U35" s="30" t="n">
        <f aca="false">IF($A35="","",SUMIFS(inventory!$G$2:$G$801,inventory!$C$2:$C$801,$A35,inventory!$D$2:$D$801,$B35,inventory!$E$2:$E$801,"delivered"))</f>
        <v>0</v>
      </c>
      <c r="V35" s="37" t="str">
        <f aca="false">IF($A35="","",IFERROR(1/(1/SUMPRODUCT(MAX((inventory!$C$2:$C$801=$A35)*(inventory!$D$2:$D$801=$B35)*(inventory!$E$2:$E$801="delivered")*(inventory!$A$2:$A$801+inventory!$B$2:$B$801)))),""))</f>
        <v/>
      </c>
      <c r="W35" s="30" t="str">
        <f aca="false">IF($A35="","",IFERROR(IF(INDEX(inventory!$J$2:$J$801,MATCH($A35&amp;"|"&amp;$B35&amp;"|delivered",inventory!$R$2:$R$801,0))="","",INDEX(inventory!$J$2:$J$801,MATCH($A35&amp;"|"&amp;$B35&amp;"|delivered",inventory!$R$2:$R$801,0))),""))</f>
        <v/>
      </c>
      <c r="X35" s="30" t="str">
        <f aca="false">IF($A35="","",IFERROR(IF(INDEX(photos!$H$2:$H$701,MATCH($A35&amp;"|"&amp;$B35&amp;"|placement|Y",photos!$R$2:$R$701,0))="","",INDEX(photos!$H$2:$H$701,MATCH($A35&amp;"|"&amp;$B35&amp;"|placement|Y",photos!$R$2:$R$701,0))),""))</f>
        <v/>
      </c>
      <c r="Y35" s="31" t="str">
        <f aca="false">IF($A35="","",IFERROR(IF(INDEX(photos!$E$2:$E$701,MATCH($A35&amp;"|"&amp;$B35&amp;"|placement|Y",photos!$R$2:$R$701,0))="","",INDEX(photos!$E$2:$E$701,MATCH($A35&amp;"|"&amp;$B35&amp;"|placement|Y",photos!$R$2:$R$701,0))),""))</f>
        <v/>
      </c>
      <c r="Z35" s="30" t="str">
        <f aca="false">IF($A35="","",IF(COUNTIFS(counts!$C$2:$C$701,$A35,counts!$D$2:$D$701,$B35,counts!$E$2:$E$701,"placed")=0,"",SUMIFS(counts!$F$2:$F$701,counts!$C$2:$C$701,$A35,counts!$D$2:$D$701,$B35,counts!$E$2:$E$701,"placed")))</f>
        <v/>
      </c>
      <c r="AA35" s="30" t="n">
        <f aca="false">IF($A35="","",IF($Y35="",0,N($Z35)))</f>
        <v>0</v>
      </c>
      <c r="AB35" s="30" t="str">
        <f aca="false">IF($A35="","",IF(OR($Y35="",$I35=""),"N",IF($Y35&lt;=WORKDAY(N($I35),1,calendar!$A$2:$A$80),"Y","N")))</f>
        <v>N</v>
      </c>
      <c r="AC35" s="33" t="str">
        <f aca="false">IF(OR($A35="",$V35="",$Y35=""),"",ROUND(($Y35+N(IFERROR(IF(INDEX(photos!$F$2:$F$701,MATCH($A35&amp;"|"&amp;$B35&amp;"|placement|Y",photos!$R$2:$R$701,0))="","",INDEX(photos!$F$2:$F$701,MATCH($A35&amp;"|"&amp;$B35&amp;"|placement|Y",photos!$R$2:$R$701,0))),""))-$V35)*24,1))</f>
        <v/>
      </c>
      <c r="AD35" s="30" t="n">
        <f aca="false">IF($A35="","",SUMIFS(inventory!$G$2:$G$801,inventory!$C$2:$C$801,$A35,inventory!$D$2:$D$801,$B35,inventory!$E$2:$E$801,"topped_up"))</f>
        <v>0</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N</v>
      </c>
      <c r="AL35" s="30" t="n">
        <f aca="true">IF(OR($A35="",$I35=""),"",IF($BC35="Y",SUMIFS(survey_frozen!$C$2:$C$251,survey_frozen!$P$2:$P$251,$A35&amp;"|"&amp;$B35),IFERROR(COUNTIFS(INDIRECT("'"&amp;$A35&amp;"'!$B$2:$B$501"),$T35,INDIRECT("'"&amp;$A35&amp;"'!$A$2:$A$501"),"&gt;="&amp;$I35,INDIRECT("'"&amp;$A35&amp;"'!$A$2:$A$501"),"&lt;"&amp;($BA35+1)),0)))</f>
        <v>0</v>
      </c>
      <c r="AM35" s="30" t="n">
        <f aca="true">IF(OR($A35="",$I35=""),"",IF($BC35="Y",SUMIFS(survey_frozen!$D$2:$D$251,survey_frozen!$P$2:$P$251,$A35&amp;"|"&amp;$B35),IFERROR(COUNTIFS(INDIRECT("'"&amp;$A35&amp;"'!$B$2:$B$501"),$T35,INDIRECT("'"&amp;$A35&amp;"'!$A$2:$A$501"),"&gt;="&amp;$I35,INDIRECT("'"&amp;$A35&amp;"'!$A$2:$A$501"),"&lt;"&amp;($BA35+1),INDIRECT("'"&amp;$A35&amp;"'!$C$2:$C$501"),"Yes"),0)))</f>
        <v>0</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f>
        <v/>
      </c>
      <c r="AQ35" s="30" t="n">
        <f aca="true">IF(OR($A35="",$I35=""),"",IF($BC35="Y",SUMIFS(survey_frozen!$E$2:$E$251,survey_frozen!$P$2:$P$251,$A35&amp;"|"&amp;$B35),IFERROR(COUNTIFS(INDIRECT("'"&amp;$A35&amp;"'!$B$2:$B$501"),$T35,INDIRECT("'"&amp;$A35&amp;"'!$A$2:$A$501"),"&gt;="&amp;$I35,INDIRECT("'"&amp;$A35&amp;"'!$A$2:$A$501"),"&lt;"&amp;($BA35+1),INDIRECT("'"&amp;$A35&amp;"'!$F$2:$F$501"),"Didn't see it"),0)))</f>
        <v>0</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0</v>
      </c>
      <c r="AT35" s="30" t="n">
        <f aca="true">IF(OR($A35="",$I35=""),"",IF($BC35="Y",SUMIFS(survey_frozen!$H$2:$H$251,survey_frozen!$P$2:$P$251,$A35&amp;"|"&amp;$B35),IFERROR(COUNTIFS(INDIRECT("'"&amp;$A35&amp;"'!$B$2:$B$501"),$T35,INDIRECT("'"&amp;$A35&amp;"'!$A$2:$A$501"),"&gt;="&amp;$I35,INDIRECT("'"&amp;$A35&amp;"'!$A$2:$A$501"),"&lt;"&amp;($BA35+1),INDIRECT("'"&amp;$A35&amp;"'!$D$2:$D$501"),"&gt;=1"),0)))</f>
        <v>0</v>
      </c>
      <c r="AU35" s="30" t="n">
        <f aca="true">IF(OR($A35="",$I35=""),"",IF($BC35="Y",SUMIFS(survey_frozen!$I$2:$I$251,survey_frozen!$P$2:$P$251,$A35&amp;"|"&amp;$B35),IFERROR(SUMIFS(INDIRECT("'"&amp;$A35&amp;"'!$D$2:$D$501"),INDIRECT("'"&amp;$A35&amp;"'!$B$2:$B$501"),$T35,INDIRECT("'"&amp;$A35&amp;"'!$A$2:$A$501"),"&gt;="&amp;$I35,INDIRECT("'"&amp;$A35&amp;"'!$A$2:$A$501"),"&lt;"&amp;($BA35+1)),0)))</f>
        <v>0</v>
      </c>
      <c r="AV35" s="30" t="n">
        <f aca="true">IF(OR($A35="",$I35=""),"",IF($BC35="Y",SUMIFS(survey_frozen!$J$2:$J$251,survey_frozen!$P$2:$P$251,$A35&amp;"|"&amp;$B35),IFERROR(COUNTIFS(INDIRECT("'"&amp;$A35&amp;"'!$B$2:$B$501"),$T35,INDIRECT("'"&amp;$A35&amp;"'!$A$2:$A$501"),"&gt;="&amp;$I35,INDIRECT("'"&amp;$A35&amp;"'!$A$2:$A$501"),"&lt;"&amp;($BA35+1),INDIRECT("'"&amp;$A35&amp;"'!$E$2:$E$501"),"Yes"),0)))</f>
        <v>0</v>
      </c>
      <c r="AW35" s="30" t="n">
        <f aca="true">IF(OR($A35="",$I35=""),"",IF($BC35="Y",SUMIFS(survey_frozen!$K$2:$K$251,survey_frozen!$P$2:$P$251,$A35&amp;"|"&amp;$B35),IFERROR(COUNTIFS(INDIRECT("'"&amp;$A35&amp;"'!$B$2:$B$501"),$T35,INDIRECT("'"&amp;$A35&amp;"'!$A$2:$A$501"),"&gt;="&amp;$I35,INDIRECT("'"&amp;$A35&amp;"'!$A$2:$A$501"),"&lt;"&amp;($BA35+1),INDIRECT("'"&amp;$A35&amp;"'!$E$2:$E$501"),"Maybe"),0)))</f>
        <v>0</v>
      </c>
      <c r="AX35" s="30" t="n">
        <f aca="true">IF(OR($A35="",$I35=""),"",IF($BC35="Y",SUMIFS(survey_frozen!$L$2:$L$251,survey_frozen!$P$2:$P$251,$A35&amp;"|"&amp;$B35),IFERROR(COUNTIFS(INDIRECT("'"&amp;$A35&amp;"'!$B$2:$B$501"),$T35,INDIRECT("'"&amp;$A35&amp;"'!$A$2:$A$501"),"&gt;="&amp;$I35,INDIRECT("'"&amp;$A35&amp;"'!$A$2:$A$501"),"&lt;"&amp;($BA35+1),INDIRECT("'"&amp;$A35&amp;"'!$E$2:$E$501"),"No"),0)))</f>
        <v>0</v>
      </c>
      <c r="AY35" s="30" t="n">
        <f aca="true">IF(OR($A35="",$I35=""),"",IF($BC35="Y",SUMIFS(survey_frozen!$M$2:$M$251,survey_frozen!$P$2:$P$251,$A35&amp;"|"&amp;$B35),IFERROR(COUNTIFS(INDIRECT("'"&amp;$A35&amp;"'!$B$2:$B$501"),$T35,INDIRECT("'"&amp;$A35&amp;"'!$A$2:$A$501"),"&gt;="&amp;$I35,INDIRECT("'"&amp;$A35&amp;"'!$A$2:$A$501"),"&lt;"&amp;($BA35+1),INDIRECT("'"&amp;$A35&amp;"'!$G$2:$G$501"),"&lt;&gt;"),0)))</f>
        <v>0</v>
      </c>
      <c r="AZ35" s="30" t="str">
        <f aca="false">IF($A35="","",$A35&amp;"|"&amp;$L35)</f>
        <v>SAMPLE-CMP-005|4</v>
      </c>
      <c r="BA35" s="31" t="n">
        <f aca="false">IF($A35="","",IFERROR(IF(INDEX(drops!$R$2:$R$21,MATCH($H35,drops!$A$2:$A$21,0))="","",INDEX(drops!$R$2:$R$21,MATCH($H35,drops!$A$2:$A$21,0))),""))</f>
        <v>46434</v>
      </c>
      <c r="BB35" s="30" t="n">
        <f aca="false">IF(OR($A35="",$Q35&lt;&gt;"Y"),1000000,N($AL35))</f>
        <v>0</v>
      </c>
      <c r="BC35" s="30" t="str">
        <f aca="false">IF($A35="","",IF(COUNTIF(survey_frozen!$P$2:$P$251,$A35&amp;"|"&amp;$B35)&gt;0,"Y",""))</f>
        <v/>
      </c>
    </row>
    <row r="36" customFormat="false" ht="15" hidden="false" customHeight="false" outlineLevel="0" collapsed="false">
      <c r="A36" s="0" t="s">
        <v>507</v>
      </c>
      <c r="B36" s="0" t="s">
        <v>604</v>
      </c>
      <c r="C36" s="11" t="n">
        <v>46395</v>
      </c>
      <c r="D36" s="10" t="s">
        <v>652</v>
      </c>
      <c r="E36" s="11" t="n">
        <v>46397</v>
      </c>
      <c r="F36" s="10" t="s">
        <v>653</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IF($B36="","",IFERROR(IF(INDEX(offices!$N$2:$N$61,MATCH($B36,offices!$A$2:$A$61,0))="","",INDEX(offices!$N$2:$N$61,MATCH($B36,offices!$A$2:$A$61,0))),""))</f>
        <v>SAMPLE Studio Marlow</v>
      </c>
      <c r="L36" s="30" t="n">
        <f aca="false">IF($A36="","",IF($Q36="N","",COUNTIFS($A$2:$A36,$A36,$Q$2:$Q36,"&lt;&gt;N")))</f>
        <v>5</v>
      </c>
      <c r="M36" s="30" t="str">
        <f aca="false">IF(OR($A36="",$L36=""),"",IF(AND(config!$B$34="names_if_public",IFERROR(IF(INDEX(offices!$AF$2:$AF$61,MATCH($B36,offices!$A$2:$A$61,0))="","",INDEX(offices!$AF$2:$AF$61,MATCH($B36,offices!$A$2:$A$61,0))),"")="Y"),$K36,CHAR(64+$L36)))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C$2:$AC$61,MATCH($B36,offices!$A$2:$A$61,0))="","",INDEX(offices!$AC$2:$AC$61,MATCH($B36,offices!$A$2:$A$61,0))),"")&lt;&gt;"",ISNUMBER(SEARCH($J36,IFERROR(IF(INDEX(offices!$AC$2:$AC$61,MATCH($B36,offices!$A$2:$A$61,0))="","",INDEX(offices!$AC$2:$AC$61,MATCH($B36,offices!$A$2:$A$61,0))),"")))),"BRAND VETOED; ","")&amp;IF(ISNUMBER(SEARCH(IFERROR(IF(INDEX(campaigns!$BF$2:$BF$51,MATCH($A36,campaigns!$A$2:$A$51,0))="","",INDEX(campaigns!$BF$2:$BF$51,MATCH($A36,campaigns!$A$2:$A$51,0))),""),IFERROR(IF(INDEX(offices!$AB$2:$AB$61,MATCH($B36,offices!$A$2:$A$61,0))="","",INDEX(offices!$AB$2:$AB$61,MATCH($B36,offices!$A$2:$A$61,0))),""))),"","info: category not on the office's list; ")&amp;IF(IFERROR(IF(INDEX(offices!$AC$2:$AC$61,MATCH($B36,offices!$A$2:$A$61,0))="","",INDEX(offices!$AC$2:$AC$61,MATCH($B36,offices!$A$2:$A$61,0))),"")&lt;&gt;"","info: read the vetoes against the label; ",""))</f>
        <v/>
      </c>
      <c r="S36" s="30" t="n">
        <f aca="false">IF($A36="","",IF($G36&lt;&gt;"",$G36,IFERROR(IF(INDEX(offices!$AL$2:$AL$61,MATCH($B36,offices!$A$2:$A$61,0))="","",INDEX(offices!$AL$2:$AL$61,MATCH($B36,offices!$A$2:$A$61,0))),"")))</f>
        <v>70</v>
      </c>
      <c r="T36" s="30" t="str">
        <f aca="false">IF($A36="","",$A36&amp;"."&amp;$B36)</f>
        <v>SAMPLE-CMP-005.SAMPLE-O-005</v>
      </c>
      <c r="U36" s="30" t="n">
        <f aca="false">IF($A36="","",SUMIFS(inventory!$G$2:$G$801,inventory!$C$2:$C$801,$A36,inventory!$D$2:$D$801,$B36,inventory!$E$2:$E$801,"delivered"))</f>
        <v>0</v>
      </c>
      <c r="V36" s="37" t="str">
        <f aca="false">IF($A36="","",IFERROR(1/(1/SUMPRODUCT(MAX((inventory!$C$2:$C$801=$A36)*(inventory!$D$2:$D$801=$B36)*(inventory!$E$2:$E$801="delivered")*(inventory!$A$2:$A$801+inventory!$B$2:$B$801)))),""))</f>
        <v/>
      </c>
      <c r="W36" s="30" t="str">
        <f aca="false">IF($A36="","",IFERROR(IF(INDEX(inventory!$J$2:$J$801,MATCH($A36&amp;"|"&amp;$B36&amp;"|delivered",inventory!$R$2:$R$801,0))="","",INDEX(inventory!$J$2:$J$801,MATCH($A36&amp;"|"&amp;$B36&amp;"|delivered",inventory!$R$2:$R$801,0))),""))</f>
        <v/>
      </c>
      <c r="X36" s="30" t="str">
        <f aca="false">IF($A36="","",IFERROR(IF(INDEX(photos!$H$2:$H$701,MATCH($A36&amp;"|"&amp;$B36&amp;"|placement|Y",photos!$R$2:$R$701,0))="","",INDEX(photos!$H$2:$H$701,MATCH($A36&amp;"|"&amp;$B36&amp;"|placement|Y",photos!$R$2:$R$701,0))),""))</f>
        <v/>
      </c>
      <c r="Y36" s="31" t="str">
        <f aca="false">IF($A36="","",IFERROR(IF(INDEX(photos!$E$2:$E$701,MATCH($A36&amp;"|"&amp;$B36&amp;"|placement|Y",photos!$R$2:$R$701,0))="","",INDEX(photos!$E$2:$E$701,MATCH($A36&amp;"|"&amp;$B36&amp;"|placement|Y",photos!$R$2:$R$701,0))),""))</f>
        <v/>
      </c>
      <c r="Z36" s="30" t="str">
        <f aca="false">IF($A36="","",IF(COUNTIFS(counts!$C$2:$C$701,$A36,counts!$D$2:$D$701,$B36,counts!$E$2:$E$701,"placed")=0,"",SUMIFS(counts!$F$2:$F$701,counts!$C$2:$C$701,$A36,counts!$D$2:$D$701,$B36,counts!$E$2:$E$701,"placed")))</f>
        <v/>
      </c>
      <c r="AA36" s="30" t="n">
        <f aca="false">IF($A36="","",IF($Y36="",0,N($Z36)))</f>
        <v>0</v>
      </c>
      <c r="AB36" s="30" t="str">
        <f aca="false">IF($A36="","",IF(OR($Y36="",$I36=""),"N",IF($Y36&lt;=WORKDAY(N($I36),1,calendar!$A$2:$A$80),"Y","N")))</f>
        <v>N</v>
      </c>
      <c r="AC36" s="33" t="str">
        <f aca="false">IF(OR($A36="",$V36="",$Y36=""),"",ROUND(($Y36+N(IFERROR(IF(INDEX(photos!$F$2:$F$701,MATCH($A36&amp;"|"&amp;$B36&amp;"|placement|Y",photos!$R$2:$R$701,0))="","",INDEX(photos!$F$2:$F$701,MATCH($A36&amp;"|"&amp;$B36&amp;"|placement|Y",photos!$R$2:$R$701,0))),""))-$V36)*24,1))</f>
        <v/>
      </c>
      <c r="AD36" s="30" t="n">
        <f aca="false">IF($A36="","",SUMIFS(inventory!$G$2:$G$801,inventory!$C$2:$C$801,$A36,inventory!$D$2:$D$801,$B36,inventory!$E$2:$E$801,"topped_up"))</f>
        <v>0</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N</v>
      </c>
      <c r="AL36" s="30" t="n">
        <f aca="true">IF(OR($A36="",$I36=""),"",IF($BC36="Y",SUMIFS(survey_frozen!$C$2:$C$251,survey_frozen!$P$2:$P$251,$A36&amp;"|"&amp;$B36),IFERROR(COUNTIFS(INDIRECT("'"&amp;$A36&amp;"'!$B$2:$B$501"),$T36,INDIRECT("'"&amp;$A36&amp;"'!$A$2:$A$501"),"&gt;="&amp;$I36,INDIRECT("'"&amp;$A36&amp;"'!$A$2:$A$501"),"&lt;"&amp;($BA36+1)),0)))</f>
        <v>0</v>
      </c>
      <c r="AM36" s="30" t="n">
        <f aca="true">IF(OR($A36="",$I36=""),"",IF($BC36="Y",SUMIFS(survey_frozen!$D$2:$D$251,survey_frozen!$P$2:$P$251,$A36&amp;"|"&amp;$B36),IFERROR(COUNTIFS(INDIRECT("'"&amp;$A36&amp;"'!$B$2:$B$501"),$T36,INDIRECT("'"&amp;$A36&amp;"'!$A$2:$A$501"),"&gt;="&amp;$I36,INDIRECT("'"&amp;$A36&amp;"'!$A$2:$A$501"),"&lt;"&amp;($BA36+1),INDIRECT("'"&amp;$A36&amp;"'!$C$2:$C$501"),"Yes"),0)))</f>
        <v>0</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0</v>
      </c>
      <c r="AS36" s="30" t="n">
        <f aca="true">IF(OR($A36="",$I36=""),"",IF($BC36="Y",SUMIFS(survey_frozen!$G$2:$G$251,survey_frozen!$P$2:$P$251,$A36&amp;"|"&amp;$B36),IFERROR(COUNTIFS(INDIRECT("'"&amp;$A36&amp;"'!$B$2:$B$501"),$T36,INDIRECT("'"&amp;$A36&amp;"'!$A$2:$A$501"),"&gt;="&amp;$I36,INDIRECT("'"&amp;$A36&amp;"'!$A$2:$A$501"),"&lt;"&amp;($BA36+1),INDIRECT("'"&amp;$A36&amp;"'!$F$2:$F$501"),"Gone by the time I looked"),0)))</f>
        <v>0</v>
      </c>
      <c r="AT36" s="30" t="n">
        <f aca="true">IF(OR($A36="",$I36=""),"",IF($BC36="Y",SUMIFS(survey_frozen!$H$2:$H$251,survey_frozen!$P$2:$P$251,$A36&amp;"|"&amp;$B36),IFERROR(COUNTIFS(INDIRECT("'"&amp;$A36&amp;"'!$B$2:$B$501"),$T36,INDIRECT("'"&amp;$A36&amp;"'!$A$2:$A$501"),"&gt;="&amp;$I36,INDIRECT("'"&amp;$A36&amp;"'!$A$2:$A$501"),"&lt;"&amp;($BA36+1),INDIRECT("'"&amp;$A36&amp;"'!$D$2:$D$501"),"&gt;=1"),0)))</f>
        <v>0</v>
      </c>
      <c r="AU36" s="30" t="n">
        <f aca="true">IF(OR($A36="",$I36=""),"",IF($BC36="Y",SUMIFS(survey_frozen!$I$2:$I$251,survey_frozen!$P$2:$P$251,$A36&amp;"|"&amp;$B36),IFERROR(SUMIFS(INDIRECT("'"&amp;$A36&amp;"'!$D$2:$D$501"),INDIRECT("'"&amp;$A36&amp;"'!$B$2:$B$501"),$T36,INDIRECT("'"&amp;$A36&amp;"'!$A$2:$A$501"),"&gt;="&amp;$I36,INDIRECT("'"&amp;$A36&amp;"'!$A$2:$A$501"),"&lt;"&amp;($BA36+1)),0)))</f>
        <v>0</v>
      </c>
      <c r="AV36" s="30" t="n">
        <f aca="true">IF(OR($A36="",$I36=""),"",IF($BC36="Y",SUMIFS(survey_frozen!$J$2:$J$251,survey_frozen!$P$2:$P$251,$A36&amp;"|"&amp;$B36),IFERROR(COUNTIFS(INDIRECT("'"&amp;$A36&amp;"'!$B$2:$B$501"),$T36,INDIRECT("'"&amp;$A36&amp;"'!$A$2:$A$501"),"&gt;="&amp;$I36,INDIRECT("'"&amp;$A36&amp;"'!$A$2:$A$501"),"&lt;"&amp;($BA36+1),INDIRECT("'"&amp;$A36&amp;"'!$E$2:$E$501"),"Yes"),0)))</f>
        <v>0</v>
      </c>
      <c r="AW36" s="30" t="n">
        <f aca="true">IF(OR($A36="",$I36=""),"",IF($BC36="Y",SUMIFS(survey_frozen!$K$2:$K$251,survey_frozen!$P$2:$P$251,$A36&amp;"|"&amp;$B36),IFERROR(COUNTIFS(INDIRECT("'"&amp;$A36&amp;"'!$B$2:$B$501"),$T36,INDIRECT("'"&amp;$A36&amp;"'!$A$2:$A$501"),"&gt;="&amp;$I36,INDIRECT("'"&amp;$A36&amp;"'!$A$2:$A$501"),"&lt;"&amp;($BA36+1),INDIRECT("'"&amp;$A36&amp;"'!$E$2:$E$501"),"Maybe"),0)))</f>
        <v>0</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0</v>
      </c>
      <c r="AZ36" s="30" t="str">
        <f aca="false">IF($A36="","",$A36&amp;"|"&amp;$L36)</f>
        <v>SAMPLE-CMP-005|5</v>
      </c>
      <c r="BA36" s="31" t="n">
        <f aca="false">IF($A36="","",IFERROR(IF(INDEX(drops!$R$2:$R$21,MATCH($H36,drops!$A$2:$A$21,0))="","",INDEX(drops!$R$2:$R$21,MATCH($H36,drops!$A$2:$A$21,0))),""))</f>
        <v>46434</v>
      </c>
      <c r="BB36" s="30" t="n">
        <f aca="false">IF(OR($A36="",$Q36&lt;&gt;"Y"),1000000,N($AL36))</f>
        <v>0</v>
      </c>
      <c r="BC36" s="30" t="str">
        <f aca="false">IF($A36="","",IF(COUNTIF(survey_frozen!$P$2:$P$251,$A36&amp;"|"&amp;$B36)&gt;0,"Y",""))</f>
        <v/>
      </c>
    </row>
    <row r="37" customFormat="false" ht="15" hidden="false" customHeight="false" outlineLevel="0" collapsed="false">
      <c r="A37" s="0" t="s">
        <v>507</v>
      </c>
      <c r="B37" s="0" t="s">
        <v>606</v>
      </c>
      <c r="C37" s="11" t="n">
        <v>46395</v>
      </c>
      <c r="D37" s="10" t="s">
        <v>652</v>
      </c>
      <c r="E37" s="11" t="n">
        <v>46398</v>
      </c>
      <c r="F37" s="10" t="s">
        <v>653</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IF($B37="","",IFERROR(IF(INDEX(offices!$N$2:$N$61,MATCH($B37,offices!$A$2:$A$61,0))="","",INDEX(offices!$N$2:$N$61,MATCH($B37,offices!$A$2:$A$61,0))),""))</f>
        <v>SAMPLE Kestrel Analytics</v>
      </c>
      <c r="L37" s="30" t="n">
        <f aca="false">IF($A37="","",IF($Q37="N","",COUNTIFS($A$2:$A37,$A37,$Q$2:$Q37,"&lt;&gt;N")))</f>
        <v>6</v>
      </c>
      <c r="M37" s="30" t="str">
        <f aca="false">IF(OR($A37="",$L37=""),"",IF(AND(config!$B$34="names_if_public",IFERROR(IF(INDEX(offices!$AF$2:$AF$61,MATCH($B37,offices!$A$2:$A$61,0))="","",INDEX(offices!$AF$2:$AF$61,MATCH($B37,offices!$A$2:$A$61,0))),"")="Y"),$K37,CHAR(64+$L37)))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C$2:$AC$61,MATCH($B37,offices!$A$2:$A$61,0))="","",INDEX(offices!$AC$2:$AC$61,MATCH($B37,offices!$A$2:$A$61,0))),"")&lt;&gt;"",ISNUMBER(SEARCH($J37,IFERROR(IF(INDEX(offices!$AC$2:$AC$61,MATCH($B37,offices!$A$2:$A$61,0))="","",INDEX(offices!$AC$2:$AC$61,MATCH($B37,offices!$A$2:$A$61,0))),"")))),"BRAND VETOED; ","")&amp;IF(ISNUMBER(SEARCH(IFERROR(IF(INDEX(campaigns!$BF$2:$BF$51,MATCH($A37,campaigns!$A$2:$A$51,0))="","",INDEX(campaigns!$BF$2:$BF$51,MATCH($A37,campaigns!$A$2:$A$51,0))),""),IFERROR(IF(INDEX(offices!$AB$2:$AB$61,MATCH($B37,offices!$A$2:$A$61,0))="","",INDEX(offices!$AB$2:$AB$61,MATCH($B37,offices!$A$2:$A$61,0))),""))),"","info: category not on the office's list; ")&amp;IF(IFERROR(IF(INDEX(offices!$AC$2:$AC$61,MATCH($B37,offices!$A$2:$A$61,0))="","",INDEX(offices!$AC$2:$AC$61,MATCH($B37,offices!$A$2:$A$61,0))),"")&lt;&gt;"","info: read the vetoes against the label; ",""))</f>
        <v/>
      </c>
      <c r="S37" s="30" t="n">
        <f aca="false">IF($A37="","",IF($G37&lt;&gt;"",$G37,IFERROR(IF(INDEX(offices!$AL$2:$AL$61,MATCH($B37,offices!$A$2:$A$61,0))="","",INDEX(offices!$AL$2:$AL$61,MATCH($B37,offices!$A$2:$A$61,0))),"")))</f>
        <v>45</v>
      </c>
      <c r="T37" s="30" t="str">
        <f aca="false">IF($A37="","",$A37&amp;"."&amp;$B37)</f>
        <v>SAMPLE-CMP-005.SAMPLE-O-006</v>
      </c>
      <c r="U37" s="30" t="n">
        <f aca="false">IF($A37="","",SUMIFS(inventory!$G$2:$G$801,inventory!$C$2:$C$801,$A37,inventory!$D$2:$D$801,$B37,inventory!$E$2:$E$801,"delivered"))</f>
        <v>0</v>
      </c>
      <c r="V37" s="37" t="str">
        <f aca="false">IF($A37="","",IFERROR(1/(1/SUMPRODUCT(MAX((inventory!$C$2:$C$801=$A37)*(inventory!$D$2:$D$801=$B37)*(inventory!$E$2:$E$801="delivered")*(inventory!$A$2:$A$801+inventory!$B$2:$B$801)))),""))</f>
        <v/>
      </c>
      <c r="W37" s="30" t="str">
        <f aca="false">IF($A37="","",IFERROR(IF(INDEX(inventory!$J$2:$J$801,MATCH($A37&amp;"|"&amp;$B37&amp;"|delivered",inventory!$R$2:$R$801,0))="","",INDEX(inventory!$J$2:$J$801,MATCH($A37&amp;"|"&amp;$B37&amp;"|delivered",inventory!$R$2:$R$801,0))),""))</f>
        <v/>
      </c>
      <c r="X37" s="30" t="str">
        <f aca="false">IF($A37="","",IFERROR(IF(INDEX(photos!$H$2:$H$701,MATCH($A37&amp;"|"&amp;$B37&amp;"|placement|Y",photos!$R$2:$R$701,0))="","",INDEX(photos!$H$2:$H$701,MATCH($A37&amp;"|"&amp;$B37&amp;"|placement|Y",photos!$R$2:$R$701,0))),""))</f>
        <v/>
      </c>
      <c r="Y37" s="31" t="str">
        <f aca="false">IF($A37="","",IFERROR(IF(INDEX(photos!$E$2:$E$701,MATCH($A37&amp;"|"&amp;$B37&amp;"|placement|Y",photos!$R$2:$R$701,0))="","",INDEX(photos!$E$2:$E$701,MATCH($A37&amp;"|"&amp;$B37&amp;"|placement|Y",photos!$R$2:$R$701,0))),""))</f>
        <v/>
      </c>
      <c r="Z37" s="30" t="str">
        <f aca="false">IF($A37="","",IF(COUNTIFS(counts!$C$2:$C$701,$A37,counts!$D$2:$D$701,$B37,counts!$E$2:$E$701,"placed")=0,"",SUMIFS(counts!$F$2:$F$701,counts!$C$2:$C$701,$A37,counts!$D$2:$D$701,$B37,counts!$E$2:$E$701,"placed")))</f>
        <v/>
      </c>
      <c r="AA37" s="30" t="n">
        <f aca="false">IF($A37="","",IF($Y37="",0,N($Z37)))</f>
        <v>0</v>
      </c>
      <c r="AB37" s="30" t="str">
        <f aca="false">IF($A37="","",IF(OR($Y37="",$I37=""),"N",IF($Y37&lt;=WORKDAY(N($I37),1,calendar!$A$2:$A$80),"Y","N")))</f>
        <v>N</v>
      </c>
      <c r="AC37" s="33" t="str">
        <f aca="false">IF(OR($A37="",$V37="",$Y37=""),"",ROUND(($Y37+N(IFERROR(IF(INDEX(photos!$F$2:$F$701,MATCH($A37&amp;"|"&amp;$B37&amp;"|placement|Y",photos!$R$2:$R$701,0))="","",INDEX(photos!$F$2:$F$701,MATCH($A37&amp;"|"&amp;$B37&amp;"|placement|Y",photos!$R$2:$R$701,0))),""))-$V37)*24,1))</f>
        <v/>
      </c>
      <c r="AD37" s="30" t="n">
        <f aca="false">IF($A37="","",SUMIFS(inventory!$G$2:$G$801,inventory!$C$2:$C$801,$A37,inventory!$D$2:$D$801,$B37,inventory!$E$2:$E$801,"topped_up"))</f>
        <v>0</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N</v>
      </c>
      <c r="AL37" s="30" t="n">
        <f aca="true">IF(OR($A37="",$I37=""),"",IF($BC37="Y",SUMIFS(survey_frozen!$C$2:$C$251,survey_frozen!$P$2:$P$251,$A37&amp;"|"&amp;$B37),IFERROR(COUNTIFS(INDIRECT("'"&amp;$A37&amp;"'!$B$2:$B$501"),$T37,INDIRECT("'"&amp;$A37&amp;"'!$A$2:$A$501"),"&gt;="&amp;$I37,INDIRECT("'"&amp;$A37&amp;"'!$A$2:$A$501"),"&lt;"&amp;($BA37+1)),0)))</f>
        <v>0</v>
      </c>
      <c r="AM37" s="30" t="n">
        <f aca="true">IF(OR($A37="",$I37=""),"",IF($BC37="Y",SUMIFS(survey_frozen!$D$2:$D$251,survey_frozen!$P$2:$P$251,$A37&amp;"|"&amp;$B37),IFERROR(COUNTIFS(INDIRECT("'"&amp;$A37&amp;"'!$B$2:$B$501"),$T37,INDIRECT("'"&amp;$A37&amp;"'!$A$2:$A$501"),"&gt;="&amp;$I37,INDIRECT("'"&amp;$A37&amp;"'!$A$2:$A$501"),"&lt;"&amp;($BA37+1),INDIRECT("'"&amp;$A37&amp;"'!$C$2:$C$501"),"Yes"),0)))</f>
        <v>0</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0</v>
      </c>
      <c r="AS37" s="30" t="n">
        <f aca="true">IF(OR($A37="",$I37=""),"",IF($BC37="Y",SUMIFS(survey_frozen!$G$2:$G$251,survey_frozen!$P$2:$P$251,$A37&amp;"|"&amp;$B37),IFERROR(COUNTIFS(INDIRECT("'"&amp;$A37&amp;"'!$B$2:$B$501"),$T37,INDIRECT("'"&amp;$A37&amp;"'!$A$2:$A$501"),"&gt;="&amp;$I37,INDIRECT("'"&amp;$A37&amp;"'!$A$2:$A$501"),"&lt;"&amp;($BA37+1),INDIRECT("'"&amp;$A37&amp;"'!$F$2:$F$501"),"Gone by the time I looked"),0)))</f>
        <v>0</v>
      </c>
      <c r="AT37" s="30" t="n">
        <f aca="true">IF(OR($A37="",$I37=""),"",IF($BC37="Y",SUMIFS(survey_frozen!$H$2:$H$251,survey_frozen!$P$2:$P$251,$A37&amp;"|"&amp;$B37),IFERROR(COUNTIFS(INDIRECT("'"&amp;$A37&amp;"'!$B$2:$B$501"),$T37,INDIRECT("'"&amp;$A37&amp;"'!$A$2:$A$501"),"&gt;="&amp;$I37,INDIRECT("'"&amp;$A37&amp;"'!$A$2:$A$501"),"&lt;"&amp;($BA37+1),INDIRECT("'"&amp;$A37&amp;"'!$D$2:$D$501"),"&gt;=1"),0)))</f>
        <v>0</v>
      </c>
      <c r="AU37" s="30" t="n">
        <f aca="true">IF(OR($A37="",$I37=""),"",IF($BC37="Y",SUMIFS(survey_frozen!$I$2:$I$251,survey_frozen!$P$2:$P$251,$A37&amp;"|"&amp;$B37),IFERROR(SUMIFS(INDIRECT("'"&amp;$A37&amp;"'!$D$2:$D$501"),INDIRECT("'"&amp;$A37&amp;"'!$B$2:$B$501"),$T37,INDIRECT("'"&amp;$A37&amp;"'!$A$2:$A$501"),"&gt;="&amp;$I37,INDIRECT("'"&amp;$A37&amp;"'!$A$2:$A$501"),"&lt;"&amp;($BA37+1)),0)))</f>
        <v>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0</v>
      </c>
      <c r="AX37" s="30" t="n">
        <f aca="true">IF(OR($A37="",$I37=""),"",IF($BC37="Y",SUMIFS(survey_frozen!$L$2:$L$251,survey_frozen!$P$2:$P$251,$A37&amp;"|"&amp;$B37),IFERROR(COUNTIFS(INDIRECT("'"&amp;$A37&amp;"'!$B$2:$B$501"),$T37,INDIRECT("'"&amp;$A37&amp;"'!$A$2:$A$501"),"&gt;="&amp;$I37,INDIRECT("'"&amp;$A37&amp;"'!$A$2:$A$501"),"&lt;"&amp;($BA37+1),INDIRECT("'"&amp;$A37&amp;"'!$E$2:$E$501"),"No"),0)))</f>
        <v>0</v>
      </c>
      <c r="AY37" s="30" t="n">
        <f aca="true">IF(OR($A37="",$I37=""),"",IF($BC37="Y",SUMIFS(survey_frozen!$M$2:$M$251,survey_frozen!$P$2:$P$251,$A37&amp;"|"&amp;$B37),IFERROR(COUNTIFS(INDIRECT("'"&amp;$A37&amp;"'!$B$2:$B$501"),$T37,INDIRECT("'"&amp;$A37&amp;"'!$A$2:$A$501"),"&gt;="&amp;$I37,INDIRECT("'"&amp;$A37&amp;"'!$A$2:$A$501"),"&lt;"&amp;($BA37+1),INDIRECT("'"&amp;$A37&amp;"'!$G$2:$G$501"),"&lt;&gt;"),0)))</f>
        <v>0</v>
      </c>
      <c r="AZ37" s="30" t="str">
        <f aca="false">IF($A37="","",$A37&amp;"|"&amp;$L37)</f>
        <v>SAMPLE-CMP-005|6</v>
      </c>
      <c r="BA37" s="31" t="n">
        <f aca="false">IF($A37="","",IFERROR(IF(INDEX(drops!$R$2:$R$21,MATCH($H37,drops!$A$2:$A$21,0))="","",INDEX(drops!$R$2:$R$21,MATCH($H37,drops!$A$2:$A$21,0))),""))</f>
        <v>46434</v>
      </c>
      <c r="BB37" s="30" t="n">
        <f aca="false">IF(OR($A37="",$Q37&lt;&gt;"Y"),1000000,N($AL37))</f>
        <v>0</v>
      </c>
      <c r="BC37" s="30" t="str">
        <f aca="false">IF($A37="","",IF(COUNTIF(survey_frozen!$P$2:$P$251,$A37&amp;"|"&amp;$B37)&gt;0,"Y",""))</f>
        <v/>
      </c>
    </row>
    <row r="38" customFormat="false" ht="15" hidden="false" customHeight="false" outlineLevel="0" collapsed="false">
      <c r="A38" s="0" t="s">
        <v>507</v>
      </c>
      <c r="B38" s="0" t="s">
        <v>608</v>
      </c>
      <c r="C38" s="11" t="n">
        <v>46395</v>
      </c>
      <c r="D38" s="10" t="s">
        <v>652</v>
      </c>
      <c r="E38" s="11" t="n">
        <v>46396</v>
      </c>
      <c r="F38" s="10" t="s">
        <v>653</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IF($B38="","",IFERROR(IF(INDEX(offices!$N$2:$N$61,MATCH($B38,offices!$A$2:$A$61,0))="","",INDEX(offices!$N$2:$N$61,MATCH($B38,offices!$A$2:$A$61,0))),""))</f>
        <v>SAMPLE Brine &amp; Bell PR</v>
      </c>
      <c r="L38" s="30" t="n">
        <f aca="false">IF($A38="","",IF($Q38="N","",COUNTIFS($A$2:$A38,$A38,$Q$2:$Q38,"&lt;&gt;N")))</f>
        <v>7</v>
      </c>
      <c r="M38" s="30" t="str">
        <f aca="false">IF(OR($A38="",$L38=""),"",IF(AND(config!$B$34="names_if_public",IFERROR(IF(INDEX(offices!$AF$2:$AF$61,MATCH($B38,offices!$A$2:$A$61,0))="","",INDEX(offices!$AF$2:$AF$61,MATCH($B38,offices!$A$2:$A$61,0))),"")="Y"),$K38,CHAR(64+$L38)))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C$2:$AC$61,MATCH($B38,offices!$A$2:$A$61,0))="","",INDEX(offices!$AC$2:$AC$61,MATCH($B38,offices!$A$2:$A$61,0))),"")&lt;&gt;"",ISNUMBER(SEARCH($J38,IFERROR(IF(INDEX(offices!$AC$2:$AC$61,MATCH($B38,offices!$A$2:$A$61,0))="","",INDEX(offices!$AC$2:$AC$61,MATCH($B38,offices!$A$2:$A$61,0))),"")))),"BRAND VETOED; ","")&amp;IF(ISNUMBER(SEARCH(IFERROR(IF(INDEX(campaigns!$BF$2:$BF$51,MATCH($A38,campaigns!$A$2:$A$51,0))="","",INDEX(campaigns!$BF$2:$BF$51,MATCH($A38,campaigns!$A$2:$A$51,0))),""),IFERROR(IF(INDEX(offices!$AB$2:$AB$61,MATCH($B38,offices!$A$2:$A$61,0))="","",INDEX(offices!$AB$2:$AB$61,MATCH($B38,offices!$A$2:$A$61,0))),""))),"","info: category not on the office's list; ")&amp;IF(IFERROR(IF(INDEX(offices!$AC$2:$AC$61,MATCH($B38,offices!$A$2:$A$61,0))="","",INDEX(offices!$AC$2:$AC$61,MATCH($B38,offices!$A$2:$A$61,0))),"")&lt;&gt;"","info: read the vetoes against the label; ",""))</f>
        <v>info: read the vetoes against the label; </v>
      </c>
      <c r="S38" s="30" t="n">
        <f aca="false">IF($A38="","",IF($G38&lt;&gt;"",$G38,IFERROR(IF(INDEX(offices!$AL$2:$AL$61,MATCH($B38,offices!$A$2:$A$61,0))="","",INDEX(offices!$AL$2:$AL$61,MATCH($B38,offices!$A$2:$A$61,0))),"")))</f>
        <v>60</v>
      </c>
      <c r="T38" s="30" t="str">
        <f aca="false">IF($A38="","",$A38&amp;"."&amp;$B38)</f>
        <v>SAMPLE-CMP-005.SAMPLE-O-007</v>
      </c>
      <c r="U38" s="30" t="n">
        <f aca="false">IF($A38="","",SUMIFS(inventory!$G$2:$G$801,inventory!$C$2:$C$801,$A38,inventory!$D$2:$D$801,$B38,inventory!$E$2:$E$801,"delivered"))</f>
        <v>0</v>
      </c>
      <c r="V38" s="37" t="str">
        <f aca="false">IF($A38="","",IFERROR(1/(1/SUMPRODUCT(MAX((inventory!$C$2:$C$801=$A38)*(inventory!$D$2:$D$801=$B38)*(inventory!$E$2:$E$801="delivered")*(inventory!$A$2:$A$801+inventory!$B$2:$B$801)))),""))</f>
        <v/>
      </c>
      <c r="W38" s="30" t="str">
        <f aca="false">IF($A38="","",IFERROR(IF(INDEX(inventory!$J$2:$J$801,MATCH($A38&amp;"|"&amp;$B38&amp;"|delivered",inventory!$R$2:$R$801,0))="","",INDEX(inventory!$J$2:$J$801,MATCH($A38&amp;"|"&amp;$B38&amp;"|delivered",inventory!$R$2:$R$801,0))),""))</f>
        <v/>
      </c>
      <c r="X38" s="30" t="str">
        <f aca="false">IF($A38="","",IFERROR(IF(INDEX(photos!$H$2:$H$701,MATCH($A38&amp;"|"&amp;$B38&amp;"|placement|Y",photos!$R$2:$R$701,0))="","",INDEX(photos!$H$2:$H$701,MATCH($A38&amp;"|"&amp;$B38&amp;"|placement|Y",photos!$R$2:$R$701,0))),""))</f>
        <v/>
      </c>
      <c r="Y38" s="31" t="str">
        <f aca="false">IF($A38="","",IFERROR(IF(INDEX(photos!$E$2:$E$701,MATCH($A38&amp;"|"&amp;$B38&amp;"|placement|Y",photos!$R$2:$R$701,0))="","",INDEX(photos!$E$2:$E$701,MATCH($A38&amp;"|"&amp;$B38&amp;"|placement|Y",photos!$R$2:$R$701,0))),""))</f>
        <v/>
      </c>
      <c r="Z38" s="30" t="str">
        <f aca="false">IF($A38="","",IF(COUNTIFS(counts!$C$2:$C$701,$A38,counts!$D$2:$D$701,$B38,counts!$E$2:$E$701,"placed")=0,"",SUMIFS(counts!$F$2:$F$701,counts!$C$2:$C$701,$A38,counts!$D$2:$D$701,$B38,counts!$E$2:$E$701,"placed")))</f>
        <v/>
      </c>
      <c r="AA38" s="30" t="n">
        <f aca="false">IF($A38="","",IF($Y38="",0,N($Z38)))</f>
        <v>0</v>
      </c>
      <c r="AB38" s="30" t="str">
        <f aca="false">IF($A38="","",IF(OR($Y38="",$I38=""),"N",IF($Y38&lt;=WORKDAY(N($I38),1,calendar!$A$2:$A$80),"Y","N")))</f>
        <v>N</v>
      </c>
      <c r="AC38" s="33" t="str">
        <f aca="false">IF(OR($A38="",$V38="",$Y38=""),"",ROUND(($Y38+N(IFERROR(IF(INDEX(photos!$F$2:$F$701,MATCH($A38&amp;"|"&amp;$B38&amp;"|placement|Y",photos!$R$2:$R$701,0))="","",INDEX(photos!$F$2:$F$701,MATCH($A38&amp;"|"&amp;$B38&amp;"|placement|Y",photos!$R$2:$R$701,0))),""))-$V38)*24,1))</f>
        <v/>
      </c>
      <c r="AD38" s="30" t="n">
        <f aca="false">IF($A38="","",SUMIFS(inventory!$G$2:$G$801,inventory!$C$2:$C$801,$A38,inventory!$D$2:$D$801,$B38,inventory!$E$2:$E$801,"topped_up"))</f>
        <v>0</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N</v>
      </c>
      <c r="AL38" s="30" t="n">
        <f aca="true">IF(OR($A38="",$I38=""),"",IF($BC38="Y",SUMIFS(survey_frozen!$C$2:$C$251,survey_frozen!$P$2:$P$251,$A38&amp;"|"&amp;$B38),IFERROR(COUNTIFS(INDIRECT("'"&amp;$A38&amp;"'!$B$2:$B$501"),$T38,INDIRECT("'"&amp;$A38&amp;"'!$A$2:$A$501"),"&gt;="&amp;$I38,INDIRECT("'"&amp;$A38&amp;"'!$A$2:$A$501"),"&lt;"&amp;($BA38+1)),0)))</f>
        <v>0</v>
      </c>
      <c r="AM38" s="30" t="n">
        <f aca="true">IF(OR($A38="",$I38=""),"",IF($BC38="Y",SUMIFS(survey_frozen!$D$2:$D$251,survey_frozen!$P$2:$P$251,$A38&amp;"|"&amp;$B38),IFERROR(COUNTIFS(INDIRECT("'"&amp;$A38&amp;"'!$B$2:$B$501"),$T38,INDIRECT("'"&amp;$A38&amp;"'!$A$2:$A$501"),"&gt;="&amp;$I38,INDIRECT("'"&amp;$A38&amp;"'!$A$2:$A$501"),"&lt;"&amp;($BA38+1),INDIRECT("'"&amp;$A38&amp;"'!$C$2:$C$501"),"Yes"),0)))</f>
        <v>0</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0</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0</v>
      </c>
      <c r="AU38" s="30" t="n">
        <f aca="true">IF(OR($A38="",$I38=""),"",IF($BC38="Y",SUMIFS(survey_frozen!$I$2:$I$251,survey_frozen!$P$2:$P$251,$A38&amp;"|"&amp;$B38),IFERROR(SUMIFS(INDIRECT("'"&amp;$A38&amp;"'!$D$2:$D$501"),INDIRECT("'"&amp;$A38&amp;"'!$B$2:$B$501"),$T38,INDIRECT("'"&amp;$A38&amp;"'!$A$2:$A$501"),"&gt;="&amp;$I38,INDIRECT("'"&amp;$A38&amp;"'!$A$2:$A$501"),"&lt;"&amp;($BA38+1)),0)))</f>
        <v>0</v>
      </c>
      <c r="AV38" s="30" t="n">
        <f aca="true">IF(OR($A38="",$I38=""),"",IF($BC38="Y",SUMIFS(survey_frozen!$J$2:$J$251,survey_frozen!$P$2:$P$251,$A38&amp;"|"&amp;$B38),IFERROR(COUNTIFS(INDIRECT("'"&amp;$A38&amp;"'!$B$2:$B$501"),$T38,INDIRECT("'"&amp;$A38&amp;"'!$A$2:$A$501"),"&gt;="&amp;$I38,INDIRECT("'"&amp;$A38&amp;"'!$A$2:$A$501"),"&lt;"&amp;($BA38+1),INDIRECT("'"&amp;$A38&amp;"'!$E$2:$E$501"),"Yes"),0)))</f>
        <v>0</v>
      </c>
      <c r="AW38" s="30" t="n">
        <f aca="true">IF(OR($A38="",$I38=""),"",IF($BC38="Y",SUMIFS(survey_frozen!$K$2:$K$251,survey_frozen!$P$2:$P$251,$A38&amp;"|"&amp;$B38),IFERROR(COUNTIFS(INDIRECT("'"&amp;$A38&amp;"'!$B$2:$B$501"),$T38,INDIRECT("'"&amp;$A38&amp;"'!$A$2:$A$501"),"&gt;="&amp;$I38,INDIRECT("'"&amp;$A38&amp;"'!$A$2:$A$501"),"&lt;"&amp;($BA38+1),INDIRECT("'"&amp;$A38&amp;"'!$E$2:$E$501"),"Maybe"),0)))</f>
        <v>0</v>
      </c>
      <c r="AX38" s="30" t="n">
        <f aca="true">IF(OR($A38="",$I38=""),"",IF($BC38="Y",SUMIFS(survey_frozen!$L$2:$L$251,survey_frozen!$P$2:$P$251,$A38&amp;"|"&amp;$B38),IFERROR(COUNTIFS(INDIRECT("'"&amp;$A38&amp;"'!$B$2:$B$501"),$T38,INDIRECT("'"&amp;$A38&amp;"'!$A$2:$A$501"),"&gt;="&amp;$I38,INDIRECT("'"&amp;$A38&amp;"'!$A$2:$A$501"),"&lt;"&amp;($BA38+1),INDIRECT("'"&amp;$A38&amp;"'!$E$2:$E$501"),"No"),0)))</f>
        <v>0</v>
      </c>
      <c r="AY38" s="30" t="n">
        <f aca="true">IF(OR($A38="",$I38=""),"",IF($BC38="Y",SUMIFS(survey_frozen!$M$2:$M$251,survey_frozen!$P$2:$P$251,$A38&amp;"|"&amp;$B38),IFERROR(COUNTIFS(INDIRECT("'"&amp;$A38&amp;"'!$B$2:$B$501"),$T38,INDIRECT("'"&amp;$A38&amp;"'!$A$2:$A$501"),"&gt;="&amp;$I38,INDIRECT("'"&amp;$A38&amp;"'!$A$2:$A$501"),"&lt;"&amp;($BA38+1),INDIRECT("'"&amp;$A38&amp;"'!$G$2:$G$501"),"&lt;&gt;"),0)))</f>
        <v>0</v>
      </c>
      <c r="AZ38" s="30" t="str">
        <f aca="false">IF($A38="","",$A38&amp;"|"&amp;$L38)</f>
        <v>SAMPLE-CMP-005|7</v>
      </c>
      <c r="BA38" s="31" t="n">
        <f aca="false">IF($A38="","",IFERROR(IF(INDEX(drops!$R$2:$R$21,MATCH($H38,drops!$A$2:$A$21,0))="","",INDEX(drops!$R$2:$R$21,MATCH($H38,drops!$A$2:$A$21,0))),""))</f>
        <v>46434</v>
      </c>
      <c r="BB38" s="30" t="n">
        <f aca="false">IF(OR($A38="",$Q38&lt;&gt;"Y"),1000000,N($AL38))</f>
        <v>0</v>
      </c>
      <c r="BC38" s="30" t="str">
        <f aca="false">IF($A38="","",IF(COUNTIF(survey_frozen!$P$2:$P$251,$A38&amp;"|"&amp;$B38)&gt;0,"Y",""))</f>
        <v/>
      </c>
    </row>
    <row r="39" customFormat="false" ht="15" hidden="false" customHeight="false" outlineLevel="0" collapsed="false">
      <c r="A39" s="0" t="s">
        <v>507</v>
      </c>
      <c r="B39" s="0" t="s">
        <v>610</v>
      </c>
      <c r="C39" s="11" t="n">
        <v>46395</v>
      </c>
      <c r="D39" s="10" t="s">
        <v>652</v>
      </c>
      <c r="E39" s="11" t="n">
        <v>46397</v>
      </c>
      <c r="F39" s="10" t="s">
        <v>653</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IF($B39="","",IFERROR(IF(INDEX(offices!$N$2:$N$61,MATCH($B39,offices!$A$2:$A$61,0))="","",INDEX(offices!$N$2:$N$61,MATCH($B39,offices!$A$2:$A$61,0))),""))</f>
        <v>SAMPLE Larch Legal</v>
      </c>
      <c r="L39" s="30" t="n">
        <f aca="false">IF($A39="","",IF($Q39="N","",COUNTIFS($A$2:$A39,$A39,$Q$2:$Q39,"&lt;&gt;N")))</f>
        <v>8</v>
      </c>
      <c r="M39" s="30" t="str">
        <f aca="false">IF(OR($A39="",$L39=""),"",IF(AND(config!$B$34="names_if_public",IFERROR(IF(INDEX(offices!$AF$2:$AF$61,MATCH($B39,offices!$A$2:$A$61,0))="","",INDEX(offices!$AF$2:$AF$61,MATCH($B39,offices!$A$2:$A$61,0))),"")="Y"),$K39,CHAR(64+$L39)))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C$2:$AC$61,MATCH($B39,offices!$A$2:$A$61,0))="","",INDEX(offices!$AC$2:$AC$61,MATCH($B39,offices!$A$2:$A$61,0))),"")&lt;&gt;"",ISNUMBER(SEARCH($J39,IFERROR(IF(INDEX(offices!$AC$2:$AC$61,MATCH($B39,offices!$A$2:$A$61,0))="","",INDEX(offices!$AC$2:$AC$61,MATCH($B39,offices!$A$2:$A$61,0))),"")))),"BRAND VETOED; ","")&amp;IF(ISNUMBER(SEARCH(IFERROR(IF(INDEX(campaigns!$BF$2:$BF$51,MATCH($A39,campaigns!$A$2:$A$51,0))="","",INDEX(campaigns!$BF$2:$BF$51,MATCH($A39,campaigns!$A$2:$A$51,0))),""),IFERROR(IF(INDEX(offices!$AB$2:$AB$61,MATCH($B39,offices!$A$2:$A$61,0))="","",INDEX(offices!$AB$2:$AB$61,MATCH($B39,offices!$A$2:$A$61,0))),""))),"","info: category not on the office's list; ")&amp;IF(IFERROR(IF(INDEX(offices!$AC$2:$AC$61,MATCH($B39,offices!$A$2:$A$61,0))="","",INDEX(offices!$AC$2:$AC$61,MATCH($B39,offices!$A$2:$A$61,0))),"")&lt;&gt;"","info: read the vetoes against the label; ",""))</f>
        <v/>
      </c>
      <c r="S39" s="30" t="n">
        <f aca="false">IF($A39="","",IF($G39&lt;&gt;"",$G39,IFERROR(IF(INDEX(offices!$AL$2:$AL$61,MATCH($B39,offices!$A$2:$A$61,0))="","",INDEX(offices!$AL$2:$AL$61,MATCH($B39,offices!$A$2:$A$61,0))),"")))</f>
        <v>45</v>
      </c>
      <c r="T39" s="30" t="str">
        <f aca="false">IF($A39="","",$A39&amp;"."&amp;$B39)</f>
        <v>SAMPLE-CMP-005.SAMPLE-O-008</v>
      </c>
      <c r="U39" s="30" t="n">
        <f aca="false">IF($A39="","",SUMIFS(inventory!$G$2:$G$801,inventory!$C$2:$C$801,$A39,inventory!$D$2:$D$801,$B39,inventory!$E$2:$E$801,"delivered"))</f>
        <v>0</v>
      </c>
      <c r="V39" s="37" t="str">
        <f aca="false">IF($A39="","",IFERROR(1/(1/SUMPRODUCT(MAX((inventory!$C$2:$C$801=$A39)*(inventory!$D$2:$D$801=$B39)*(inventory!$E$2:$E$801="delivered")*(inventory!$A$2:$A$801+inventory!$B$2:$B$801)))),""))</f>
        <v/>
      </c>
      <c r="W39" s="30" t="str">
        <f aca="false">IF($A39="","",IFERROR(IF(INDEX(inventory!$J$2:$J$801,MATCH($A39&amp;"|"&amp;$B39&amp;"|delivered",inventory!$R$2:$R$801,0))="","",INDEX(inventory!$J$2:$J$801,MATCH($A39&amp;"|"&amp;$B39&amp;"|delivered",inventory!$R$2:$R$801,0))),""))</f>
        <v/>
      </c>
      <c r="X39" s="30" t="str">
        <f aca="false">IF($A39="","",IFERROR(IF(INDEX(photos!$H$2:$H$701,MATCH($A39&amp;"|"&amp;$B39&amp;"|placement|Y",photos!$R$2:$R$701,0))="","",INDEX(photos!$H$2:$H$701,MATCH($A39&amp;"|"&amp;$B39&amp;"|placement|Y",photos!$R$2:$R$701,0))),""))</f>
        <v/>
      </c>
      <c r="Y39" s="31" t="str">
        <f aca="false">IF($A39="","",IFERROR(IF(INDEX(photos!$E$2:$E$701,MATCH($A39&amp;"|"&amp;$B39&amp;"|placement|Y",photos!$R$2:$R$701,0))="","",INDEX(photos!$E$2:$E$701,MATCH($A39&amp;"|"&amp;$B39&amp;"|placement|Y",photos!$R$2:$R$701,0))),""))</f>
        <v/>
      </c>
      <c r="Z39" s="30" t="str">
        <f aca="false">IF($A39="","",IF(COUNTIFS(counts!$C$2:$C$701,$A39,counts!$D$2:$D$701,$B39,counts!$E$2:$E$701,"placed")=0,"",SUMIFS(counts!$F$2:$F$701,counts!$C$2:$C$701,$A39,counts!$D$2:$D$701,$B39,counts!$E$2:$E$701,"placed")))</f>
        <v/>
      </c>
      <c r="AA39" s="30" t="n">
        <f aca="false">IF($A39="","",IF($Y39="",0,N($Z39)))</f>
        <v>0</v>
      </c>
      <c r="AB39" s="30" t="str">
        <f aca="false">IF($A39="","",IF(OR($Y39="",$I39=""),"N",IF($Y39&lt;=WORKDAY(N($I39),1,calendar!$A$2:$A$80),"Y","N")))</f>
        <v>N</v>
      </c>
      <c r="AC39" s="33" t="str">
        <f aca="false">IF(OR($A39="",$V39="",$Y39=""),"",ROUND(($Y39+N(IFERROR(IF(INDEX(photos!$F$2:$F$701,MATCH($A39&amp;"|"&amp;$B39&amp;"|placement|Y",photos!$R$2:$R$701,0))="","",INDEX(photos!$F$2:$F$701,MATCH($A39&amp;"|"&amp;$B39&amp;"|placement|Y",photos!$R$2:$R$701,0))),""))-$V39)*24,1))</f>
        <v/>
      </c>
      <c r="AD39" s="30" t="n">
        <f aca="false">IF($A39="","",SUMIFS(inventory!$G$2:$G$801,inventory!$C$2:$C$801,$A39,inventory!$D$2:$D$801,$B39,inventory!$E$2:$E$801,"topped_up"))</f>
        <v>0</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N</v>
      </c>
      <c r="AL39" s="30" t="n">
        <f aca="true">IF(OR($A39="",$I39=""),"",IF($BC39="Y",SUMIFS(survey_frozen!$C$2:$C$251,survey_frozen!$P$2:$P$251,$A39&amp;"|"&amp;$B39),IFERROR(COUNTIFS(INDIRECT("'"&amp;$A39&amp;"'!$B$2:$B$501"),$T39,INDIRECT("'"&amp;$A39&amp;"'!$A$2:$A$501"),"&gt;="&amp;$I39,INDIRECT("'"&amp;$A39&amp;"'!$A$2:$A$501"),"&lt;"&amp;($BA39+1)),0)))</f>
        <v>0</v>
      </c>
      <c r="AM39" s="30" t="n">
        <f aca="true">IF(OR($A39="",$I39=""),"",IF($BC39="Y",SUMIFS(survey_frozen!$D$2:$D$251,survey_frozen!$P$2:$P$251,$A39&amp;"|"&amp;$B39),IFERROR(COUNTIFS(INDIRECT("'"&amp;$A39&amp;"'!$B$2:$B$501"),$T39,INDIRECT("'"&amp;$A39&amp;"'!$A$2:$A$501"),"&gt;="&amp;$I39,INDIRECT("'"&amp;$A39&amp;"'!$A$2:$A$501"),"&lt;"&amp;($BA39+1),INDIRECT("'"&amp;$A39&amp;"'!$C$2:$C$501"),"Yes"),0)))</f>
        <v>0</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0</v>
      </c>
      <c r="AT39" s="30" t="n">
        <f aca="true">IF(OR($A39="",$I39=""),"",IF($BC39="Y",SUMIFS(survey_frozen!$H$2:$H$251,survey_frozen!$P$2:$P$251,$A39&amp;"|"&amp;$B39),IFERROR(COUNTIFS(INDIRECT("'"&amp;$A39&amp;"'!$B$2:$B$501"),$T39,INDIRECT("'"&amp;$A39&amp;"'!$A$2:$A$501"),"&gt;="&amp;$I39,INDIRECT("'"&amp;$A39&amp;"'!$A$2:$A$501"),"&lt;"&amp;($BA39+1),INDIRECT("'"&amp;$A39&amp;"'!$D$2:$D$501"),"&gt;=1"),0)))</f>
        <v>0</v>
      </c>
      <c r="AU39" s="30" t="n">
        <f aca="true">IF(OR($A39="",$I39=""),"",IF($BC39="Y",SUMIFS(survey_frozen!$I$2:$I$251,survey_frozen!$P$2:$P$251,$A39&amp;"|"&amp;$B39),IFERROR(SUMIFS(INDIRECT("'"&amp;$A39&amp;"'!$D$2:$D$501"),INDIRECT("'"&amp;$A39&amp;"'!$B$2:$B$501"),$T39,INDIRECT("'"&amp;$A39&amp;"'!$A$2:$A$501"),"&gt;="&amp;$I39,INDIRECT("'"&amp;$A39&amp;"'!$A$2:$A$501"),"&lt;"&amp;($BA39+1)),0)))</f>
        <v>0</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0</v>
      </c>
      <c r="AX39" s="30" t="n">
        <f aca="true">IF(OR($A39="",$I39=""),"",IF($BC39="Y",SUMIFS(survey_frozen!$L$2:$L$251,survey_frozen!$P$2:$P$251,$A39&amp;"|"&amp;$B39),IFERROR(COUNTIFS(INDIRECT("'"&amp;$A39&amp;"'!$B$2:$B$501"),$T39,INDIRECT("'"&amp;$A39&amp;"'!$A$2:$A$501"),"&gt;="&amp;$I39,INDIRECT("'"&amp;$A39&amp;"'!$A$2:$A$501"),"&lt;"&amp;($BA39+1),INDIRECT("'"&amp;$A39&amp;"'!$E$2:$E$501"),"No"),0)))</f>
        <v>0</v>
      </c>
      <c r="AY39" s="30" t="n">
        <f aca="true">IF(OR($A39="",$I39=""),"",IF($BC39="Y",SUMIFS(survey_frozen!$M$2:$M$251,survey_frozen!$P$2:$P$251,$A39&amp;"|"&amp;$B39),IFERROR(COUNTIFS(INDIRECT("'"&amp;$A39&amp;"'!$B$2:$B$501"),$T39,INDIRECT("'"&amp;$A39&amp;"'!$A$2:$A$501"),"&gt;="&amp;$I39,INDIRECT("'"&amp;$A39&amp;"'!$A$2:$A$501"),"&lt;"&amp;($BA39+1),INDIRECT("'"&amp;$A39&amp;"'!$G$2:$G$501"),"&lt;&gt;"),0)))</f>
        <v>0</v>
      </c>
      <c r="AZ39" s="30" t="str">
        <f aca="false">IF($A39="","",$A39&amp;"|"&amp;$L39)</f>
        <v>SAMPLE-CMP-005|8</v>
      </c>
      <c r="BA39" s="31" t="n">
        <f aca="false">IF($A39="","",IFERROR(IF(INDEX(drops!$R$2:$R$21,MATCH($H39,drops!$A$2:$A$21,0))="","",INDEX(drops!$R$2:$R$21,MATCH($H39,drops!$A$2:$A$21,0))),""))</f>
        <v>46434</v>
      </c>
      <c r="BB39" s="30" t="n">
        <f aca="false">IF(OR($A39="",$Q39&lt;&gt;"Y"),1000000,N($AL39))</f>
        <v>0</v>
      </c>
      <c r="BC39" s="30" t="str">
        <f aca="false">IF($A39="","",IF(COUNTIF(survey_frozen!$P$2:$P$251,$A39&amp;"|"&amp;$B39)&gt;0,"Y",""))</f>
        <v/>
      </c>
    </row>
    <row r="40" customFormat="false" ht="15" hidden="false" customHeight="false" outlineLevel="0" collapsed="false">
      <c r="A40" s="0" t="s">
        <v>507</v>
      </c>
      <c r="B40" s="0" t="s">
        <v>612</v>
      </c>
      <c r="C40" s="11" t="n">
        <v>46395</v>
      </c>
      <c r="D40" s="10" t="s">
        <v>652</v>
      </c>
      <c r="E40" s="11" t="n">
        <v>46398</v>
      </c>
      <c r="F40" s="10" t="s">
        <v>653</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IF($B40="","",IFERROR(IF(INDEX(offices!$N$2:$N$61,MATCH($B40,offices!$A$2:$A$61,0))="","",INDEX(offices!$N$2:$N$61,MATCH($B40,offices!$A$2:$A$61,0))),""))</f>
        <v>SAMPLE Overlook Games</v>
      </c>
      <c r="L40" s="30" t="n">
        <f aca="false">IF($A40="","",IF($Q40="N","",COUNTIFS($A$2:$A40,$A40,$Q$2:$Q40,"&lt;&gt;N")))</f>
        <v>9</v>
      </c>
      <c r="M40" s="30" t="str">
        <f aca="false">IF(OR($A40="",$L40=""),"",IF(AND(config!$B$34="names_if_public",IFERROR(IF(INDEX(offices!$AF$2:$AF$61,MATCH($B40,offices!$A$2:$A$61,0))="","",INDEX(offices!$AF$2:$AF$61,MATCH($B40,offices!$A$2:$A$61,0))),"")="Y"),$K40,CHAR(64+$L40)))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C$2:$AC$61,MATCH($B40,offices!$A$2:$A$61,0))="","",INDEX(offices!$AC$2:$AC$61,MATCH($B40,offices!$A$2:$A$61,0))),"")&lt;&gt;"",ISNUMBER(SEARCH($J40,IFERROR(IF(INDEX(offices!$AC$2:$AC$61,MATCH($B40,offices!$A$2:$A$61,0))="","",INDEX(offices!$AC$2:$AC$61,MATCH($B40,offices!$A$2:$A$61,0))),"")))),"BRAND VETOED; ","")&amp;IF(ISNUMBER(SEARCH(IFERROR(IF(INDEX(campaigns!$BF$2:$BF$51,MATCH($A40,campaigns!$A$2:$A$51,0))="","",INDEX(campaigns!$BF$2:$BF$51,MATCH($A40,campaigns!$A$2:$A$51,0))),""),IFERROR(IF(INDEX(offices!$AB$2:$AB$61,MATCH($B40,offices!$A$2:$A$61,0))="","",INDEX(offices!$AB$2:$AB$61,MATCH($B40,offices!$A$2:$A$61,0))),""))),"","info: category not on the office's list; ")&amp;IF(IFERROR(IF(INDEX(offices!$AC$2:$AC$61,MATCH($B40,offices!$A$2:$A$61,0))="","",INDEX(offices!$AC$2:$AC$61,MATCH($B40,offices!$A$2:$A$61,0))),"")&lt;&gt;"","info: read the vetoes against the label; ",""))</f>
        <v/>
      </c>
      <c r="S40" s="30" t="n">
        <f aca="false">IF($A40="","",IF($G40&lt;&gt;"",$G40,IFERROR(IF(INDEX(offices!$AL$2:$AL$61,MATCH($B40,offices!$A$2:$A$61,0))="","",INDEX(offices!$AL$2:$AL$61,MATCH($B40,offices!$A$2:$A$61,0))),"")))</f>
        <v>75</v>
      </c>
      <c r="T40" s="30" t="str">
        <f aca="false">IF($A40="","",$A40&amp;"."&amp;$B40)</f>
        <v>SAMPLE-CMP-005.SAMPLE-O-009</v>
      </c>
      <c r="U40" s="30" t="n">
        <f aca="false">IF($A40="","",SUMIFS(inventory!$G$2:$G$801,inventory!$C$2:$C$801,$A40,inventory!$D$2:$D$801,$B40,inventory!$E$2:$E$801,"delivered"))</f>
        <v>0</v>
      </c>
      <c r="V40" s="37" t="str">
        <f aca="false">IF($A40="","",IFERROR(1/(1/SUMPRODUCT(MAX((inventory!$C$2:$C$801=$A40)*(inventory!$D$2:$D$801=$B40)*(inventory!$E$2:$E$801="delivered")*(inventory!$A$2:$A$801+inventory!$B$2:$B$801)))),""))</f>
        <v/>
      </c>
      <c r="W40" s="30" t="str">
        <f aca="false">IF($A40="","",IFERROR(IF(INDEX(inventory!$J$2:$J$801,MATCH($A40&amp;"|"&amp;$B40&amp;"|delivered",inventory!$R$2:$R$801,0))="","",INDEX(inventory!$J$2:$J$801,MATCH($A40&amp;"|"&amp;$B40&amp;"|delivered",inventory!$R$2:$R$801,0))),""))</f>
        <v/>
      </c>
      <c r="X40" s="30" t="str">
        <f aca="false">IF($A40="","",IFERROR(IF(INDEX(photos!$H$2:$H$701,MATCH($A40&amp;"|"&amp;$B40&amp;"|placement|Y",photos!$R$2:$R$701,0))="","",INDEX(photos!$H$2:$H$701,MATCH($A40&amp;"|"&amp;$B40&amp;"|placement|Y",photos!$R$2:$R$701,0))),""))</f>
        <v/>
      </c>
      <c r="Y40" s="31" t="str">
        <f aca="false">IF($A40="","",IFERROR(IF(INDEX(photos!$E$2:$E$701,MATCH($A40&amp;"|"&amp;$B40&amp;"|placement|Y",photos!$R$2:$R$701,0))="","",INDEX(photos!$E$2:$E$701,MATCH($A40&amp;"|"&amp;$B40&amp;"|placement|Y",photos!$R$2:$R$701,0))),""))</f>
        <v/>
      </c>
      <c r="Z40" s="30" t="str">
        <f aca="false">IF($A40="","",IF(COUNTIFS(counts!$C$2:$C$701,$A40,counts!$D$2:$D$701,$B40,counts!$E$2:$E$701,"placed")=0,"",SUMIFS(counts!$F$2:$F$701,counts!$C$2:$C$701,$A40,counts!$D$2:$D$701,$B40,counts!$E$2:$E$701,"placed")))</f>
        <v/>
      </c>
      <c r="AA40" s="30" t="n">
        <f aca="false">IF($A40="","",IF($Y40="",0,N($Z40)))</f>
        <v>0</v>
      </c>
      <c r="AB40" s="30" t="str">
        <f aca="false">IF($A40="","",IF(OR($Y40="",$I40=""),"N",IF($Y40&lt;=WORKDAY(N($I40),1,calendar!$A$2:$A$80),"Y","N")))</f>
        <v>N</v>
      </c>
      <c r="AC40" s="33" t="str">
        <f aca="false">IF(OR($A40="",$V40="",$Y40=""),"",ROUND(($Y40+N(IFERROR(IF(INDEX(photos!$F$2:$F$701,MATCH($A40&amp;"|"&amp;$B40&amp;"|placement|Y",photos!$R$2:$R$701,0))="","",INDEX(photos!$F$2:$F$701,MATCH($A40&amp;"|"&amp;$B40&amp;"|placement|Y",photos!$R$2:$R$701,0))),""))-$V40)*24,1))</f>
        <v/>
      </c>
      <c r="AD40" s="30" t="n">
        <f aca="false">IF($A40="","",SUMIFS(inventory!$G$2:$G$801,inventory!$C$2:$C$801,$A40,inventory!$D$2:$D$801,$B40,inventory!$E$2:$E$801,"topped_up"))</f>
        <v>0</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N</v>
      </c>
      <c r="AL40" s="30" t="n">
        <f aca="true">IF(OR($A40="",$I40=""),"",IF($BC40="Y",SUMIFS(survey_frozen!$C$2:$C$251,survey_frozen!$P$2:$P$251,$A40&amp;"|"&amp;$B40),IFERROR(COUNTIFS(INDIRECT("'"&amp;$A40&amp;"'!$B$2:$B$501"),$T40,INDIRECT("'"&amp;$A40&amp;"'!$A$2:$A$501"),"&gt;="&amp;$I40,INDIRECT("'"&amp;$A40&amp;"'!$A$2:$A$501"),"&lt;"&amp;($BA40+1)),0)))</f>
        <v>0</v>
      </c>
      <c r="AM40" s="30" t="n">
        <f aca="true">IF(OR($A40="",$I40=""),"",IF($BC40="Y",SUMIFS(survey_frozen!$D$2:$D$251,survey_frozen!$P$2:$P$251,$A40&amp;"|"&amp;$B40),IFERROR(COUNTIFS(INDIRECT("'"&amp;$A40&amp;"'!$B$2:$B$501"),$T40,INDIRECT("'"&amp;$A40&amp;"'!$A$2:$A$501"),"&gt;="&amp;$I40,INDIRECT("'"&amp;$A40&amp;"'!$A$2:$A$501"),"&lt;"&amp;($BA40+1),INDIRECT("'"&amp;$A40&amp;"'!$C$2:$C$501"),"Yes"),0)))</f>
        <v>0</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f>
        <v/>
      </c>
      <c r="AQ40" s="30" t="n">
        <f aca="true">IF(OR($A40="",$I40=""),"",IF($BC40="Y",SUMIFS(survey_frozen!$E$2:$E$251,survey_frozen!$P$2:$P$251,$A40&amp;"|"&amp;$B40),IFERROR(COUNTIFS(INDIRECT("'"&amp;$A40&amp;"'!$B$2:$B$501"),$T40,INDIRECT("'"&amp;$A40&amp;"'!$A$2:$A$501"),"&gt;="&amp;$I40,INDIRECT("'"&amp;$A40&amp;"'!$A$2:$A$501"),"&lt;"&amp;($BA40+1),INDIRECT("'"&amp;$A40&amp;"'!$F$2:$F$501"),"Didn't see it"),0)))</f>
        <v>0</v>
      </c>
      <c r="AR40" s="30" t="n">
        <f aca="true">IF(OR($A40="",$I40=""),"",IF($BC40="Y",SUMIFS(survey_frozen!$F$2:$F$251,survey_frozen!$P$2:$P$251,$A40&amp;"|"&amp;$B40),IFERROR(COUNTIFS(INDIRECT("'"&amp;$A40&amp;"'!$B$2:$B$501"),$T40,INDIRECT("'"&amp;$A40&amp;"'!$A$2:$A$501"),"&gt;="&amp;$I40,INDIRECT("'"&amp;$A40&amp;"'!$A$2:$A$501"),"&lt;"&amp;($BA40+1),INDIRECT("'"&amp;$A40&amp;"'!$F$2:$F$501"),"Not for me"),0)))</f>
        <v>0</v>
      </c>
      <c r="AS40" s="30" t="n">
        <f aca="true">IF(OR($A40="",$I40=""),"",IF($BC40="Y",SUMIFS(survey_frozen!$G$2:$G$251,survey_frozen!$P$2:$P$251,$A40&amp;"|"&amp;$B40),IFERROR(COUNTIFS(INDIRECT("'"&amp;$A40&amp;"'!$B$2:$B$501"),$T40,INDIRECT("'"&amp;$A40&amp;"'!$A$2:$A$501"),"&gt;="&amp;$I40,INDIRECT("'"&amp;$A40&amp;"'!$A$2:$A$501"),"&lt;"&amp;($BA40+1),INDIRECT("'"&amp;$A40&amp;"'!$F$2:$F$501"),"Gone by the time I looked"),0)))</f>
        <v>0</v>
      </c>
      <c r="AT40" s="30" t="n">
        <f aca="true">IF(OR($A40="",$I40=""),"",IF($BC40="Y",SUMIFS(survey_frozen!$H$2:$H$251,survey_frozen!$P$2:$P$251,$A40&amp;"|"&amp;$B40),IFERROR(COUNTIFS(INDIRECT("'"&amp;$A40&amp;"'!$B$2:$B$501"),$T40,INDIRECT("'"&amp;$A40&amp;"'!$A$2:$A$501"),"&gt;="&amp;$I40,INDIRECT("'"&amp;$A40&amp;"'!$A$2:$A$501"),"&lt;"&amp;($BA40+1),INDIRECT("'"&amp;$A40&amp;"'!$D$2:$D$501"),"&gt;=1"),0)))</f>
        <v>0</v>
      </c>
      <c r="AU40" s="30" t="n">
        <f aca="true">IF(OR($A40="",$I40=""),"",IF($BC40="Y",SUMIFS(survey_frozen!$I$2:$I$251,survey_frozen!$P$2:$P$251,$A40&amp;"|"&amp;$B40),IFERROR(SUMIFS(INDIRECT("'"&amp;$A40&amp;"'!$D$2:$D$501"),INDIRECT("'"&amp;$A40&amp;"'!$B$2:$B$501"),$T40,INDIRECT("'"&amp;$A40&amp;"'!$A$2:$A$501"),"&gt;="&amp;$I40,INDIRECT("'"&amp;$A40&amp;"'!$A$2:$A$501"),"&lt;"&amp;($BA40+1)),0)))</f>
        <v>0</v>
      </c>
      <c r="AV40" s="30" t="n">
        <f aca="true">IF(OR($A40="",$I40=""),"",IF($BC40="Y",SUMIFS(survey_frozen!$J$2:$J$251,survey_frozen!$P$2:$P$251,$A40&amp;"|"&amp;$B40),IFERROR(COUNTIFS(INDIRECT("'"&amp;$A40&amp;"'!$B$2:$B$501"),$T40,INDIRECT("'"&amp;$A40&amp;"'!$A$2:$A$501"),"&gt;="&amp;$I40,INDIRECT("'"&amp;$A40&amp;"'!$A$2:$A$501"),"&lt;"&amp;($BA40+1),INDIRECT("'"&amp;$A40&amp;"'!$E$2:$E$501"),"Yes"),0)))</f>
        <v>0</v>
      </c>
      <c r="AW40" s="30" t="n">
        <f aca="true">IF(OR($A40="",$I40=""),"",IF($BC40="Y",SUMIFS(survey_frozen!$K$2:$K$251,survey_frozen!$P$2:$P$251,$A40&amp;"|"&amp;$B40),IFERROR(COUNTIFS(INDIRECT("'"&amp;$A40&amp;"'!$B$2:$B$501"),$T40,INDIRECT("'"&amp;$A40&amp;"'!$A$2:$A$501"),"&gt;="&amp;$I40,INDIRECT("'"&amp;$A40&amp;"'!$A$2:$A$501"),"&lt;"&amp;($BA40+1),INDIRECT("'"&amp;$A40&amp;"'!$E$2:$E$501"),"Maybe"),0)))</f>
        <v>0</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0</v>
      </c>
      <c r="AZ40" s="30" t="str">
        <f aca="false">IF($A40="","",$A40&amp;"|"&amp;$L40)</f>
        <v>SAMPLE-CMP-005|9</v>
      </c>
      <c r="BA40" s="31" t="n">
        <f aca="false">IF($A40="","",IFERROR(IF(INDEX(drops!$R$2:$R$21,MATCH($H40,drops!$A$2:$A$21,0))="","",INDEX(drops!$R$2:$R$21,MATCH($H40,drops!$A$2:$A$21,0))),""))</f>
        <v>46434</v>
      </c>
      <c r="BB40" s="30" t="n">
        <f aca="false">IF(OR($A40="",$Q40&lt;&gt;"Y"),1000000,N($AL40))</f>
        <v>0</v>
      </c>
      <c r="BC40" s="30" t="str">
        <f aca="false">IF($A40="","",IF(COUNTIF(survey_frozen!$P$2:$P$251,$A40&amp;"|"&amp;$B40)&gt;0,"Y",""))</f>
        <v/>
      </c>
    </row>
    <row r="41" customFormat="false" ht="15" hidden="false" customHeight="false" outlineLevel="0" collapsed="false">
      <c r="A41" s="0" t="s">
        <v>507</v>
      </c>
      <c r="B41" s="0" t="s">
        <v>614</v>
      </c>
      <c r="C41" s="11" t="n">
        <v>46400</v>
      </c>
      <c r="D41" s="10" t="s">
        <v>652</v>
      </c>
      <c r="E41" s="11" t="n">
        <v>46401</v>
      </c>
      <c r="F41" s="10" t="s">
        <v>653</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IF($B41="","",IFERROR(IF(INDEX(offices!$N$2:$N$61,MATCH($B41,offices!$A$2:$A$61,0))="","",INDEX(offices!$N$2:$N$61,MATCH($B41,offices!$A$2:$A$61,0))),""))</f>
        <v>SAMPLE Quill Nonprofit Press</v>
      </c>
      <c r="L41" s="30" t="n">
        <f aca="false">IF($A41="","",IF($Q41="N","",COUNTIFS($A$2:$A41,$A41,$Q$2:$Q41,"&lt;&gt;N")))</f>
        <v>10</v>
      </c>
      <c r="M41" s="30" t="str">
        <f aca="false">IF(OR($A41="",$L41=""),"",IF(AND(config!$B$34="names_if_public",IFERROR(IF(INDEX(offices!$AF$2:$AF$61,MATCH($B41,offices!$A$2:$A$61,0))="","",INDEX(offices!$AF$2:$AF$61,MATCH($B41,offices!$A$2:$A$61,0))),"")="Y"),$K41,CHAR(64+$L41)))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C$2:$AC$61,MATCH($B41,offices!$A$2:$A$61,0))="","",INDEX(offices!$AC$2:$AC$61,MATCH($B41,offices!$A$2:$A$61,0))),"")&lt;&gt;"",ISNUMBER(SEARCH($J41,IFERROR(IF(INDEX(offices!$AC$2:$AC$61,MATCH($B41,offices!$A$2:$A$61,0))="","",INDEX(offices!$AC$2:$AC$61,MATCH($B41,offices!$A$2:$A$61,0))),"")))),"BRAND VETOED; ","")&amp;IF(ISNUMBER(SEARCH(IFERROR(IF(INDEX(campaigns!$BF$2:$BF$51,MATCH($A41,campaigns!$A$2:$A$51,0))="","",INDEX(campaigns!$BF$2:$BF$51,MATCH($A41,campaigns!$A$2:$A$51,0))),""),IFERROR(IF(INDEX(offices!$AB$2:$AB$61,MATCH($B41,offices!$A$2:$A$61,0))="","",INDEX(offices!$AB$2:$AB$61,MATCH($B41,offices!$A$2:$A$61,0))),""))),"","info: category not on the office's list; ")&amp;IF(IFERROR(IF(INDEX(offices!$AC$2:$AC$61,MATCH($B41,offices!$A$2:$A$61,0))="","",INDEX(offices!$AC$2:$AC$61,MATCH($B41,offices!$A$2:$A$61,0))),"")&lt;&gt;"","info: read the vetoes against the label; ",""))</f>
        <v/>
      </c>
      <c r="S41" s="30" t="n">
        <f aca="false">IF($A41="","",IF($G41&lt;&gt;"",$G41,IFERROR(IF(INDEX(offices!$AL$2:$AL$61,MATCH($B41,offices!$A$2:$A$61,0))="","",INDEX(offices!$AL$2:$AL$61,MATCH($B41,offices!$A$2:$A$61,0))),"")))</f>
        <v>40</v>
      </c>
      <c r="T41" s="30" t="str">
        <f aca="false">IF($A41="","",$A41&amp;"."&amp;$B41)</f>
        <v>SAMPLE-CMP-005.SAMPLE-O-010</v>
      </c>
      <c r="U41" s="30" t="n">
        <f aca="false">IF($A41="","",SUMIFS(inventory!$G$2:$G$801,inventory!$C$2:$C$801,$A41,inventory!$D$2:$D$801,$B41,inventory!$E$2:$E$801,"delivered"))</f>
        <v>0</v>
      </c>
      <c r="V41" s="37" t="str">
        <f aca="false">IF($A41="","",IFERROR(1/(1/SUMPRODUCT(MAX((inventory!$C$2:$C$801=$A41)*(inventory!$D$2:$D$801=$B41)*(inventory!$E$2:$E$801="delivered")*(inventory!$A$2:$A$801+inventory!$B$2:$B$801)))),""))</f>
        <v/>
      </c>
      <c r="W41" s="30" t="str">
        <f aca="false">IF($A41="","",IFERROR(IF(INDEX(inventory!$J$2:$J$801,MATCH($A41&amp;"|"&amp;$B41&amp;"|delivered",inventory!$R$2:$R$801,0))="","",INDEX(inventory!$J$2:$J$801,MATCH($A41&amp;"|"&amp;$B41&amp;"|delivered",inventory!$R$2:$R$801,0))),""))</f>
        <v/>
      </c>
      <c r="X41" s="30" t="str">
        <f aca="false">IF($A41="","",IFERROR(IF(INDEX(photos!$H$2:$H$701,MATCH($A41&amp;"|"&amp;$B41&amp;"|placement|Y",photos!$R$2:$R$701,0))="","",INDEX(photos!$H$2:$H$701,MATCH($A41&amp;"|"&amp;$B41&amp;"|placement|Y",photos!$R$2:$R$701,0))),""))</f>
        <v/>
      </c>
      <c r="Y41" s="31" t="str">
        <f aca="false">IF($A41="","",IFERROR(IF(INDEX(photos!$E$2:$E$701,MATCH($A41&amp;"|"&amp;$B41&amp;"|placement|Y",photos!$R$2:$R$701,0))="","",INDEX(photos!$E$2:$E$701,MATCH($A41&amp;"|"&amp;$B41&amp;"|placement|Y",photos!$R$2:$R$701,0))),""))</f>
        <v/>
      </c>
      <c r="Z41" s="30" t="str">
        <f aca="false">IF($A41="","",IF(COUNTIFS(counts!$C$2:$C$701,$A41,counts!$D$2:$D$701,$B41,counts!$E$2:$E$701,"placed")=0,"",SUMIFS(counts!$F$2:$F$701,counts!$C$2:$C$701,$A41,counts!$D$2:$D$701,$B41,counts!$E$2:$E$701,"placed")))</f>
        <v/>
      </c>
      <c r="AA41" s="30" t="n">
        <f aca="false">IF($A41="","",IF($Y41="",0,N($Z41)))</f>
        <v>0</v>
      </c>
      <c r="AB41" s="30" t="str">
        <f aca="false">IF($A41="","",IF(OR($Y41="",$I41=""),"N",IF($Y41&lt;=WORKDAY(N($I41),1,calendar!$A$2:$A$80),"Y","N")))</f>
        <v>N</v>
      </c>
      <c r="AC41" s="33" t="str">
        <f aca="false">IF(OR($A41="",$V41="",$Y41=""),"",ROUND(($Y41+N(IFERROR(IF(INDEX(photos!$F$2:$F$701,MATCH($A41&amp;"|"&amp;$B41&amp;"|placement|Y",photos!$R$2:$R$701,0))="","",INDEX(photos!$F$2:$F$701,MATCH($A41&amp;"|"&amp;$B41&amp;"|placement|Y",photos!$R$2:$R$701,0))),""))-$V41)*24,1))</f>
        <v/>
      </c>
      <c r="AD41" s="30" t="n">
        <f aca="false">IF($A41="","",SUMIFS(inventory!$G$2:$G$801,inventory!$C$2:$C$801,$A41,inventory!$D$2:$D$801,$B41,inventory!$E$2:$E$801,"topped_up"))</f>
        <v>0</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N</v>
      </c>
      <c r="AL41" s="30" t="n">
        <f aca="true">IF(OR($A41="",$I41=""),"",IF($BC41="Y",SUMIFS(survey_frozen!$C$2:$C$251,survey_frozen!$P$2:$P$251,$A41&amp;"|"&amp;$B41),IFERROR(COUNTIFS(INDIRECT("'"&amp;$A41&amp;"'!$B$2:$B$501"),$T41,INDIRECT("'"&amp;$A41&amp;"'!$A$2:$A$501"),"&gt;="&amp;$I41,INDIRECT("'"&amp;$A41&amp;"'!$A$2:$A$501"),"&lt;"&amp;($BA41+1)),0)))</f>
        <v>0</v>
      </c>
      <c r="AM41" s="30" t="n">
        <f aca="true">IF(OR($A41="",$I41=""),"",IF($BC41="Y",SUMIFS(survey_frozen!$D$2:$D$251,survey_frozen!$P$2:$P$251,$A41&amp;"|"&amp;$B41),IFERROR(COUNTIFS(INDIRECT("'"&amp;$A41&amp;"'!$B$2:$B$501"),$T41,INDIRECT("'"&amp;$A41&amp;"'!$A$2:$A$501"),"&gt;="&amp;$I41,INDIRECT("'"&amp;$A41&amp;"'!$A$2:$A$501"),"&lt;"&amp;($BA41+1),INDIRECT("'"&amp;$A41&amp;"'!$C$2:$C$501"),"Yes"),0)))</f>
        <v>0</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f>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0</v>
      </c>
      <c r="AU41" s="30" t="n">
        <f aca="true">IF(OR($A41="",$I41=""),"",IF($BC41="Y",SUMIFS(survey_frozen!$I$2:$I$251,survey_frozen!$P$2:$P$251,$A41&amp;"|"&amp;$B41),IFERROR(SUMIFS(INDIRECT("'"&amp;$A41&amp;"'!$D$2:$D$501"),INDIRECT("'"&amp;$A41&amp;"'!$B$2:$B$501"),$T41,INDIRECT("'"&amp;$A41&amp;"'!$A$2:$A$501"),"&gt;="&amp;$I41,INDIRECT("'"&amp;$A41&amp;"'!$A$2:$A$501"),"&lt;"&amp;($BA41+1)),0)))</f>
        <v>0</v>
      </c>
      <c r="AV41" s="30" t="n">
        <f aca="true">IF(OR($A41="",$I41=""),"",IF($BC41="Y",SUMIFS(survey_frozen!$J$2:$J$251,survey_frozen!$P$2:$P$251,$A41&amp;"|"&amp;$B41),IFERROR(COUNTIFS(INDIRECT("'"&amp;$A41&amp;"'!$B$2:$B$501"),$T41,INDIRECT("'"&amp;$A41&amp;"'!$A$2:$A$501"),"&gt;="&amp;$I41,INDIRECT("'"&amp;$A41&amp;"'!$A$2:$A$501"),"&lt;"&amp;($BA41+1),INDIRECT("'"&amp;$A41&amp;"'!$E$2:$E$501"),"Yes"),0)))</f>
        <v>0</v>
      </c>
      <c r="AW41" s="30" t="n">
        <f aca="true">IF(OR($A41="",$I41=""),"",IF($BC41="Y",SUMIFS(survey_frozen!$K$2:$K$251,survey_frozen!$P$2:$P$251,$A41&amp;"|"&amp;$B41),IFERROR(COUNTIFS(INDIRECT("'"&amp;$A41&amp;"'!$B$2:$B$501"),$T41,INDIRECT("'"&amp;$A41&amp;"'!$A$2:$A$501"),"&gt;="&amp;$I41,INDIRECT("'"&amp;$A41&amp;"'!$A$2:$A$501"),"&lt;"&amp;($BA41+1),INDIRECT("'"&amp;$A41&amp;"'!$E$2:$E$501"),"Maybe"),0)))</f>
        <v>0</v>
      </c>
      <c r="AX41" s="30" t="n">
        <f aca="true">IF(OR($A41="",$I41=""),"",IF($BC41="Y",SUMIFS(survey_frozen!$L$2:$L$251,survey_frozen!$P$2:$P$251,$A41&amp;"|"&amp;$B41),IFERROR(COUNTIFS(INDIRECT("'"&amp;$A41&amp;"'!$B$2:$B$501"),$T41,INDIRECT("'"&amp;$A41&amp;"'!$A$2:$A$501"),"&gt;="&amp;$I41,INDIRECT("'"&amp;$A41&amp;"'!$A$2:$A$501"),"&lt;"&amp;($BA41+1),INDIRECT("'"&amp;$A41&amp;"'!$E$2:$E$501"),"No"),0)))</f>
        <v>0</v>
      </c>
      <c r="AY41" s="30" t="n">
        <f aca="true">IF(OR($A41="",$I41=""),"",IF($BC41="Y",SUMIFS(survey_frozen!$M$2:$M$251,survey_frozen!$P$2:$P$251,$A41&amp;"|"&amp;$B41),IFERROR(COUNTIFS(INDIRECT("'"&amp;$A41&amp;"'!$B$2:$B$501"),$T41,INDIRECT("'"&amp;$A41&amp;"'!$A$2:$A$501"),"&gt;="&amp;$I41,INDIRECT("'"&amp;$A41&amp;"'!$A$2:$A$501"),"&lt;"&amp;($BA41+1),INDIRECT("'"&amp;$A41&amp;"'!$G$2:$G$501"),"&lt;&gt;"),0)))</f>
        <v>0</v>
      </c>
      <c r="AZ41" s="30" t="str">
        <f aca="false">IF($A41="","",$A41&amp;"|"&amp;$L41)</f>
        <v>SAMPLE-CMP-005|10</v>
      </c>
      <c r="BA41" s="31" t="n">
        <f aca="false">IF($A41="","",IFERROR(IF(INDEX(drops!$R$2:$R$21,MATCH($H41,drops!$A$2:$A$21,0))="","",INDEX(drops!$R$2:$R$21,MATCH($H41,drops!$A$2:$A$21,0))),""))</f>
        <v>46434</v>
      </c>
      <c r="BB41" s="30" t="n">
        <f aca="false">IF(OR($A41="",$Q41&lt;&gt;"Y"),1000000,N($AL41))</f>
        <v>0</v>
      </c>
      <c r="BC41" s="30" t="str">
        <f aca="false">IF($A41="","",IF(COUNTIF(survey_frozen!$P$2:$P$251,$A41&amp;"|"&amp;$B41)&gt;0,"Y",""))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IF($B42="","",IFERROR(IF(INDEX(offices!$N$2:$N$61,MATCH($B42,offices!$A$2:$A$61,0))="","",INDEX(offices!$N$2:$N$61,MATCH($B42,offices!$A$2:$A$61,0))),""))</f>
        <v/>
      </c>
      <c r="L42" s="30" t="str">
        <f aca="false">IF($A42="","",IF($Q42="N","",COUNTIFS($A$2:$A42,$A42,$Q$2:$Q42,"&lt;&gt;N")))</f>
        <v/>
      </c>
      <c r="M42" s="30" t="str">
        <f aca="false">IF(OR($A42="",$L42=""),"",IF(AND(config!$B$34="names_if_public",IFERROR(IF(INDEX(offices!$AF$2:$AF$61,MATCH($B42,offices!$A$2:$A$61,0))="","",INDEX(offices!$AF$2:$AF$61,MATCH($B42,offices!$A$2:$A$61,0))),"")="Y"),$K42,CHAR(64+$L42)))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C$2:$AC$61,MATCH($B42,offices!$A$2:$A$61,0))="","",INDEX(offices!$AC$2:$AC$61,MATCH($B42,offices!$A$2:$A$61,0))),"")&lt;&gt;"",ISNUMBER(SEARCH($J42,IFERROR(IF(INDEX(offices!$AC$2:$AC$61,MATCH($B42,offices!$A$2:$A$61,0))="","",INDEX(offices!$AC$2:$AC$61,MATCH($B42,offices!$A$2:$A$61,0))),"")))),"BRAND VETOED; ","")&amp;IF(ISNUMBER(SEARCH(IFERROR(IF(INDEX(campaigns!$BF$2:$BF$51,MATCH($A42,campaigns!$A$2:$A$51,0))="","",INDEX(campaigns!$BF$2:$BF$51,MATCH($A42,campaigns!$A$2:$A$51,0))),""),IFERROR(IF(INDEX(offices!$AB$2:$AB$61,MATCH($B42,offices!$A$2:$A$61,0))="","",INDEX(offices!$AB$2:$AB$61,MATCH($B42,offices!$A$2:$A$61,0))),""))),"","info: category not on the office's list; ")&amp;IF(IFERROR(IF(INDEX(offices!$AC$2:$AC$61,MATCH($B42,offices!$A$2:$A$61,0))="","",INDEX(offices!$AC$2:$AC$61,MATCH($B42,offices!$A$2:$A$61,0))),"")&lt;&gt;"","info: read the vetoes against the label; ",""))</f>
        <v/>
      </c>
      <c r="S42" s="30" t="str">
        <f aca="false">IF($A42="","",IF($G42&lt;&gt;"",$G42,IFERROR(IF(INDEX(offices!$AL$2:$AL$61,MATCH($B42,offices!$A$2:$A$61,0))="","",INDEX(offices!$AL$2:$AL$61,MATCH($B42,offices!$A$2:$A$61,0))),"")))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IF($B43="","",IFERROR(IF(INDEX(offices!$N$2:$N$61,MATCH($B43,offices!$A$2:$A$61,0))="","",INDEX(offices!$N$2:$N$61,MATCH($B43,offices!$A$2:$A$61,0))),""))</f>
        <v/>
      </c>
      <c r="L43" s="30" t="str">
        <f aca="false">IF($A43="","",IF($Q43="N","",COUNTIFS($A$2:$A43,$A43,$Q$2:$Q43,"&lt;&gt;N")))</f>
        <v/>
      </c>
      <c r="M43" s="30" t="str">
        <f aca="false">IF(OR($A43="",$L43=""),"",IF(AND(config!$B$34="names_if_public",IFERROR(IF(INDEX(offices!$AF$2:$AF$61,MATCH($B43,offices!$A$2:$A$61,0))="","",INDEX(offices!$AF$2:$AF$61,MATCH($B43,offices!$A$2:$A$61,0))),"")="Y"),$K43,CHAR(64+$L43)))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C$2:$AC$61,MATCH($B43,offices!$A$2:$A$61,0))="","",INDEX(offices!$AC$2:$AC$61,MATCH($B43,offices!$A$2:$A$61,0))),"")&lt;&gt;"",ISNUMBER(SEARCH($J43,IFERROR(IF(INDEX(offices!$AC$2:$AC$61,MATCH($B43,offices!$A$2:$A$61,0))="","",INDEX(offices!$AC$2:$AC$61,MATCH($B43,offices!$A$2:$A$61,0))),"")))),"BRAND VETOED; ","")&amp;IF(ISNUMBER(SEARCH(IFERROR(IF(INDEX(campaigns!$BF$2:$BF$51,MATCH($A43,campaigns!$A$2:$A$51,0))="","",INDEX(campaigns!$BF$2:$BF$51,MATCH($A43,campaigns!$A$2:$A$51,0))),""),IFERROR(IF(INDEX(offices!$AB$2:$AB$61,MATCH($B43,offices!$A$2:$A$61,0))="","",INDEX(offices!$AB$2:$AB$61,MATCH($B43,offices!$A$2:$A$61,0))),""))),"","info: category not on the office's list; ")&amp;IF(IFERROR(IF(INDEX(offices!$AC$2:$AC$61,MATCH($B43,offices!$A$2:$A$61,0))="","",INDEX(offices!$AC$2:$AC$61,MATCH($B43,offices!$A$2:$A$61,0))),"")&lt;&gt;"","info: read the vetoes against the label; ",""))</f>
        <v/>
      </c>
      <c r="S43" s="30" t="str">
        <f aca="false">IF($A43="","",IF($G43&lt;&gt;"",$G43,IFERROR(IF(INDEX(offices!$AL$2:$AL$61,MATCH($B43,offices!$A$2:$A$61,0))="","",INDEX(offices!$AL$2:$AL$61,MATCH($B43,offices!$A$2:$A$61,0))),"")))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IF($B44="","",IFERROR(IF(INDEX(offices!$N$2:$N$61,MATCH($B44,offices!$A$2:$A$61,0))="","",INDEX(offices!$N$2:$N$61,MATCH($B44,offices!$A$2:$A$61,0))),""))</f>
        <v/>
      </c>
      <c r="L44" s="30" t="str">
        <f aca="false">IF($A44="","",IF($Q44="N","",COUNTIFS($A$2:$A44,$A44,$Q$2:$Q44,"&lt;&gt;N")))</f>
        <v/>
      </c>
      <c r="M44" s="30" t="str">
        <f aca="false">IF(OR($A44="",$L44=""),"",IF(AND(config!$B$34="names_if_public",IFERROR(IF(INDEX(offices!$AF$2:$AF$61,MATCH($B44,offices!$A$2:$A$61,0))="","",INDEX(offices!$AF$2:$AF$61,MATCH($B44,offices!$A$2:$A$61,0))),"")="Y"),$K44,CHAR(64+$L44)))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C$2:$AC$61,MATCH($B44,offices!$A$2:$A$61,0))="","",INDEX(offices!$AC$2:$AC$61,MATCH($B44,offices!$A$2:$A$61,0))),"")&lt;&gt;"",ISNUMBER(SEARCH($J44,IFERROR(IF(INDEX(offices!$AC$2:$AC$61,MATCH($B44,offices!$A$2:$A$61,0))="","",INDEX(offices!$AC$2:$AC$61,MATCH($B44,offices!$A$2:$A$61,0))),"")))),"BRAND VETOED; ","")&amp;IF(ISNUMBER(SEARCH(IFERROR(IF(INDEX(campaigns!$BF$2:$BF$51,MATCH($A44,campaigns!$A$2:$A$51,0))="","",INDEX(campaigns!$BF$2:$BF$51,MATCH($A44,campaigns!$A$2:$A$51,0))),""),IFERROR(IF(INDEX(offices!$AB$2:$AB$61,MATCH($B44,offices!$A$2:$A$61,0))="","",INDEX(offices!$AB$2:$AB$61,MATCH($B44,offices!$A$2:$A$61,0))),""))),"","info: category not on the office's list; ")&amp;IF(IFERROR(IF(INDEX(offices!$AC$2:$AC$61,MATCH($B44,offices!$A$2:$A$61,0))="","",INDEX(offices!$AC$2:$AC$61,MATCH($B44,offices!$A$2:$A$61,0))),"")&lt;&gt;"","info: read the vetoes against the label; ",""))</f>
        <v/>
      </c>
      <c r="S44" s="30" t="str">
        <f aca="false">IF($A44="","",IF($G44&lt;&gt;"",$G44,IFERROR(IF(INDEX(offices!$AL$2:$AL$61,MATCH($B44,offices!$A$2:$A$61,0))="","",INDEX(offices!$AL$2:$AL$61,MATCH($B44,offices!$A$2:$A$61,0))),"")))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IF($B45="","",IFERROR(IF(INDEX(offices!$N$2:$N$61,MATCH($B45,offices!$A$2:$A$61,0))="","",INDEX(offices!$N$2:$N$61,MATCH($B45,offices!$A$2:$A$61,0))),""))</f>
        <v/>
      </c>
      <c r="L45" s="30" t="str">
        <f aca="false">IF($A45="","",IF($Q45="N","",COUNTIFS($A$2:$A45,$A45,$Q$2:$Q45,"&lt;&gt;N")))</f>
        <v/>
      </c>
      <c r="M45" s="30" t="str">
        <f aca="false">IF(OR($A45="",$L45=""),"",IF(AND(config!$B$34="names_if_public",IFERROR(IF(INDEX(offices!$AF$2:$AF$61,MATCH($B45,offices!$A$2:$A$61,0))="","",INDEX(offices!$AF$2:$AF$61,MATCH($B45,offices!$A$2:$A$61,0))),"")="Y"),$K45,CHAR(64+$L45)))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C$2:$AC$61,MATCH($B45,offices!$A$2:$A$61,0))="","",INDEX(offices!$AC$2:$AC$61,MATCH($B45,offices!$A$2:$A$61,0))),"")&lt;&gt;"",ISNUMBER(SEARCH($J45,IFERROR(IF(INDEX(offices!$AC$2:$AC$61,MATCH($B45,offices!$A$2:$A$61,0))="","",INDEX(offices!$AC$2:$AC$61,MATCH($B45,offices!$A$2:$A$61,0))),"")))),"BRAND VETOED; ","")&amp;IF(ISNUMBER(SEARCH(IFERROR(IF(INDEX(campaigns!$BF$2:$BF$51,MATCH($A45,campaigns!$A$2:$A$51,0))="","",INDEX(campaigns!$BF$2:$BF$51,MATCH($A45,campaigns!$A$2:$A$51,0))),""),IFERROR(IF(INDEX(offices!$AB$2:$AB$61,MATCH($B45,offices!$A$2:$A$61,0))="","",INDEX(offices!$AB$2:$AB$61,MATCH($B45,offices!$A$2:$A$61,0))),""))),"","info: category not on the office's list; ")&amp;IF(IFERROR(IF(INDEX(offices!$AC$2:$AC$61,MATCH($B45,offices!$A$2:$A$61,0))="","",INDEX(offices!$AC$2:$AC$61,MATCH($B45,offices!$A$2:$A$61,0))),"")&lt;&gt;"","info: read the vetoes against the label; ",""))</f>
        <v/>
      </c>
      <c r="S45" s="30" t="str">
        <f aca="false">IF($A45="","",IF($G45&lt;&gt;"",$G45,IFERROR(IF(INDEX(offices!$AL$2:$AL$61,MATCH($B45,offices!$A$2:$A$61,0))="","",INDEX(offices!$AL$2:$AL$61,MATCH($B45,offices!$A$2:$A$61,0))),"")))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IF($B46="","",IFERROR(IF(INDEX(offices!$N$2:$N$61,MATCH($B46,offices!$A$2:$A$61,0))="","",INDEX(offices!$N$2:$N$61,MATCH($B46,offices!$A$2:$A$61,0))),""))</f>
        <v/>
      </c>
      <c r="L46" s="30" t="str">
        <f aca="false">IF($A46="","",IF($Q46="N","",COUNTIFS($A$2:$A46,$A46,$Q$2:$Q46,"&lt;&gt;N")))</f>
        <v/>
      </c>
      <c r="M46" s="30" t="str">
        <f aca="false">IF(OR($A46="",$L46=""),"",IF(AND(config!$B$34="names_if_public",IFERROR(IF(INDEX(offices!$AF$2:$AF$61,MATCH($B46,offices!$A$2:$A$61,0))="","",INDEX(offices!$AF$2:$AF$61,MATCH($B46,offices!$A$2:$A$61,0))),"")="Y"),$K46,CHAR(64+$L46)))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C$2:$AC$61,MATCH($B46,offices!$A$2:$A$61,0))="","",INDEX(offices!$AC$2:$AC$61,MATCH($B46,offices!$A$2:$A$61,0))),"")&lt;&gt;"",ISNUMBER(SEARCH($J46,IFERROR(IF(INDEX(offices!$AC$2:$AC$61,MATCH($B46,offices!$A$2:$A$61,0))="","",INDEX(offices!$AC$2:$AC$61,MATCH($B46,offices!$A$2:$A$61,0))),"")))),"BRAND VETOED; ","")&amp;IF(ISNUMBER(SEARCH(IFERROR(IF(INDEX(campaigns!$BF$2:$BF$51,MATCH($A46,campaigns!$A$2:$A$51,0))="","",INDEX(campaigns!$BF$2:$BF$51,MATCH($A46,campaigns!$A$2:$A$51,0))),""),IFERROR(IF(INDEX(offices!$AB$2:$AB$61,MATCH($B46,offices!$A$2:$A$61,0))="","",INDEX(offices!$AB$2:$AB$61,MATCH($B46,offices!$A$2:$A$61,0))),""))),"","info: category not on the office's list; ")&amp;IF(IFERROR(IF(INDEX(offices!$AC$2:$AC$61,MATCH($B46,offices!$A$2:$A$61,0))="","",INDEX(offices!$AC$2:$AC$61,MATCH($B46,offices!$A$2:$A$61,0))),"")&lt;&gt;"","info: read the vetoes against the label; ",""))</f>
        <v/>
      </c>
      <c r="S46" s="30" t="str">
        <f aca="false">IF($A46="","",IF($G46&lt;&gt;"",$G46,IFERROR(IF(INDEX(offices!$AL$2:$AL$61,MATCH($B46,offices!$A$2:$A$61,0))="","",INDEX(offices!$AL$2:$AL$61,MATCH($B46,offices!$A$2:$A$61,0))),"")))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IF($B47="","",IFERROR(IF(INDEX(offices!$N$2:$N$61,MATCH($B47,offices!$A$2:$A$61,0))="","",INDEX(offices!$N$2:$N$61,MATCH($B47,offices!$A$2:$A$61,0))),""))</f>
        <v/>
      </c>
      <c r="L47" s="30" t="str">
        <f aca="false">IF($A47="","",IF($Q47="N","",COUNTIFS($A$2:$A47,$A47,$Q$2:$Q47,"&lt;&gt;N")))</f>
        <v/>
      </c>
      <c r="M47" s="30" t="str">
        <f aca="false">IF(OR($A47="",$L47=""),"",IF(AND(config!$B$34="names_if_public",IFERROR(IF(INDEX(offices!$AF$2:$AF$61,MATCH($B47,offices!$A$2:$A$61,0))="","",INDEX(offices!$AF$2:$AF$61,MATCH($B47,offices!$A$2:$A$61,0))),"")="Y"),$K47,CHAR(64+$L47)))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C$2:$AC$61,MATCH($B47,offices!$A$2:$A$61,0))="","",INDEX(offices!$AC$2:$AC$61,MATCH($B47,offices!$A$2:$A$61,0))),"")&lt;&gt;"",ISNUMBER(SEARCH($J47,IFERROR(IF(INDEX(offices!$AC$2:$AC$61,MATCH($B47,offices!$A$2:$A$61,0))="","",INDEX(offices!$AC$2:$AC$61,MATCH($B47,offices!$A$2:$A$61,0))),"")))),"BRAND VETOED; ","")&amp;IF(ISNUMBER(SEARCH(IFERROR(IF(INDEX(campaigns!$BF$2:$BF$51,MATCH($A47,campaigns!$A$2:$A$51,0))="","",INDEX(campaigns!$BF$2:$BF$51,MATCH($A47,campaigns!$A$2:$A$51,0))),""),IFERROR(IF(INDEX(offices!$AB$2:$AB$61,MATCH($B47,offices!$A$2:$A$61,0))="","",INDEX(offices!$AB$2:$AB$61,MATCH($B47,offices!$A$2:$A$61,0))),""))),"","info: category not on the office's list; ")&amp;IF(IFERROR(IF(INDEX(offices!$AC$2:$AC$61,MATCH($B47,offices!$A$2:$A$61,0))="","",INDEX(offices!$AC$2:$AC$61,MATCH($B47,offices!$A$2:$A$61,0))),"")&lt;&gt;"","info: read the vetoes against the label; ",""))</f>
        <v/>
      </c>
      <c r="S47" s="30" t="str">
        <f aca="false">IF($A47="","",IF($G47&lt;&gt;"",$G47,IFERROR(IF(INDEX(offices!$AL$2:$AL$61,MATCH($B47,offices!$A$2:$A$61,0))="","",INDEX(offices!$AL$2:$AL$61,MATCH($B47,offices!$A$2:$A$61,0))),"")))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IF($B48="","",IFERROR(IF(INDEX(offices!$N$2:$N$61,MATCH($B48,offices!$A$2:$A$61,0))="","",INDEX(offices!$N$2:$N$61,MATCH($B48,offices!$A$2:$A$61,0))),""))</f>
        <v/>
      </c>
      <c r="L48" s="30" t="str">
        <f aca="false">IF($A48="","",IF($Q48="N","",COUNTIFS($A$2:$A48,$A48,$Q$2:$Q48,"&lt;&gt;N")))</f>
        <v/>
      </c>
      <c r="M48" s="30" t="str">
        <f aca="false">IF(OR($A48="",$L48=""),"",IF(AND(config!$B$34="names_if_public",IFERROR(IF(INDEX(offices!$AF$2:$AF$61,MATCH($B48,offices!$A$2:$A$61,0))="","",INDEX(offices!$AF$2:$AF$61,MATCH($B48,offices!$A$2:$A$61,0))),"")="Y"),$K48,CHAR(64+$L48)))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C$2:$AC$61,MATCH($B48,offices!$A$2:$A$61,0))="","",INDEX(offices!$AC$2:$AC$61,MATCH($B48,offices!$A$2:$A$61,0))),"")&lt;&gt;"",ISNUMBER(SEARCH($J48,IFERROR(IF(INDEX(offices!$AC$2:$AC$61,MATCH($B48,offices!$A$2:$A$61,0))="","",INDEX(offices!$AC$2:$AC$61,MATCH($B48,offices!$A$2:$A$61,0))),"")))),"BRAND VETOED; ","")&amp;IF(ISNUMBER(SEARCH(IFERROR(IF(INDEX(campaigns!$BF$2:$BF$51,MATCH($A48,campaigns!$A$2:$A$51,0))="","",INDEX(campaigns!$BF$2:$BF$51,MATCH($A48,campaigns!$A$2:$A$51,0))),""),IFERROR(IF(INDEX(offices!$AB$2:$AB$61,MATCH($B48,offices!$A$2:$A$61,0))="","",INDEX(offices!$AB$2:$AB$61,MATCH($B48,offices!$A$2:$A$61,0))),""))),"","info: category not on the office's list; ")&amp;IF(IFERROR(IF(INDEX(offices!$AC$2:$AC$61,MATCH($B48,offices!$A$2:$A$61,0))="","",INDEX(offices!$AC$2:$AC$61,MATCH($B48,offices!$A$2:$A$61,0))),"")&lt;&gt;"","info: read the vetoes against the label; ",""))</f>
        <v/>
      </c>
      <c r="S48" s="30" t="str">
        <f aca="false">IF($A48="","",IF($G48&lt;&gt;"",$G48,IFERROR(IF(INDEX(offices!$AL$2:$AL$61,MATCH($B48,offices!$A$2:$A$61,0))="","",INDEX(offices!$AL$2:$AL$61,MATCH($B48,offices!$A$2:$A$61,0))),"")))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IF($B49="","",IFERROR(IF(INDEX(offices!$N$2:$N$61,MATCH($B49,offices!$A$2:$A$61,0))="","",INDEX(offices!$N$2:$N$61,MATCH($B49,offices!$A$2:$A$61,0))),""))</f>
        <v/>
      </c>
      <c r="L49" s="30" t="str">
        <f aca="false">IF($A49="","",IF($Q49="N","",COUNTIFS($A$2:$A49,$A49,$Q$2:$Q49,"&lt;&gt;N")))</f>
        <v/>
      </c>
      <c r="M49" s="30" t="str">
        <f aca="false">IF(OR($A49="",$L49=""),"",IF(AND(config!$B$34="names_if_public",IFERROR(IF(INDEX(offices!$AF$2:$AF$61,MATCH($B49,offices!$A$2:$A$61,0))="","",INDEX(offices!$AF$2:$AF$61,MATCH($B49,offices!$A$2:$A$61,0))),"")="Y"),$K49,CHAR(64+$L49)))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C$2:$AC$61,MATCH($B49,offices!$A$2:$A$61,0))="","",INDEX(offices!$AC$2:$AC$61,MATCH($B49,offices!$A$2:$A$61,0))),"")&lt;&gt;"",ISNUMBER(SEARCH($J49,IFERROR(IF(INDEX(offices!$AC$2:$AC$61,MATCH($B49,offices!$A$2:$A$61,0))="","",INDEX(offices!$AC$2:$AC$61,MATCH($B49,offices!$A$2:$A$61,0))),"")))),"BRAND VETOED; ","")&amp;IF(ISNUMBER(SEARCH(IFERROR(IF(INDEX(campaigns!$BF$2:$BF$51,MATCH($A49,campaigns!$A$2:$A$51,0))="","",INDEX(campaigns!$BF$2:$BF$51,MATCH($A49,campaigns!$A$2:$A$51,0))),""),IFERROR(IF(INDEX(offices!$AB$2:$AB$61,MATCH($B49,offices!$A$2:$A$61,0))="","",INDEX(offices!$AB$2:$AB$61,MATCH($B49,offices!$A$2:$A$61,0))),""))),"","info: category not on the office's list; ")&amp;IF(IFERROR(IF(INDEX(offices!$AC$2:$AC$61,MATCH($B49,offices!$A$2:$A$61,0))="","",INDEX(offices!$AC$2:$AC$61,MATCH($B49,offices!$A$2:$A$61,0))),"")&lt;&gt;"","info: read the vetoes against the label; ",""))</f>
        <v/>
      </c>
      <c r="S49" s="30" t="str">
        <f aca="false">IF($A49="","",IF($G49&lt;&gt;"",$G49,IFERROR(IF(INDEX(offices!$AL$2:$AL$61,MATCH($B49,offices!$A$2:$A$61,0))="","",INDEX(offices!$AL$2:$AL$61,MATCH($B49,offices!$A$2:$A$61,0))),"")))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IF($B50="","",IFERROR(IF(INDEX(offices!$N$2:$N$61,MATCH($B50,offices!$A$2:$A$61,0))="","",INDEX(offices!$N$2:$N$61,MATCH($B50,offices!$A$2:$A$61,0))),""))</f>
        <v/>
      </c>
      <c r="L50" s="30" t="str">
        <f aca="false">IF($A50="","",IF($Q50="N","",COUNTIFS($A$2:$A50,$A50,$Q$2:$Q50,"&lt;&gt;N")))</f>
        <v/>
      </c>
      <c r="M50" s="30" t="str">
        <f aca="false">IF(OR($A50="",$L50=""),"",IF(AND(config!$B$34="names_if_public",IFERROR(IF(INDEX(offices!$AF$2:$AF$61,MATCH($B50,offices!$A$2:$A$61,0))="","",INDEX(offices!$AF$2:$AF$61,MATCH($B50,offices!$A$2:$A$61,0))),"")="Y"),$K50,CHAR(64+$L50)))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C$2:$AC$61,MATCH($B50,offices!$A$2:$A$61,0))="","",INDEX(offices!$AC$2:$AC$61,MATCH($B50,offices!$A$2:$A$61,0))),"")&lt;&gt;"",ISNUMBER(SEARCH($J50,IFERROR(IF(INDEX(offices!$AC$2:$AC$61,MATCH($B50,offices!$A$2:$A$61,0))="","",INDEX(offices!$AC$2:$AC$61,MATCH($B50,offices!$A$2:$A$61,0))),"")))),"BRAND VETOED; ","")&amp;IF(ISNUMBER(SEARCH(IFERROR(IF(INDEX(campaigns!$BF$2:$BF$51,MATCH($A50,campaigns!$A$2:$A$51,0))="","",INDEX(campaigns!$BF$2:$BF$51,MATCH($A50,campaigns!$A$2:$A$51,0))),""),IFERROR(IF(INDEX(offices!$AB$2:$AB$61,MATCH($B50,offices!$A$2:$A$61,0))="","",INDEX(offices!$AB$2:$AB$61,MATCH($B50,offices!$A$2:$A$61,0))),""))),"","info: category not on the office's list; ")&amp;IF(IFERROR(IF(INDEX(offices!$AC$2:$AC$61,MATCH($B50,offices!$A$2:$A$61,0))="","",INDEX(offices!$AC$2:$AC$61,MATCH($B50,offices!$A$2:$A$61,0))),"")&lt;&gt;"","info: read the vetoes against the label; ",""))</f>
        <v/>
      </c>
      <c r="S50" s="30" t="str">
        <f aca="false">IF($A50="","",IF($G50&lt;&gt;"",$G50,IFERROR(IF(INDEX(offices!$AL$2:$AL$61,MATCH($B50,offices!$A$2:$A$61,0))="","",INDEX(offices!$AL$2:$AL$61,MATCH($B50,offices!$A$2:$A$61,0))),"")))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IF($B51="","",IFERROR(IF(INDEX(offices!$N$2:$N$61,MATCH($B51,offices!$A$2:$A$61,0))="","",INDEX(offices!$N$2:$N$61,MATCH($B51,offices!$A$2:$A$61,0))),""))</f>
        <v/>
      </c>
      <c r="L51" s="30" t="str">
        <f aca="false">IF($A51="","",IF($Q51="N","",COUNTIFS($A$2:$A51,$A51,$Q$2:$Q51,"&lt;&gt;N")))</f>
        <v/>
      </c>
      <c r="M51" s="30" t="str">
        <f aca="false">IF(OR($A51="",$L51=""),"",IF(AND(config!$B$34="names_if_public",IFERROR(IF(INDEX(offices!$AF$2:$AF$61,MATCH($B51,offices!$A$2:$A$61,0))="","",INDEX(offices!$AF$2:$AF$61,MATCH($B51,offices!$A$2:$A$61,0))),"")="Y"),$K51,CHAR(64+$L51)))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C$2:$AC$61,MATCH($B51,offices!$A$2:$A$61,0))="","",INDEX(offices!$AC$2:$AC$61,MATCH($B51,offices!$A$2:$A$61,0))),"")&lt;&gt;"",ISNUMBER(SEARCH($J51,IFERROR(IF(INDEX(offices!$AC$2:$AC$61,MATCH($B51,offices!$A$2:$A$61,0))="","",INDEX(offices!$AC$2:$AC$61,MATCH($B51,offices!$A$2:$A$61,0))),"")))),"BRAND VETOED; ","")&amp;IF(ISNUMBER(SEARCH(IFERROR(IF(INDEX(campaigns!$BF$2:$BF$51,MATCH($A51,campaigns!$A$2:$A$51,0))="","",INDEX(campaigns!$BF$2:$BF$51,MATCH($A51,campaigns!$A$2:$A$51,0))),""),IFERROR(IF(INDEX(offices!$AB$2:$AB$61,MATCH($B51,offices!$A$2:$A$61,0))="","",INDEX(offices!$AB$2:$AB$61,MATCH($B51,offices!$A$2:$A$61,0))),""))),"","info: category not on the office's list; ")&amp;IF(IFERROR(IF(INDEX(offices!$AC$2:$AC$61,MATCH($B51,offices!$A$2:$A$61,0))="","",INDEX(offices!$AC$2:$AC$61,MATCH($B51,offices!$A$2:$A$61,0))),"")&lt;&gt;"","info: read the vetoes against the label; ",""))</f>
        <v/>
      </c>
      <c r="S51" s="30" t="str">
        <f aca="false">IF($A51="","",IF($G51&lt;&gt;"",$G51,IFERROR(IF(INDEX(offices!$AL$2:$AL$61,MATCH($B51,offices!$A$2:$A$61,0))="","",INDEX(offices!$AL$2:$AL$61,MATCH($B51,offices!$A$2:$A$61,0))),"")))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IF($B52="","",IFERROR(IF(INDEX(offices!$N$2:$N$61,MATCH($B52,offices!$A$2:$A$61,0))="","",INDEX(offices!$N$2:$N$61,MATCH($B52,offices!$A$2:$A$61,0))),""))</f>
        <v/>
      </c>
      <c r="L52" s="30" t="str">
        <f aca="false">IF($A52="","",IF($Q52="N","",COUNTIFS($A$2:$A52,$A52,$Q$2:$Q52,"&lt;&gt;N")))</f>
        <v/>
      </c>
      <c r="M52" s="30" t="str">
        <f aca="false">IF(OR($A52="",$L52=""),"",IF(AND(config!$B$34="names_if_public",IFERROR(IF(INDEX(offices!$AF$2:$AF$61,MATCH($B52,offices!$A$2:$A$61,0))="","",INDEX(offices!$AF$2:$AF$61,MATCH($B52,offices!$A$2:$A$61,0))),"")="Y"),$K52,CHAR(64+$L52)))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C$2:$AC$61,MATCH($B52,offices!$A$2:$A$61,0))="","",INDEX(offices!$AC$2:$AC$61,MATCH($B52,offices!$A$2:$A$61,0))),"")&lt;&gt;"",ISNUMBER(SEARCH($J52,IFERROR(IF(INDEX(offices!$AC$2:$AC$61,MATCH($B52,offices!$A$2:$A$61,0))="","",INDEX(offices!$AC$2:$AC$61,MATCH($B52,offices!$A$2:$A$61,0))),"")))),"BRAND VETOED; ","")&amp;IF(ISNUMBER(SEARCH(IFERROR(IF(INDEX(campaigns!$BF$2:$BF$51,MATCH($A52,campaigns!$A$2:$A$51,0))="","",INDEX(campaigns!$BF$2:$BF$51,MATCH($A52,campaigns!$A$2:$A$51,0))),""),IFERROR(IF(INDEX(offices!$AB$2:$AB$61,MATCH($B52,offices!$A$2:$A$61,0))="","",INDEX(offices!$AB$2:$AB$61,MATCH($B52,offices!$A$2:$A$61,0))),""))),"","info: category not on the office's list; ")&amp;IF(IFERROR(IF(INDEX(offices!$AC$2:$AC$61,MATCH($B52,offices!$A$2:$A$61,0))="","",INDEX(offices!$AC$2:$AC$61,MATCH($B52,offices!$A$2:$A$61,0))),"")&lt;&gt;"","info: read the vetoes against the label; ",""))</f>
        <v/>
      </c>
      <c r="S52" s="30" t="str">
        <f aca="false">IF($A52="","",IF($G52&lt;&gt;"",$G52,IFERROR(IF(INDEX(offices!$AL$2:$AL$61,MATCH($B52,offices!$A$2:$A$61,0))="","",INDEX(offices!$AL$2:$AL$61,MATCH($B52,offices!$A$2:$A$61,0))),"")))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IF($B53="","",IFERROR(IF(INDEX(offices!$N$2:$N$61,MATCH($B53,offices!$A$2:$A$61,0))="","",INDEX(offices!$N$2:$N$61,MATCH($B53,offices!$A$2:$A$61,0))),""))</f>
        <v/>
      </c>
      <c r="L53" s="30" t="str">
        <f aca="false">IF($A53="","",IF($Q53="N","",COUNTIFS($A$2:$A53,$A53,$Q$2:$Q53,"&lt;&gt;N")))</f>
        <v/>
      </c>
      <c r="M53" s="30" t="str">
        <f aca="false">IF(OR($A53="",$L53=""),"",IF(AND(config!$B$34="names_if_public",IFERROR(IF(INDEX(offices!$AF$2:$AF$61,MATCH($B53,offices!$A$2:$A$61,0))="","",INDEX(offices!$AF$2:$AF$61,MATCH($B53,offices!$A$2:$A$61,0))),"")="Y"),$K53,CHAR(64+$L53)))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C$2:$AC$61,MATCH($B53,offices!$A$2:$A$61,0))="","",INDEX(offices!$AC$2:$AC$61,MATCH($B53,offices!$A$2:$A$61,0))),"")&lt;&gt;"",ISNUMBER(SEARCH($J53,IFERROR(IF(INDEX(offices!$AC$2:$AC$61,MATCH($B53,offices!$A$2:$A$61,0))="","",INDEX(offices!$AC$2:$AC$61,MATCH($B53,offices!$A$2:$A$61,0))),"")))),"BRAND VETOED; ","")&amp;IF(ISNUMBER(SEARCH(IFERROR(IF(INDEX(campaigns!$BF$2:$BF$51,MATCH($A53,campaigns!$A$2:$A$51,0))="","",INDEX(campaigns!$BF$2:$BF$51,MATCH($A53,campaigns!$A$2:$A$51,0))),""),IFERROR(IF(INDEX(offices!$AB$2:$AB$61,MATCH($B53,offices!$A$2:$A$61,0))="","",INDEX(offices!$AB$2:$AB$61,MATCH($B53,offices!$A$2:$A$61,0))),""))),"","info: category not on the office's list; ")&amp;IF(IFERROR(IF(INDEX(offices!$AC$2:$AC$61,MATCH($B53,offices!$A$2:$A$61,0))="","",INDEX(offices!$AC$2:$AC$61,MATCH($B53,offices!$A$2:$A$61,0))),"")&lt;&gt;"","info: read the vetoes against the label; ",""))</f>
        <v/>
      </c>
      <c r="S53" s="30" t="str">
        <f aca="false">IF($A53="","",IF($G53&lt;&gt;"",$G53,IFERROR(IF(INDEX(offices!$AL$2:$AL$61,MATCH($B53,offices!$A$2:$A$61,0))="","",INDEX(offices!$AL$2:$AL$61,MATCH($B53,offices!$A$2:$A$61,0))),"")))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IF($B54="","",IFERROR(IF(INDEX(offices!$N$2:$N$61,MATCH($B54,offices!$A$2:$A$61,0))="","",INDEX(offices!$N$2:$N$61,MATCH($B54,offices!$A$2:$A$61,0))),""))</f>
        <v/>
      </c>
      <c r="L54" s="30" t="str">
        <f aca="false">IF($A54="","",IF($Q54="N","",COUNTIFS($A$2:$A54,$A54,$Q$2:$Q54,"&lt;&gt;N")))</f>
        <v/>
      </c>
      <c r="M54" s="30" t="str">
        <f aca="false">IF(OR($A54="",$L54=""),"",IF(AND(config!$B$34="names_if_public",IFERROR(IF(INDEX(offices!$AF$2:$AF$61,MATCH($B54,offices!$A$2:$A$61,0))="","",INDEX(offices!$AF$2:$AF$61,MATCH($B54,offices!$A$2:$A$61,0))),"")="Y"),$K54,CHAR(64+$L54)))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C$2:$AC$61,MATCH($B54,offices!$A$2:$A$61,0))="","",INDEX(offices!$AC$2:$AC$61,MATCH($B54,offices!$A$2:$A$61,0))),"")&lt;&gt;"",ISNUMBER(SEARCH($J54,IFERROR(IF(INDEX(offices!$AC$2:$AC$61,MATCH($B54,offices!$A$2:$A$61,0))="","",INDEX(offices!$AC$2:$AC$61,MATCH($B54,offices!$A$2:$A$61,0))),"")))),"BRAND VETOED; ","")&amp;IF(ISNUMBER(SEARCH(IFERROR(IF(INDEX(campaigns!$BF$2:$BF$51,MATCH($A54,campaigns!$A$2:$A$51,0))="","",INDEX(campaigns!$BF$2:$BF$51,MATCH($A54,campaigns!$A$2:$A$51,0))),""),IFERROR(IF(INDEX(offices!$AB$2:$AB$61,MATCH($B54,offices!$A$2:$A$61,0))="","",INDEX(offices!$AB$2:$AB$61,MATCH($B54,offices!$A$2:$A$61,0))),""))),"","info: category not on the office's list; ")&amp;IF(IFERROR(IF(INDEX(offices!$AC$2:$AC$61,MATCH($B54,offices!$A$2:$A$61,0))="","",INDEX(offices!$AC$2:$AC$61,MATCH($B54,offices!$A$2:$A$61,0))),"")&lt;&gt;"","info: read the vetoes against the label; ",""))</f>
        <v/>
      </c>
      <c r="S54" s="30" t="str">
        <f aca="false">IF($A54="","",IF($G54&lt;&gt;"",$G54,IFERROR(IF(INDEX(offices!$AL$2:$AL$61,MATCH($B54,offices!$A$2:$A$61,0))="","",INDEX(offices!$AL$2:$AL$61,MATCH($B54,offices!$A$2:$A$61,0))),"")))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IF($B55="","",IFERROR(IF(INDEX(offices!$N$2:$N$61,MATCH($B55,offices!$A$2:$A$61,0))="","",INDEX(offices!$N$2:$N$61,MATCH($B55,offices!$A$2:$A$61,0))),""))</f>
        <v/>
      </c>
      <c r="L55" s="30" t="str">
        <f aca="false">IF($A55="","",IF($Q55="N","",COUNTIFS($A$2:$A55,$A55,$Q$2:$Q55,"&lt;&gt;N")))</f>
        <v/>
      </c>
      <c r="M55" s="30" t="str">
        <f aca="false">IF(OR($A55="",$L55=""),"",IF(AND(config!$B$34="names_if_public",IFERROR(IF(INDEX(offices!$AF$2:$AF$61,MATCH($B55,offices!$A$2:$A$61,0))="","",INDEX(offices!$AF$2:$AF$61,MATCH($B55,offices!$A$2:$A$61,0))),"")="Y"),$K55,CHAR(64+$L55)))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C$2:$AC$61,MATCH($B55,offices!$A$2:$A$61,0))="","",INDEX(offices!$AC$2:$AC$61,MATCH($B55,offices!$A$2:$A$61,0))),"")&lt;&gt;"",ISNUMBER(SEARCH($J55,IFERROR(IF(INDEX(offices!$AC$2:$AC$61,MATCH($B55,offices!$A$2:$A$61,0))="","",INDEX(offices!$AC$2:$AC$61,MATCH($B55,offices!$A$2:$A$61,0))),"")))),"BRAND VETOED; ","")&amp;IF(ISNUMBER(SEARCH(IFERROR(IF(INDEX(campaigns!$BF$2:$BF$51,MATCH($A55,campaigns!$A$2:$A$51,0))="","",INDEX(campaigns!$BF$2:$BF$51,MATCH($A55,campaigns!$A$2:$A$51,0))),""),IFERROR(IF(INDEX(offices!$AB$2:$AB$61,MATCH($B55,offices!$A$2:$A$61,0))="","",INDEX(offices!$AB$2:$AB$61,MATCH($B55,offices!$A$2:$A$61,0))),""))),"","info: category not on the office's list; ")&amp;IF(IFERROR(IF(INDEX(offices!$AC$2:$AC$61,MATCH($B55,offices!$A$2:$A$61,0))="","",INDEX(offices!$AC$2:$AC$61,MATCH($B55,offices!$A$2:$A$61,0))),"")&lt;&gt;"","info: read the vetoes against the label; ",""))</f>
        <v/>
      </c>
      <c r="S55" s="30" t="str">
        <f aca="false">IF($A55="","",IF($G55&lt;&gt;"",$G55,IFERROR(IF(INDEX(offices!$AL$2:$AL$61,MATCH($B55,offices!$A$2:$A$61,0))="","",INDEX(offices!$AL$2:$AL$61,MATCH($B55,offices!$A$2:$A$61,0))),"")))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IF($B56="","",IFERROR(IF(INDEX(offices!$N$2:$N$61,MATCH($B56,offices!$A$2:$A$61,0))="","",INDEX(offices!$N$2:$N$61,MATCH($B56,offices!$A$2:$A$61,0))),""))</f>
        <v/>
      </c>
      <c r="L56" s="30" t="str">
        <f aca="false">IF($A56="","",IF($Q56="N","",COUNTIFS($A$2:$A56,$A56,$Q$2:$Q56,"&lt;&gt;N")))</f>
        <v/>
      </c>
      <c r="M56" s="30" t="str">
        <f aca="false">IF(OR($A56="",$L56=""),"",IF(AND(config!$B$34="names_if_public",IFERROR(IF(INDEX(offices!$AF$2:$AF$61,MATCH($B56,offices!$A$2:$A$61,0))="","",INDEX(offices!$AF$2:$AF$61,MATCH($B56,offices!$A$2:$A$61,0))),"")="Y"),$K56,CHAR(64+$L56)))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C$2:$AC$61,MATCH($B56,offices!$A$2:$A$61,0))="","",INDEX(offices!$AC$2:$AC$61,MATCH($B56,offices!$A$2:$A$61,0))),"")&lt;&gt;"",ISNUMBER(SEARCH($J56,IFERROR(IF(INDEX(offices!$AC$2:$AC$61,MATCH($B56,offices!$A$2:$A$61,0))="","",INDEX(offices!$AC$2:$AC$61,MATCH($B56,offices!$A$2:$A$61,0))),"")))),"BRAND VETOED; ","")&amp;IF(ISNUMBER(SEARCH(IFERROR(IF(INDEX(campaigns!$BF$2:$BF$51,MATCH($A56,campaigns!$A$2:$A$51,0))="","",INDEX(campaigns!$BF$2:$BF$51,MATCH($A56,campaigns!$A$2:$A$51,0))),""),IFERROR(IF(INDEX(offices!$AB$2:$AB$61,MATCH($B56,offices!$A$2:$A$61,0))="","",INDEX(offices!$AB$2:$AB$61,MATCH($B56,offices!$A$2:$A$61,0))),""))),"","info: category not on the office's list; ")&amp;IF(IFERROR(IF(INDEX(offices!$AC$2:$AC$61,MATCH($B56,offices!$A$2:$A$61,0))="","",INDEX(offices!$AC$2:$AC$61,MATCH($B56,offices!$A$2:$A$61,0))),"")&lt;&gt;"","info: read the vetoes against the label; ",""))</f>
        <v/>
      </c>
      <c r="S56" s="30" t="str">
        <f aca="false">IF($A56="","",IF($G56&lt;&gt;"",$G56,IFERROR(IF(INDEX(offices!$AL$2:$AL$61,MATCH($B56,offices!$A$2:$A$61,0))="","",INDEX(offices!$AL$2:$AL$61,MATCH($B56,offices!$A$2:$A$61,0))),"")))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IF($B57="","",IFERROR(IF(INDEX(offices!$N$2:$N$61,MATCH($B57,offices!$A$2:$A$61,0))="","",INDEX(offices!$N$2:$N$61,MATCH($B57,offices!$A$2:$A$61,0))),""))</f>
        <v/>
      </c>
      <c r="L57" s="30" t="str">
        <f aca="false">IF($A57="","",IF($Q57="N","",COUNTIFS($A$2:$A57,$A57,$Q$2:$Q57,"&lt;&gt;N")))</f>
        <v/>
      </c>
      <c r="M57" s="30" t="str">
        <f aca="false">IF(OR($A57="",$L57=""),"",IF(AND(config!$B$34="names_if_public",IFERROR(IF(INDEX(offices!$AF$2:$AF$61,MATCH($B57,offices!$A$2:$A$61,0))="","",INDEX(offices!$AF$2:$AF$61,MATCH($B57,offices!$A$2:$A$61,0))),"")="Y"),$K57,CHAR(64+$L57)))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C$2:$AC$61,MATCH($B57,offices!$A$2:$A$61,0))="","",INDEX(offices!$AC$2:$AC$61,MATCH($B57,offices!$A$2:$A$61,0))),"")&lt;&gt;"",ISNUMBER(SEARCH($J57,IFERROR(IF(INDEX(offices!$AC$2:$AC$61,MATCH($B57,offices!$A$2:$A$61,0))="","",INDEX(offices!$AC$2:$AC$61,MATCH($B57,offices!$A$2:$A$61,0))),"")))),"BRAND VETOED; ","")&amp;IF(ISNUMBER(SEARCH(IFERROR(IF(INDEX(campaigns!$BF$2:$BF$51,MATCH($A57,campaigns!$A$2:$A$51,0))="","",INDEX(campaigns!$BF$2:$BF$51,MATCH($A57,campaigns!$A$2:$A$51,0))),""),IFERROR(IF(INDEX(offices!$AB$2:$AB$61,MATCH($B57,offices!$A$2:$A$61,0))="","",INDEX(offices!$AB$2:$AB$61,MATCH($B57,offices!$A$2:$A$61,0))),""))),"","info: category not on the office's list; ")&amp;IF(IFERROR(IF(INDEX(offices!$AC$2:$AC$61,MATCH($B57,offices!$A$2:$A$61,0))="","",INDEX(offices!$AC$2:$AC$61,MATCH($B57,offices!$A$2:$A$61,0))),"")&lt;&gt;"","info: read the vetoes against the label; ",""))</f>
        <v/>
      </c>
      <c r="S57" s="30" t="str">
        <f aca="false">IF($A57="","",IF($G57&lt;&gt;"",$G57,IFERROR(IF(INDEX(offices!$AL$2:$AL$61,MATCH($B57,offices!$A$2:$A$61,0))="","",INDEX(offices!$AL$2:$AL$61,MATCH($B57,offices!$A$2:$A$61,0))),"")))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IF($B58="","",IFERROR(IF(INDEX(offices!$N$2:$N$61,MATCH($B58,offices!$A$2:$A$61,0))="","",INDEX(offices!$N$2:$N$61,MATCH($B58,offices!$A$2:$A$61,0))),""))</f>
        <v/>
      </c>
      <c r="L58" s="30" t="str">
        <f aca="false">IF($A58="","",IF($Q58="N","",COUNTIFS($A$2:$A58,$A58,$Q$2:$Q58,"&lt;&gt;N")))</f>
        <v/>
      </c>
      <c r="M58" s="30" t="str">
        <f aca="false">IF(OR($A58="",$L58=""),"",IF(AND(config!$B$34="names_if_public",IFERROR(IF(INDEX(offices!$AF$2:$AF$61,MATCH($B58,offices!$A$2:$A$61,0))="","",INDEX(offices!$AF$2:$AF$61,MATCH($B58,offices!$A$2:$A$61,0))),"")="Y"),$K58,CHAR(64+$L58)))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C$2:$AC$61,MATCH($B58,offices!$A$2:$A$61,0))="","",INDEX(offices!$AC$2:$AC$61,MATCH($B58,offices!$A$2:$A$61,0))),"")&lt;&gt;"",ISNUMBER(SEARCH($J58,IFERROR(IF(INDEX(offices!$AC$2:$AC$61,MATCH($B58,offices!$A$2:$A$61,0))="","",INDEX(offices!$AC$2:$AC$61,MATCH($B58,offices!$A$2:$A$61,0))),"")))),"BRAND VETOED; ","")&amp;IF(ISNUMBER(SEARCH(IFERROR(IF(INDEX(campaigns!$BF$2:$BF$51,MATCH($A58,campaigns!$A$2:$A$51,0))="","",INDEX(campaigns!$BF$2:$BF$51,MATCH($A58,campaigns!$A$2:$A$51,0))),""),IFERROR(IF(INDEX(offices!$AB$2:$AB$61,MATCH($B58,offices!$A$2:$A$61,0))="","",INDEX(offices!$AB$2:$AB$61,MATCH($B58,offices!$A$2:$A$61,0))),""))),"","info: category not on the office's list; ")&amp;IF(IFERROR(IF(INDEX(offices!$AC$2:$AC$61,MATCH($B58,offices!$A$2:$A$61,0))="","",INDEX(offices!$AC$2:$AC$61,MATCH($B58,offices!$A$2:$A$61,0))),"")&lt;&gt;"","info: read the vetoes against the label; ",""))</f>
        <v/>
      </c>
      <c r="S58" s="30" t="str">
        <f aca="false">IF($A58="","",IF($G58&lt;&gt;"",$G58,IFERROR(IF(INDEX(offices!$AL$2:$AL$61,MATCH($B58,offices!$A$2:$A$61,0))="","",INDEX(offices!$AL$2:$AL$61,MATCH($B58,offices!$A$2:$A$61,0))),"")))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IF($B59="","",IFERROR(IF(INDEX(offices!$N$2:$N$61,MATCH($B59,offices!$A$2:$A$61,0))="","",INDEX(offices!$N$2:$N$61,MATCH($B59,offices!$A$2:$A$61,0))),""))</f>
        <v/>
      </c>
      <c r="L59" s="30" t="str">
        <f aca="false">IF($A59="","",IF($Q59="N","",COUNTIFS($A$2:$A59,$A59,$Q$2:$Q59,"&lt;&gt;N")))</f>
        <v/>
      </c>
      <c r="M59" s="30" t="str">
        <f aca="false">IF(OR($A59="",$L59=""),"",IF(AND(config!$B$34="names_if_public",IFERROR(IF(INDEX(offices!$AF$2:$AF$61,MATCH($B59,offices!$A$2:$A$61,0))="","",INDEX(offices!$AF$2:$AF$61,MATCH($B59,offices!$A$2:$A$61,0))),"")="Y"),$K59,CHAR(64+$L59)))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C$2:$AC$61,MATCH($B59,offices!$A$2:$A$61,0))="","",INDEX(offices!$AC$2:$AC$61,MATCH($B59,offices!$A$2:$A$61,0))),"")&lt;&gt;"",ISNUMBER(SEARCH($J59,IFERROR(IF(INDEX(offices!$AC$2:$AC$61,MATCH($B59,offices!$A$2:$A$61,0))="","",INDEX(offices!$AC$2:$AC$61,MATCH($B59,offices!$A$2:$A$61,0))),"")))),"BRAND VETOED; ","")&amp;IF(ISNUMBER(SEARCH(IFERROR(IF(INDEX(campaigns!$BF$2:$BF$51,MATCH($A59,campaigns!$A$2:$A$51,0))="","",INDEX(campaigns!$BF$2:$BF$51,MATCH($A59,campaigns!$A$2:$A$51,0))),""),IFERROR(IF(INDEX(offices!$AB$2:$AB$61,MATCH($B59,offices!$A$2:$A$61,0))="","",INDEX(offices!$AB$2:$AB$61,MATCH($B59,offices!$A$2:$A$61,0))),""))),"","info: category not on the office's list; ")&amp;IF(IFERROR(IF(INDEX(offices!$AC$2:$AC$61,MATCH($B59,offices!$A$2:$A$61,0))="","",INDEX(offices!$AC$2:$AC$61,MATCH($B59,offices!$A$2:$A$61,0))),"")&lt;&gt;"","info: read the vetoes against the label; ",""))</f>
        <v/>
      </c>
      <c r="S59" s="30" t="str">
        <f aca="false">IF($A59="","",IF($G59&lt;&gt;"",$G59,IFERROR(IF(INDEX(offices!$AL$2:$AL$61,MATCH($B59,offices!$A$2:$A$61,0))="","",INDEX(offices!$AL$2:$AL$61,MATCH($B59,offices!$A$2:$A$61,0))),"")))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IF($B60="","",IFERROR(IF(INDEX(offices!$N$2:$N$61,MATCH($B60,offices!$A$2:$A$61,0))="","",INDEX(offices!$N$2:$N$61,MATCH($B60,offices!$A$2:$A$61,0))),""))</f>
        <v/>
      </c>
      <c r="L60" s="30" t="str">
        <f aca="false">IF($A60="","",IF($Q60="N","",COUNTIFS($A$2:$A60,$A60,$Q$2:$Q60,"&lt;&gt;N")))</f>
        <v/>
      </c>
      <c r="M60" s="30" t="str">
        <f aca="false">IF(OR($A60="",$L60=""),"",IF(AND(config!$B$34="names_if_public",IFERROR(IF(INDEX(offices!$AF$2:$AF$61,MATCH($B60,offices!$A$2:$A$61,0))="","",INDEX(offices!$AF$2:$AF$61,MATCH($B60,offices!$A$2:$A$61,0))),"")="Y"),$K60,CHAR(64+$L60)))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C$2:$AC$61,MATCH($B60,offices!$A$2:$A$61,0))="","",INDEX(offices!$AC$2:$AC$61,MATCH($B60,offices!$A$2:$A$61,0))),"")&lt;&gt;"",ISNUMBER(SEARCH($J60,IFERROR(IF(INDEX(offices!$AC$2:$AC$61,MATCH($B60,offices!$A$2:$A$61,0))="","",INDEX(offices!$AC$2:$AC$61,MATCH($B60,offices!$A$2:$A$61,0))),"")))),"BRAND VETOED; ","")&amp;IF(ISNUMBER(SEARCH(IFERROR(IF(INDEX(campaigns!$BF$2:$BF$51,MATCH($A60,campaigns!$A$2:$A$51,0))="","",INDEX(campaigns!$BF$2:$BF$51,MATCH($A60,campaigns!$A$2:$A$51,0))),""),IFERROR(IF(INDEX(offices!$AB$2:$AB$61,MATCH($B60,offices!$A$2:$A$61,0))="","",INDEX(offices!$AB$2:$AB$61,MATCH($B60,offices!$A$2:$A$61,0))),""))),"","info: category not on the office's list; ")&amp;IF(IFERROR(IF(INDEX(offices!$AC$2:$AC$61,MATCH($B60,offices!$A$2:$A$61,0))="","",INDEX(offices!$AC$2:$AC$61,MATCH($B60,offices!$A$2:$A$61,0))),"")&lt;&gt;"","info: read the vetoes against the label; ",""))</f>
        <v/>
      </c>
      <c r="S60" s="30" t="str">
        <f aca="false">IF($A60="","",IF($G60&lt;&gt;"",$G60,IFERROR(IF(INDEX(offices!$AL$2:$AL$61,MATCH($B60,offices!$A$2:$A$61,0))="","",INDEX(offices!$AL$2:$AL$61,MATCH($B60,offices!$A$2:$A$61,0))),"")))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IF($B61="","",IFERROR(IF(INDEX(offices!$N$2:$N$61,MATCH($B61,offices!$A$2:$A$61,0))="","",INDEX(offices!$N$2:$N$61,MATCH($B61,offices!$A$2:$A$61,0))),""))</f>
        <v/>
      </c>
      <c r="L61" s="30" t="str">
        <f aca="false">IF($A61="","",IF($Q61="N","",COUNTIFS($A$2:$A61,$A61,$Q$2:$Q61,"&lt;&gt;N")))</f>
        <v/>
      </c>
      <c r="M61" s="30" t="str">
        <f aca="false">IF(OR($A61="",$L61=""),"",IF(AND(config!$B$34="names_if_public",IFERROR(IF(INDEX(offices!$AF$2:$AF$61,MATCH($B61,offices!$A$2:$A$61,0))="","",INDEX(offices!$AF$2:$AF$61,MATCH($B61,offices!$A$2:$A$61,0))),"")="Y"),$K61,CHAR(64+$L61)))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C$2:$AC$61,MATCH($B61,offices!$A$2:$A$61,0))="","",INDEX(offices!$AC$2:$AC$61,MATCH($B61,offices!$A$2:$A$61,0))),"")&lt;&gt;"",ISNUMBER(SEARCH($J61,IFERROR(IF(INDEX(offices!$AC$2:$AC$61,MATCH($B61,offices!$A$2:$A$61,0))="","",INDEX(offices!$AC$2:$AC$61,MATCH($B61,offices!$A$2:$A$61,0))),"")))),"BRAND VETOED; ","")&amp;IF(ISNUMBER(SEARCH(IFERROR(IF(INDEX(campaigns!$BF$2:$BF$51,MATCH($A61,campaigns!$A$2:$A$51,0))="","",INDEX(campaigns!$BF$2:$BF$51,MATCH($A61,campaigns!$A$2:$A$51,0))),""),IFERROR(IF(INDEX(offices!$AB$2:$AB$61,MATCH($B61,offices!$A$2:$A$61,0))="","",INDEX(offices!$AB$2:$AB$61,MATCH($B61,offices!$A$2:$A$61,0))),""))),"","info: category not on the office's list; ")&amp;IF(IFERROR(IF(INDEX(offices!$AC$2:$AC$61,MATCH($B61,offices!$A$2:$A$61,0))="","",INDEX(offices!$AC$2:$AC$61,MATCH($B61,offices!$A$2:$A$61,0))),"")&lt;&gt;"","info: read the vetoes against the label; ",""))</f>
        <v/>
      </c>
      <c r="S61" s="30" t="str">
        <f aca="false">IF($A61="","",IF($G61&lt;&gt;"",$G61,IFERROR(IF(INDEX(offices!$AL$2:$AL$61,MATCH($B61,offices!$A$2:$A$61,0))="","",INDEX(offices!$AL$2:$AL$61,MATCH($B61,offices!$A$2:$A$61,0))),"")))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IF($B62="","",IFERROR(IF(INDEX(offices!$N$2:$N$61,MATCH($B62,offices!$A$2:$A$61,0))="","",INDEX(offices!$N$2:$N$61,MATCH($B62,offices!$A$2:$A$61,0))),""))</f>
        <v/>
      </c>
      <c r="L62" s="30" t="str">
        <f aca="false">IF($A62="","",IF($Q62="N","",COUNTIFS($A$2:$A62,$A62,$Q$2:$Q62,"&lt;&gt;N")))</f>
        <v/>
      </c>
      <c r="M62" s="30" t="str">
        <f aca="false">IF(OR($A62="",$L62=""),"",IF(AND(config!$B$34="names_if_public",IFERROR(IF(INDEX(offices!$AF$2:$AF$61,MATCH($B62,offices!$A$2:$A$61,0))="","",INDEX(offices!$AF$2:$AF$61,MATCH($B62,offices!$A$2:$A$61,0))),"")="Y"),$K62,CHAR(64+$L62)))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C$2:$AC$61,MATCH($B62,offices!$A$2:$A$61,0))="","",INDEX(offices!$AC$2:$AC$61,MATCH($B62,offices!$A$2:$A$61,0))),"")&lt;&gt;"",ISNUMBER(SEARCH($J62,IFERROR(IF(INDEX(offices!$AC$2:$AC$61,MATCH($B62,offices!$A$2:$A$61,0))="","",INDEX(offices!$AC$2:$AC$61,MATCH($B62,offices!$A$2:$A$61,0))),"")))),"BRAND VETOED; ","")&amp;IF(ISNUMBER(SEARCH(IFERROR(IF(INDEX(campaigns!$BF$2:$BF$51,MATCH($A62,campaigns!$A$2:$A$51,0))="","",INDEX(campaigns!$BF$2:$BF$51,MATCH($A62,campaigns!$A$2:$A$51,0))),""),IFERROR(IF(INDEX(offices!$AB$2:$AB$61,MATCH($B62,offices!$A$2:$A$61,0))="","",INDEX(offices!$AB$2:$AB$61,MATCH($B62,offices!$A$2:$A$61,0))),""))),"","info: category not on the office's list; ")&amp;IF(IFERROR(IF(INDEX(offices!$AC$2:$AC$61,MATCH($B62,offices!$A$2:$A$61,0))="","",INDEX(offices!$AC$2:$AC$61,MATCH($B62,offices!$A$2:$A$61,0))),"")&lt;&gt;"","info: read the vetoes against the label; ",""))</f>
        <v/>
      </c>
      <c r="S62" s="30" t="str">
        <f aca="false">IF($A62="","",IF($G62&lt;&gt;"",$G62,IFERROR(IF(INDEX(offices!$AL$2:$AL$61,MATCH($B62,offices!$A$2:$A$61,0))="","",INDEX(offices!$AL$2:$AL$61,MATCH($B62,offices!$A$2:$A$61,0))),"")))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IF($B63="","",IFERROR(IF(INDEX(offices!$N$2:$N$61,MATCH($B63,offices!$A$2:$A$61,0))="","",INDEX(offices!$N$2:$N$61,MATCH($B63,offices!$A$2:$A$61,0))),""))</f>
        <v/>
      </c>
      <c r="L63" s="30" t="str">
        <f aca="false">IF($A63="","",IF($Q63="N","",COUNTIFS($A$2:$A63,$A63,$Q$2:$Q63,"&lt;&gt;N")))</f>
        <v/>
      </c>
      <c r="M63" s="30" t="str">
        <f aca="false">IF(OR($A63="",$L63=""),"",IF(AND(config!$B$34="names_if_public",IFERROR(IF(INDEX(offices!$AF$2:$AF$61,MATCH($B63,offices!$A$2:$A$61,0))="","",INDEX(offices!$AF$2:$AF$61,MATCH($B63,offices!$A$2:$A$61,0))),"")="Y"),$K63,CHAR(64+$L63)))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C$2:$AC$61,MATCH($B63,offices!$A$2:$A$61,0))="","",INDEX(offices!$AC$2:$AC$61,MATCH($B63,offices!$A$2:$A$61,0))),"")&lt;&gt;"",ISNUMBER(SEARCH($J63,IFERROR(IF(INDEX(offices!$AC$2:$AC$61,MATCH($B63,offices!$A$2:$A$61,0))="","",INDEX(offices!$AC$2:$AC$61,MATCH($B63,offices!$A$2:$A$61,0))),"")))),"BRAND VETOED; ","")&amp;IF(ISNUMBER(SEARCH(IFERROR(IF(INDEX(campaigns!$BF$2:$BF$51,MATCH($A63,campaigns!$A$2:$A$51,0))="","",INDEX(campaigns!$BF$2:$BF$51,MATCH($A63,campaigns!$A$2:$A$51,0))),""),IFERROR(IF(INDEX(offices!$AB$2:$AB$61,MATCH($B63,offices!$A$2:$A$61,0))="","",INDEX(offices!$AB$2:$AB$61,MATCH($B63,offices!$A$2:$A$61,0))),""))),"","info: category not on the office's list; ")&amp;IF(IFERROR(IF(INDEX(offices!$AC$2:$AC$61,MATCH($B63,offices!$A$2:$A$61,0))="","",INDEX(offices!$AC$2:$AC$61,MATCH($B63,offices!$A$2:$A$61,0))),"")&lt;&gt;"","info: read the vetoes against the label; ",""))</f>
        <v/>
      </c>
      <c r="S63" s="30" t="str">
        <f aca="false">IF($A63="","",IF($G63&lt;&gt;"",$G63,IFERROR(IF(INDEX(offices!$AL$2:$AL$61,MATCH($B63,offices!$A$2:$A$61,0))="","",INDEX(offices!$AL$2:$AL$61,MATCH($B63,offices!$A$2:$A$61,0))),"")))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IF($B64="","",IFERROR(IF(INDEX(offices!$N$2:$N$61,MATCH($B64,offices!$A$2:$A$61,0))="","",INDEX(offices!$N$2:$N$61,MATCH($B64,offices!$A$2:$A$61,0))),""))</f>
        <v/>
      </c>
      <c r="L64" s="30" t="str">
        <f aca="false">IF($A64="","",IF($Q64="N","",COUNTIFS($A$2:$A64,$A64,$Q$2:$Q64,"&lt;&gt;N")))</f>
        <v/>
      </c>
      <c r="M64" s="30" t="str">
        <f aca="false">IF(OR($A64="",$L64=""),"",IF(AND(config!$B$34="names_if_public",IFERROR(IF(INDEX(offices!$AF$2:$AF$61,MATCH($B64,offices!$A$2:$A$61,0))="","",INDEX(offices!$AF$2:$AF$61,MATCH($B64,offices!$A$2:$A$61,0))),"")="Y"),$K64,CHAR(64+$L64)))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C$2:$AC$61,MATCH($B64,offices!$A$2:$A$61,0))="","",INDEX(offices!$AC$2:$AC$61,MATCH($B64,offices!$A$2:$A$61,0))),"")&lt;&gt;"",ISNUMBER(SEARCH($J64,IFERROR(IF(INDEX(offices!$AC$2:$AC$61,MATCH($B64,offices!$A$2:$A$61,0))="","",INDEX(offices!$AC$2:$AC$61,MATCH($B64,offices!$A$2:$A$61,0))),"")))),"BRAND VETOED; ","")&amp;IF(ISNUMBER(SEARCH(IFERROR(IF(INDEX(campaigns!$BF$2:$BF$51,MATCH($A64,campaigns!$A$2:$A$51,0))="","",INDEX(campaigns!$BF$2:$BF$51,MATCH($A64,campaigns!$A$2:$A$51,0))),""),IFERROR(IF(INDEX(offices!$AB$2:$AB$61,MATCH($B64,offices!$A$2:$A$61,0))="","",INDEX(offices!$AB$2:$AB$61,MATCH($B64,offices!$A$2:$A$61,0))),""))),"","info: category not on the office's list; ")&amp;IF(IFERROR(IF(INDEX(offices!$AC$2:$AC$61,MATCH($B64,offices!$A$2:$A$61,0))="","",INDEX(offices!$AC$2:$AC$61,MATCH($B64,offices!$A$2:$A$61,0))),"")&lt;&gt;"","info: read the vetoes against the label; ",""))</f>
        <v/>
      </c>
      <c r="S64" s="30" t="str">
        <f aca="false">IF($A64="","",IF($G64&lt;&gt;"",$G64,IFERROR(IF(INDEX(offices!$AL$2:$AL$61,MATCH($B64,offices!$A$2:$A$61,0))="","",INDEX(offices!$AL$2:$AL$61,MATCH($B64,offices!$A$2:$A$61,0))),"")))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IF($B65="","",IFERROR(IF(INDEX(offices!$N$2:$N$61,MATCH($B65,offices!$A$2:$A$61,0))="","",INDEX(offices!$N$2:$N$61,MATCH($B65,offices!$A$2:$A$61,0))),""))</f>
        <v/>
      </c>
      <c r="L65" s="30" t="str">
        <f aca="false">IF($A65="","",IF($Q65="N","",COUNTIFS($A$2:$A65,$A65,$Q$2:$Q65,"&lt;&gt;N")))</f>
        <v/>
      </c>
      <c r="M65" s="30" t="str">
        <f aca="false">IF(OR($A65="",$L65=""),"",IF(AND(config!$B$34="names_if_public",IFERROR(IF(INDEX(offices!$AF$2:$AF$61,MATCH($B65,offices!$A$2:$A$61,0))="","",INDEX(offices!$AF$2:$AF$61,MATCH($B65,offices!$A$2:$A$61,0))),"")="Y"),$K65,CHAR(64+$L65)))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C$2:$AC$61,MATCH($B65,offices!$A$2:$A$61,0))="","",INDEX(offices!$AC$2:$AC$61,MATCH($B65,offices!$A$2:$A$61,0))),"")&lt;&gt;"",ISNUMBER(SEARCH($J65,IFERROR(IF(INDEX(offices!$AC$2:$AC$61,MATCH($B65,offices!$A$2:$A$61,0))="","",INDEX(offices!$AC$2:$AC$61,MATCH($B65,offices!$A$2:$A$61,0))),"")))),"BRAND VETOED; ","")&amp;IF(ISNUMBER(SEARCH(IFERROR(IF(INDEX(campaigns!$BF$2:$BF$51,MATCH($A65,campaigns!$A$2:$A$51,0))="","",INDEX(campaigns!$BF$2:$BF$51,MATCH($A65,campaigns!$A$2:$A$51,0))),""),IFERROR(IF(INDEX(offices!$AB$2:$AB$61,MATCH($B65,offices!$A$2:$A$61,0))="","",INDEX(offices!$AB$2:$AB$61,MATCH($B65,offices!$A$2:$A$61,0))),""))),"","info: category not on the office's list; ")&amp;IF(IFERROR(IF(INDEX(offices!$AC$2:$AC$61,MATCH($B65,offices!$A$2:$A$61,0))="","",INDEX(offices!$AC$2:$AC$61,MATCH($B65,offices!$A$2:$A$61,0))),"")&lt;&gt;"","info: read the vetoes against the label; ",""))</f>
        <v/>
      </c>
      <c r="S65" s="30" t="str">
        <f aca="false">IF($A65="","",IF($G65&lt;&gt;"",$G65,IFERROR(IF(INDEX(offices!$AL$2:$AL$61,MATCH($B65,offices!$A$2:$A$61,0))="","",INDEX(offices!$AL$2:$AL$61,MATCH($B65,offices!$A$2:$A$61,0))),"")))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IF($B66="","",IFERROR(IF(INDEX(offices!$N$2:$N$61,MATCH($B66,offices!$A$2:$A$61,0))="","",INDEX(offices!$N$2:$N$61,MATCH($B66,offices!$A$2:$A$61,0))),""))</f>
        <v/>
      </c>
      <c r="L66" s="30" t="str">
        <f aca="false">IF($A66="","",IF($Q66="N","",COUNTIFS($A$2:$A66,$A66,$Q$2:$Q66,"&lt;&gt;N")))</f>
        <v/>
      </c>
      <c r="M66" s="30" t="str">
        <f aca="false">IF(OR($A66="",$L66=""),"",IF(AND(config!$B$34="names_if_public",IFERROR(IF(INDEX(offices!$AF$2:$AF$61,MATCH($B66,offices!$A$2:$A$61,0))="","",INDEX(offices!$AF$2:$AF$61,MATCH($B66,offices!$A$2:$A$61,0))),"")="Y"),$K66,CHAR(64+$L66)))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C$2:$AC$61,MATCH($B66,offices!$A$2:$A$61,0))="","",INDEX(offices!$AC$2:$AC$61,MATCH($B66,offices!$A$2:$A$61,0))),"")&lt;&gt;"",ISNUMBER(SEARCH($J66,IFERROR(IF(INDEX(offices!$AC$2:$AC$61,MATCH($B66,offices!$A$2:$A$61,0))="","",INDEX(offices!$AC$2:$AC$61,MATCH($B66,offices!$A$2:$A$61,0))),"")))),"BRAND VETOED; ","")&amp;IF(ISNUMBER(SEARCH(IFERROR(IF(INDEX(campaigns!$BF$2:$BF$51,MATCH($A66,campaigns!$A$2:$A$51,0))="","",INDEX(campaigns!$BF$2:$BF$51,MATCH($A66,campaigns!$A$2:$A$51,0))),""),IFERROR(IF(INDEX(offices!$AB$2:$AB$61,MATCH($B66,offices!$A$2:$A$61,0))="","",INDEX(offices!$AB$2:$AB$61,MATCH($B66,offices!$A$2:$A$61,0))),""))),"","info: category not on the office's list; ")&amp;IF(IFERROR(IF(INDEX(offices!$AC$2:$AC$61,MATCH($B66,offices!$A$2:$A$61,0))="","",INDEX(offices!$AC$2:$AC$61,MATCH($B66,offices!$A$2:$A$61,0))),"")&lt;&gt;"","info: read the vetoes against the label; ",""))</f>
        <v/>
      </c>
      <c r="S66" s="30" t="str">
        <f aca="false">IF($A66="","",IF($G66&lt;&gt;"",$G66,IFERROR(IF(INDEX(offices!$AL$2:$AL$61,MATCH($B66,offices!$A$2:$A$61,0))="","",INDEX(offices!$AL$2:$AL$61,MATCH($B66,offices!$A$2:$A$61,0))),"")))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IF($B67="","",IFERROR(IF(INDEX(offices!$N$2:$N$61,MATCH($B67,offices!$A$2:$A$61,0))="","",INDEX(offices!$N$2:$N$61,MATCH($B67,offices!$A$2:$A$61,0))),""))</f>
        <v/>
      </c>
      <c r="L67" s="30" t="str">
        <f aca="false">IF($A67="","",IF($Q67="N","",COUNTIFS($A$2:$A67,$A67,$Q$2:$Q67,"&lt;&gt;N")))</f>
        <v/>
      </c>
      <c r="M67" s="30" t="str">
        <f aca="false">IF(OR($A67="",$L67=""),"",IF(AND(config!$B$34="names_if_public",IFERROR(IF(INDEX(offices!$AF$2:$AF$61,MATCH($B67,offices!$A$2:$A$61,0))="","",INDEX(offices!$AF$2:$AF$61,MATCH($B67,offices!$A$2:$A$61,0))),"")="Y"),$K67,CHAR(64+$L67)))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C$2:$AC$61,MATCH($B67,offices!$A$2:$A$61,0))="","",INDEX(offices!$AC$2:$AC$61,MATCH($B67,offices!$A$2:$A$61,0))),"")&lt;&gt;"",ISNUMBER(SEARCH($J67,IFERROR(IF(INDEX(offices!$AC$2:$AC$61,MATCH($B67,offices!$A$2:$A$61,0))="","",INDEX(offices!$AC$2:$AC$61,MATCH($B67,offices!$A$2:$A$61,0))),"")))),"BRAND VETOED; ","")&amp;IF(ISNUMBER(SEARCH(IFERROR(IF(INDEX(campaigns!$BF$2:$BF$51,MATCH($A67,campaigns!$A$2:$A$51,0))="","",INDEX(campaigns!$BF$2:$BF$51,MATCH($A67,campaigns!$A$2:$A$51,0))),""),IFERROR(IF(INDEX(offices!$AB$2:$AB$61,MATCH($B67,offices!$A$2:$A$61,0))="","",INDEX(offices!$AB$2:$AB$61,MATCH($B67,offices!$A$2:$A$61,0))),""))),"","info: category not on the office's list; ")&amp;IF(IFERROR(IF(INDEX(offices!$AC$2:$AC$61,MATCH($B67,offices!$A$2:$A$61,0))="","",INDEX(offices!$AC$2:$AC$61,MATCH($B67,offices!$A$2:$A$61,0))),"")&lt;&gt;"","info: read the vetoes against the label; ",""))</f>
        <v/>
      </c>
      <c r="S67" s="30" t="str">
        <f aca="false">IF($A67="","",IF($G67&lt;&gt;"",$G67,IFERROR(IF(INDEX(offices!$AL$2:$AL$61,MATCH($B67,offices!$A$2:$A$61,0))="","",INDEX(offices!$AL$2:$AL$61,MATCH($B67,offices!$A$2:$A$61,0))),"")))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IF($B68="","",IFERROR(IF(INDEX(offices!$N$2:$N$61,MATCH($B68,offices!$A$2:$A$61,0))="","",INDEX(offices!$N$2:$N$61,MATCH($B68,offices!$A$2:$A$61,0))),""))</f>
        <v/>
      </c>
      <c r="L68" s="30" t="str">
        <f aca="false">IF($A68="","",IF($Q68="N","",COUNTIFS($A$2:$A68,$A68,$Q$2:$Q68,"&lt;&gt;N")))</f>
        <v/>
      </c>
      <c r="M68" s="30" t="str">
        <f aca="false">IF(OR($A68="",$L68=""),"",IF(AND(config!$B$34="names_if_public",IFERROR(IF(INDEX(offices!$AF$2:$AF$61,MATCH($B68,offices!$A$2:$A$61,0))="","",INDEX(offices!$AF$2:$AF$61,MATCH($B68,offices!$A$2:$A$61,0))),"")="Y"),$K68,CHAR(64+$L68)))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C$2:$AC$61,MATCH($B68,offices!$A$2:$A$61,0))="","",INDEX(offices!$AC$2:$AC$61,MATCH($B68,offices!$A$2:$A$61,0))),"")&lt;&gt;"",ISNUMBER(SEARCH($J68,IFERROR(IF(INDEX(offices!$AC$2:$AC$61,MATCH($B68,offices!$A$2:$A$61,0))="","",INDEX(offices!$AC$2:$AC$61,MATCH($B68,offices!$A$2:$A$61,0))),"")))),"BRAND VETOED; ","")&amp;IF(ISNUMBER(SEARCH(IFERROR(IF(INDEX(campaigns!$BF$2:$BF$51,MATCH($A68,campaigns!$A$2:$A$51,0))="","",INDEX(campaigns!$BF$2:$BF$51,MATCH($A68,campaigns!$A$2:$A$51,0))),""),IFERROR(IF(INDEX(offices!$AB$2:$AB$61,MATCH($B68,offices!$A$2:$A$61,0))="","",INDEX(offices!$AB$2:$AB$61,MATCH($B68,offices!$A$2:$A$61,0))),""))),"","info: category not on the office's list; ")&amp;IF(IFERROR(IF(INDEX(offices!$AC$2:$AC$61,MATCH($B68,offices!$A$2:$A$61,0))="","",INDEX(offices!$AC$2:$AC$61,MATCH($B68,offices!$A$2:$A$61,0))),"")&lt;&gt;"","info: read the vetoes against the label; ",""))</f>
        <v/>
      </c>
      <c r="S68" s="30" t="str">
        <f aca="false">IF($A68="","",IF($G68&lt;&gt;"",$G68,IFERROR(IF(INDEX(offices!$AL$2:$AL$61,MATCH($B68,offices!$A$2:$A$61,0))="","",INDEX(offices!$AL$2:$AL$61,MATCH($B68,offices!$A$2:$A$61,0))),"")))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IF($B69="","",IFERROR(IF(INDEX(offices!$N$2:$N$61,MATCH($B69,offices!$A$2:$A$61,0))="","",INDEX(offices!$N$2:$N$61,MATCH($B69,offices!$A$2:$A$61,0))),""))</f>
        <v/>
      </c>
      <c r="L69" s="30" t="str">
        <f aca="false">IF($A69="","",IF($Q69="N","",COUNTIFS($A$2:$A69,$A69,$Q$2:$Q69,"&lt;&gt;N")))</f>
        <v/>
      </c>
      <c r="M69" s="30" t="str">
        <f aca="false">IF(OR($A69="",$L69=""),"",IF(AND(config!$B$34="names_if_public",IFERROR(IF(INDEX(offices!$AF$2:$AF$61,MATCH($B69,offices!$A$2:$A$61,0))="","",INDEX(offices!$AF$2:$AF$61,MATCH($B69,offices!$A$2:$A$61,0))),"")="Y"),$K69,CHAR(64+$L69)))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C$2:$AC$61,MATCH($B69,offices!$A$2:$A$61,0))="","",INDEX(offices!$AC$2:$AC$61,MATCH($B69,offices!$A$2:$A$61,0))),"")&lt;&gt;"",ISNUMBER(SEARCH($J69,IFERROR(IF(INDEX(offices!$AC$2:$AC$61,MATCH($B69,offices!$A$2:$A$61,0))="","",INDEX(offices!$AC$2:$AC$61,MATCH($B69,offices!$A$2:$A$61,0))),"")))),"BRAND VETOED; ","")&amp;IF(ISNUMBER(SEARCH(IFERROR(IF(INDEX(campaigns!$BF$2:$BF$51,MATCH($A69,campaigns!$A$2:$A$51,0))="","",INDEX(campaigns!$BF$2:$BF$51,MATCH($A69,campaigns!$A$2:$A$51,0))),""),IFERROR(IF(INDEX(offices!$AB$2:$AB$61,MATCH($B69,offices!$A$2:$A$61,0))="","",INDEX(offices!$AB$2:$AB$61,MATCH($B69,offices!$A$2:$A$61,0))),""))),"","info: category not on the office's list; ")&amp;IF(IFERROR(IF(INDEX(offices!$AC$2:$AC$61,MATCH($B69,offices!$A$2:$A$61,0))="","",INDEX(offices!$AC$2:$AC$61,MATCH($B69,offices!$A$2:$A$61,0))),"")&lt;&gt;"","info: read the vetoes against the label; ",""))</f>
        <v/>
      </c>
      <c r="S69" s="30" t="str">
        <f aca="false">IF($A69="","",IF($G69&lt;&gt;"",$G69,IFERROR(IF(INDEX(offices!$AL$2:$AL$61,MATCH($B69,offices!$A$2:$A$61,0))="","",INDEX(offices!$AL$2:$AL$61,MATCH($B69,offices!$A$2:$A$61,0))),"")))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IF($B70="","",IFERROR(IF(INDEX(offices!$N$2:$N$61,MATCH($B70,offices!$A$2:$A$61,0))="","",INDEX(offices!$N$2:$N$61,MATCH($B70,offices!$A$2:$A$61,0))),""))</f>
        <v/>
      </c>
      <c r="L70" s="30" t="str">
        <f aca="false">IF($A70="","",IF($Q70="N","",COUNTIFS($A$2:$A70,$A70,$Q$2:$Q70,"&lt;&gt;N")))</f>
        <v/>
      </c>
      <c r="M70" s="30" t="str">
        <f aca="false">IF(OR($A70="",$L70=""),"",IF(AND(config!$B$34="names_if_public",IFERROR(IF(INDEX(offices!$AF$2:$AF$61,MATCH($B70,offices!$A$2:$A$61,0))="","",INDEX(offices!$AF$2:$AF$61,MATCH($B70,offices!$A$2:$A$61,0))),"")="Y"),$K70,CHAR(64+$L70)))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C$2:$AC$61,MATCH($B70,offices!$A$2:$A$61,0))="","",INDEX(offices!$AC$2:$AC$61,MATCH($B70,offices!$A$2:$A$61,0))),"")&lt;&gt;"",ISNUMBER(SEARCH($J70,IFERROR(IF(INDEX(offices!$AC$2:$AC$61,MATCH($B70,offices!$A$2:$A$61,0))="","",INDEX(offices!$AC$2:$AC$61,MATCH($B70,offices!$A$2:$A$61,0))),"")))),"BRAND VETOED; ","")&amp;IF(ISNUMBER(SEARCH(IFERROR(IF(INDEX(campaigns!$BF$2:$BF$51,MATCH($A70,campaigns!$A$2:$A$51,0))="","",INDEX(campaigns!$BF$2:$BF$51,MATCH($A70,campaigns!$A$2:$A$51,0))),""),IFERROR(IF(INDEX(offices!$AB$2:$AB$61,MATCH($B70,offices!$A$2:$A$61,0))="","",INDEX(offices!$AB$2:$AB$61,MATCH($B70,offices!$A$2:$A$61,0))),""))),"","info: category not on the office's list; ")&amp;IF(IFERROR(IF(INDEX(offices!$AC$2:$AC$61,MATCH($B70,offices!$A$2:$A$61,0))="","",INDEX(offices!$AC$2:$AC$61,MATCH($B70,offices!$A$2:$A$61,0))),"")&lt;&gt;"","info: read the vetoes against the label; ",""))</f>
        <v/>
      </c>
      <c r="S70" s="30" t="str">
        <f aca="false">IF($A70="","",IF($G70&lt;&gt;"",$G70,IFERROR(IF(INDEX(offices!$AL$2:$AL$61,MATCH($B70,offices!$A$2:$A$61,0))="","",INDEX(offices!$AL$2:$AL$61,MATCH($B70,offices!$A$2:$A$61,0))),"")))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IF($B71="","",IFERROR(IF(INDEX(offices!$N$2:$N$61,MATCH($B71,offices!$A$2:$A$61,0))="","",INDEX(offices!$N$2:$N$61,MATCH($B71,offices!$A$2:$A$61,0))),""))</f>
        <v/>
      </c>
      <c r="L71" s="30" t="str">
        <f aca="false">IF($A71="","",IF($Q71="N","",COUNTIFS($A$2:$A71,$A71,$Q$2:$Q71,"&lt;&gt;N")))</f>
        <v/>
      </c>
      <c r="M71" s="30" t="str">
        <f aca="false">IF(OR($A71="",$L71=""),"",IF(AND(config!$B$34="names_if_public",IFERROR(IF(INDEX(offices!$AF$2:$AF$61,MATCH($B71,offices!$A$2:$A$61,0))="","",INDEX(offices!$AF$2:$AF$61,MATCH($B71,offices!$A$2:$A$61,0))),"")="Y"),$K71,CHAR(64+$L71)))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C$2:$AC$61,MATCH($B71,offices!$A$2:$A$61,0))="","",INDEX(offices!$AC$2:$AC$61,MATCH($B71,offices!$A$2:$A$61,0))),"")&lt;&gt;"",ISNUMBER(SEARCH($J71,IFERROR(IF(INDEX(offices!$AC$2:$AC$61,MATCH($B71,offices!$A$2:$A$61,0))="","",INDEX(offices!$AC$2:$AC$61,MATCH($B71,offices!$A$2:$A$61,0))),"")))),"BRAND VETOED; ","")&amp;IF(ISNUMBER(SEARCH(IFERROR(IF(INDEX(campaigns!$BF$2:$BF$51,MATCH($A71,campaigns!$A$2:$A$51,0))="","",INDEX(campaigns!$BF$2:$BF$51,MATCH($A71,campaigns!$A$2:$A$51,0))),""),IFERROR(IF(INDEX(offices!$AB$2:$AB$61,MATCH($B71,offices!$A$2:$A$61,0))="","",INDEX(offices!$AB$2:$AB$61,MATCH($B71,offices!$A$2:$A$61,0))),""))),"","info: category not on the office's list; ")&amp;IF(IFERROR(IF(INDEX(offices!$AC$2:$AC$61,MATCH($B71,offices!$A$2:$A$61,0))="","",INDEX(offices!$AC$2:$AC$61,MATCH($B71,offices!$A$2:$A$61,0))),"")&lt;&gt;"","info: read the vetoes against the label; ",""))</f>
        <v/>
      </c>
      <c r="S71" s="30" t="str">
        <f aca="false">IF($A71="","",IF($G71&lt;&gt;"",$G71,IFERROR(IF(INDEX(offices!$AL$2:$AL$61,MATCH($B71,offices!$A$2:$A$61,0))="","",INDEX(offices!$AL$2:$AL$61,MATCH($B71,offices!$A$2:$A$61,0))),"")))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IF($B72="","",IFERROR(IF(INDEX(offices!$N$2:$N$61,MATCH($B72,offices!$A$2:$A$61,0))="","",INDEX(offices!$N$2:$N$61,MATCH($B72,offices!$A$2:$A$61,0))),""))</f>
        <v/>
      </c>
      <c r="L72" s="30" t="str">
        <f aca="false">IF($A72="","",IF($Q72="N","",COUNTIFS($A$2:$A72,$A72,$Q$2:$Q72,"&lt;&gt;N")))</f>
        <v/>
      </c>
      <c r="M72" s="30" t="str">
        <f aca="false">IF(OR($A72="",$L72=""),"",IF(AND(config!$B$34="names_if_public",IFERROR(IF(INDEX(offices!$AF$2:$AF$61,MATCH($B72,offices!$A$2:$A$61,0))="","",INDEX(offices!$AF$2:$AF$61,MATCH($B72,offices!$A$2:$A$61,0))),"")="Y"),$K72,CHAR(64+$L72)))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C$2:$AC$61,MATCH($B72,offices!$A$2:$A$61,0))="","",INDEX(offices!$AC$2:$AC$61,MATCH($B72,offices!$A$2:$A$61,0))),"")&lt;&gt;"",ISNUMBER(SEARCH($J72,IFERROR(IF(INDEX(offices!$AC$2:$AC$61,MATCH($B72,offices!$A$2:$A$61,0))="","",INDEX(offices!$AC$2:$AC$61,MATCH($B72,offices!$A$2:$A$61,0))),"")))),"BRAND VETOED; ","")&amp;IF(ISNUMBER(SEARCH(IFERROR(IF(INDEX(campaigns!$BF$2:$BF$51,MATCH($A72,campaigns!$A$2:$A$51,0))="","",INDEX(campaigns!$BF$2:$BF$51,MATCH($A72,campaigns!$A$2:$A$51,0))),""),IFERROR(IF(INDEX(offices!$AB$2:$AB$61,MATCH($B72,offices!$A$2:$A$61,0))="","",INDEX(offices!$AB$2:$AB$61,MATCH($B72,offices!$A$2:$A$61,0))),""))),"","info: category not on the office's list; ")&amp;IF(IFERROR(IF(INDEX(offices!$AC$2:$AC$61,MATCH($B72,offices!$A$2:$A$61,0))="","",INDEX(offices!$AC$2:$AC$61,MATCH($B72,offices!$A$2:$A$61,0))),"")&lt;&gt;"","info: read the vetoes against the label; ",""))</f>
        <v/>
      </c>
      <c r="S72" s="30" t="str">
        <f aca="false">IF($A72="","",IF($G72&lt;&gt;"",$G72,IFERROR(IF(INDEX(offices!$AL$2:$AL$61,MATCH($B72,offices!$A$2:$A$61,0))="","",INDEX(offices!$AL$2:$AL$61,MATCH($B72,offices!$A$2:$A$61,0))),"")))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IF($B73="","",IFERROR(IF(INDEX(offices!$N$2:$N$61,MATCH($B73,offices!$A$2:$A$61,0))="","",INDEX(offices!$N$2:$N$61,MATCH($B73,offices!$A$2:$A$61,0))),""))</f>
        <v/>
      </c>
      <c r="L73" s="30" t="str">
        <f aca="false">IF($A73="","",IF($Q73="N","",COUNTIFS($A$2:$A73,$A73,$Q$2:$Q73,"&lt;&gt;N")))</f>
        <v/>
      </c>
      <c r="M73" s="30" t="str">
        <f aca="false">IF(OR($A73="",$L73=""),"",IF(AND(config!$B$34="names_if_public",IFERROR(IF(INDEX(offices!$AF$2:$AF$61,MATCH($B73,offices!$A$2:$A$61,0))="","",INDEX(offices!$AF$2:$AF$61,MATCH($B73,offices!$A$2:$A$61,0))),"")="Y"),$K73,CHAR(64+$L73)))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C$2:$AC$61,MATCH($B73,offices!$A$2:$A$61,0))="","",INDEX(offices!$AC$2:$AC$61,MATCH($B73,offices!$A$2:$A$61,0))),"")&lt;&gt;"",ISNUMBER(SEARCH($J73,IFERROR(IF(INDEX(offices!$AC$2:$AC$61,MATCH($B73,offices!$A$2:$A$61,0))="","",INDEX(offices!$AC$2:$AC$61,MATCH($B73,offices!$A$2:$A$61,0))),"")))),"BRAND VETOED; ","")&amp;IF(ISNUMBER(SEARCH(IFERROR(IF(INDEX(campaigns!$BF$2:$BF$51,MATCH($A73,campaigns!$A$2:$A$51,0))="","",INDEX(campaigns!$BF$2:$BF$51,MATCH($A73,campaigns!$A$2:$A$51,0))),""),IFERROR(IF(INDEX(offices!$AB$2:$AB$61,MATCH($B73,offices!$A$2:$A$61,0))="","",INDEX(offices!$AB$2:$AB$61,MATCH($B73,offices!$A$2:$A$61,0))),""))),"","info: category not on the office's list; ")&amp;IF(IFERROR(IF(INDEX(offices!$AC$2:$AC$61,MATCH($B73,offices!$A$2:$A$61,0))="","",INDEX(offices!$AC$2:$AC$61,MATCH($B73,offices!$A$2:$A$61,0))),"")&lt;&gt;"","info: read the vetoes against the label; ",""))</f>
        <v/>
      </c>
      <c r="S73" s="30" t="str">
        <f aca="false">IF($A73="","",IF($G73&lt;&gt;"",$G73,IFERROR(IF(INDEX(offices!$AL$2:$AL$61,MATCH($B73,offices!$A$2:$A$61,0))="","",INDEX(offices!$AL$2:$AL$61,MATCH($B73,offices!$A$2:$A$61,0))),"")))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IF($B74="","",IFERROR(IF(INDEX(offices!$N$2:$N$61,MATCH($B74,offices!$A$2:$A$61,0))="","",INDEX(offices!$N$2:$N$61,MATCH($B74,offices!$A$2:$A$61,0))),""))</f>
        <v/>
      </c>
      <c r="L74" s="30" t="str">
        <f aca="false">IF($A74="","",IF($Q74="N","",COUNTIFS($A$2:$A74,$A74,$Q$2:$Q74,"&lt;&gt;N")))</f>
        <v/>
      </c>
      <c r="M74" s="30" t="str">
        <f aca="false">IF(OR($A74="",$L74=""),"",IF(AND(config!$B$34="names_if_public",IFERROR(IF(INDEX(offices!$AF$2:$AF$61,MATCH($B74,offices!$A$2:$A$61,0))="","",INDEX(offices!$AF$2:$AF$61,MATCH($B74,offices!$A$2:$A$61,0))),"")="Y"),$K74,CHAR(64+$L74)))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C$2:$AC$61,MATCH($B74,offices!$A$2:$A$61,0))="","",INDEX(offices!$AC$2:$AC$61,MATCH($B74,offices!$A$2:$A$61,0))),"")&lt;&gt;"",ISNUMBER(SEARCH($J74,IFERROR(IF(INDEX(offices!$AC$2:$AC$61,MATCH($B74,offices!$A$2:$A$61,0))="","",INDEX(offices!$AC$2:$AC$61,MATCH($B74,offices!$A$2:$A$61,0))),"")))),"BRAND VETOED; ","")&amp;IF(ISNUMBER(SEARCH(IFERROR(IF(INDEX(campaigns!$BF$2:$BF$51,MATCH($A74,campaigns!$A$2:$A$51,0))="","",INDEX(campaigns!$BF$2:$BF$51,MATCH($A74,campaigns!$A$2:$A$51,0))),""),IFERROR(IF(INDEX(offices!$AB$2:$AB$61,MATCH($B74,offices!$A$2:$A$61,0))="","",INDEX(offices!$AB$2:$AB$61,MATCH($B74,offices!$A$2:$A$61,0))),""))),"","info: category not on the office's list; ")&amp;IF(IFERROR(IF(INDEX(offices!$AC$2:$AC$61,MATCH($B74,offices!$A$2:$A$61,0))="","",INDEX(offices!$AC$2:$AC$61,MATCH($B74,offices!$A$2:$A$61,0))),"")&lt;&gt;"","info: read the vetoes against the label; ",""))</f>
        <v/>
      </c>
      <c r="S74" s="30" t="str">
        <f aca="false">IF($A74="","",IF($G74&lt;&gt;"",$G74,IFERROR(IF(INDEX(offices!$AL$2:$AL$61,MATCH($B74,offices!$A$2:$A$61,0))="","",INDEX(offices!$AL$2:$AL$61,MATCH($B74,offices!$A$2:$A$61,0))),"")))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IF($B75="","",IFERROR(IF(INDEX(offices!$N$2:$N$61,MATCH($B75,offices!$A$2:$A$61,0))="","",INDEX(offices!$N$2:$N$61,MATCH($B75,offices!$A$2:$A$61,0))),""))</f>
        <v/>
      </c>
      <c r="L75" s="30" t="str">
        <f aca="false">IF($A75="","",IF($Q75="N","",COUNTIFS($A$2:$A75,$A75,$Q$2:$Q75,"&lt;&gt;N")))</f>
        <v/>
      </c>
      <c r="M75" s="30" t="str">
        <f aca="false">IF(OR($A75="",$L75=""),"",IF(AND(config!$B$34="names_if_public",IFERROR(IF(INDEX(offices!$AF$2:$AF$61,MATCH($B75,offices!$A$2:$A$61,0))="","",INDEX(offices!$AF$2:$AF$61,MATCH($B75,offices!$A$2:$A$61,0))),"")="Y"),$K75,CHAR(64+$L75)))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C$2:$AC$61,MATCH($B75,offices!$A$2:$A$61,0))="","",INDEX(offices!$AC$2:$AC$61,MATCH($B75,offices!$A$2:$A$61,0))),"")&lt;&gt;"",ISNUMBER(SEARCH($J75,IFERROR(IF(INDEX(offices!$AC$2:$AC$61,MATCH($B75,offices!$A$2:$A$61,0))="","",INDEX(offices!$AC$2:$AC$61,MATCH($B75,offices!$A$2:$A$61,0))),"")))),"BRAND VETOED; ","")&amp;IF(ISNUMBER(SEARCH(IFERROR(IF(INDEX(campaigns!$BF$2:$BF$51,MATCH($A75,campaigns!$A$2:$A$51,0))="","",INDEX(campaigns!$BF$2:$BF$51,MATCH($A75,campaigns!$A$2:$A$51,0))),""),IFERROR(IF(INDEX(offices!$AB$2:$AB$61,MATCH($B75,offices!$A$2:$A$61,0))="","",INDEX(offices!$AB$2:$AB$61,MATCH($B75,offices!$A$2:$A$61,0))),""))),"","info: category not on the office's list; ")&amp;IF(IFERROR(IF(INDEX(offices!$AC$2:$AC$61,MATCH($B75,offices!$A$2:$A$61,0))="","",INDEX(offices!$AC$2:$AC$61,MATCH($B75,offices!$A$2:$A$61,0))),"")&lt;&gt;"","info: read the vetoes against the label; ",""))</f>
        <v/>
      </c>
      <c r="S75" s="30" t="str">
        <f aca="false">IF($A75="","",IF($G75&lt;&gt;"",$G75,IFERROR(IF(INDEX(offices!$AL$2:$AL$61,MATCH($B75,offices!$A$2:$A$61,0))="","",INDEX(offices!$AL$2:$AL$61,MATCH($B75,offices!$A$2:$A$61,0))),"")))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IF($B76="","",IFERROR(IF(INDEX(offices!$N$2:$N$61,MATCH($B76,offices!$A$2:$A$61,0))="","",INDEX(offices!$N$2:$N$61,MATCH($B76,offices!$A$2:$A$61,0))),""))</f>
        <v/>
      </c>
      <c r="L76" s="30" t="str">
        <f aca="false">IF($A76="","",IF($Q76="N","",COUNTIFS($A$2:$A76,$A76,$Q$2:$Q76,"&lt;&gt;N")))</f>
        <v/>
      </c>
      <c r="M76" s="30" t="str">
        <f aca="false">IF(OR($A76="",$L76=""),"",IF(AND(config!$B$34="names_if_public",IFERROR(IF(INDEX(offices!$AF$2:$AF$61,MATCH($B76,offices!$A$2:$A$61,0))="","",INDEX(offices!$AF$2:$AF$61,MATCH($B76,offices!$A$2:$A$61,0))),"")="Y"),$K76,CHAR(64+$L76)))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C$2:$AC$61,MATCH($B76,offices!$A$2:$A$61,0))="","",INDEX(offices!$AC$2:$AC$61,MATCH($B76,offices!$A$2:$A$61,0))),"")&lt;&gt;"",ISNUMBER(SEARCH($J76,IFERROR(IF(INDEX(offices!$AC$2:$AC$61,MATCH($B76,offices!$A$2:$A$61,0))="","",INDEX(offices!$AC$2:$AC$61,MATCH($B76,offices!$A$2:$A$61,0))),"")))),"BRAND VETOED; ","")&amp;IF(ISNUMBER(SEARCH(IFERROR(IF(INDEX(campaigns!$BF$2:$BF$51,MATCH($A76,campaigns!$A$2:$A$51,0))="","",INDEX(campaigns!$BF$2:$BF$51,MATCH($A76,campaigns!$A$2:$A$51,0))),""),IFERROR(IF(INDEX(offices!$AB$2:$AB$61,MATCH($B76,offices!$A$2:$A$61,0))="","",INDEX(offices!$AB$2:$AB$61,MATCH($B76,offices!$A$2:$A$61,0))),""))),"","info: category not on the office's list; ")&amp;IF(IFERROR(IF(INDEX(offices!$AC$2:$AC$61,MATCH($B76,offices!$A$2:$A$61,0))="","",INDEX(offices!$AC$2:$AC$61,MATCH($B76,offices!$A$2:$A$61,0))),"")&lt;&gt;"","info: read the vetoes against the label; ",""))</f>
        <v/>
      </c>
      <c r="S76" s="30" t="str">
        <f aca="false">IF($A76="","",IF($G76&lt;&gt;"",$G76,IFERROR(IF(INDEX(offices!$AL$2:$AL$61,MATCH($B76,offices!$A$2:$A$61,0))="","",INDEX(offices!$AL$2:$AL$61,MATCH($B76,offices!$A$2:$A$61,0))),"")))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IF($B77="","",IFERROR(IF(INDEX(offices!$N$2:$N$61,MATCH($B77,offices!$A$2:$A$61,0))="","",INDEX(offices!$N$2:$N$61,MATCH($B77,offices!$A$2:$A$61,0))),""))</f>
        <v/>
      </c>
      <c r="L77" s="30" t="str">
        <f aca="false">IF($A77="","",IF($Q77="N","",COUNTIFS($A$2:$A77,$A77,$Q$2:$Q77,"&lt;&gt;N")))</f>
        <v/>
      </c>
      <c r="M77" s="30" t="str">
        <f aca="false">IF(OR($A77="",$L77=""),"",IF(AND(config!$B$34="names_if_public",IFERROR(IF(INDEX(offices!$AF$2:$AF$61,MATCH($B77,offices!$A$2:$A$61,0))="","",INDEX(offices!$AF$2:$AF$61,MATCH($B77,offices!$A$2:$A$61,0))),"")="Y"),$K77,CHAR(64+$L77)))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C$2:$AC$61,MATCH($B77,offices!$A$2:$A$61,0))="","",INDEX(offices!$AC$2:$AC$61,MATCH($B77,offices!$A$2:$A$61,0))),"")&lt;&gt;"",ISNUMBER(SEARCH($J77,IFERROR(IF(INDEX(offices!$AC$2:$AC$61,MATCH($B77,offices!$A$2:$A$61,0))="","",INDEX(offices!$AC$2:$AC$61,MATCH($B77,offices!$A$2:$A$61,0))),"")))),"BRAND VETOED; ","")&amp;IF(ISNUMBER(SEARCH(IFERROR(IF(INDEX(campaigns!$BF$2:$BF$51,MATCH($A77,campaigns!$A$2:$A$51,0))="","",INDEX(campaigns!$BF$2:$BF$51,MATCH($A77,campaigns!$A$2:$A$51,0))),""),IFERROR(IF(INDEX(offices!$AB$2:$AB$61,MATCH($B77,offices!$A$2:$A$61,0))="","",INDEX(offices!$AB$2:$AB$61,MATCH($B77,offices!$A$2:$A$61,0))),""))),"","info: category not on the office's list; ")&amp;IF(IFERROR(IF(INDEX(offices!$AC$2:$AC$61,MATCH($B77,offices!$A$2:$A$61,0))="","",INDEX(offices!$AC$2:$AC$61,MATCH($B77,offices!$A$2:$A$61,0))),"")&lt;&gt;"","info: read the vetoes against the label; ",""))</f>
        <v/>
      </c>
      <c r="S77" s="30" t="str">
        <f aca="false">IF($A77="","",IF($G77&lt;&gt;"",$G77,IFERROR(IF(INDEX(offices!$AL$2:$AL$61,MATCH($B77,offices!$A$2:$A$61,0))="","",INDEX(offices!$AL$2:$AL$61,MATCH($B77,offices!$A$2:$A$61,0))),"")))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IF($B78="","",IFERROR(IF(INDEX(offices!$N$2:$N$61,MATCH($B78,offices!$A$2:$A$61,0))="","",INDEX(offices!$N$2:$N$61,MATCH($B78,offices!$A$2:$A$61,0))),""))</f>
        <v/>
      </c>
      <c r="L78" s="30" t="str">
        <f aca="false">IF($A78="","",IF($Q78="N","",COUNTIFS($A$2:$A78,$A78,$Q$2:$Q78,"&lt;&gt;N")))</f>
        <v/>
      </c>
      <c r="M78" s="30" t="str">
        <f aca="false">IF(OR($A78="",$L78=""),"",IF(AND(config!$B$34="names_if_public",IFERROR(IF(INDEX(offices!$AF$2:$AF$61,MATCH($B78,offices!$A$2:$A$61,0))="","",INDEX(offices!$AF$2:$AF$61,MATCH($B78,offices!$A$2:$A$61,0))),"")="Y"),$K78,CHAR(64+$L78)))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C$2:$AC$61,MATCH($B78,offices!$A$2:$A$61,0))="","",INDEX(offices!$AC$2:$AC$61,MATCH($B78,offices!$A$2:$A$61,0))),"")&lt;&gt;"",ISNUMBER(SEARCH($J78,IFERROR(IF(INDEX(offices!$AC$2:$AC$61,MATCH($B78,offices!$A$2:$A$61,0))="","",INDEX(offices!$AC$2:$AC$61,MATCH($B78,offices!$A$2:$A$61,0))),"")))),"BRAND VETOED; ","")&amp;IF(ISNUMBER(SEARCH(IFERROR(IF(INDEX(campaigns!$BF$2:$BF$51,MATCH($A78,campaigns!$A$2:$A$51,0))="","",INDEX(campaigns!$BF$2:$BF$51,MATCH($A78,campaigns!$A$2:$A$51,0))),""),IFERROR(IF(INDEX(offices!$AB$2:$AB$61,MATCH($B78,offices!$A$2:$A$61,0))="","",INDEX(offices!$AB$2:$AB$61,MATCH($B78,offices!$A$2:$A$61,0))),""))),"","info: category not on the office's list; ")&amp;IF(IFERROR(IF(INDEX(offices!$AC$2:$AC$61,MATCH($B78,offices!$A$2:$A$61,0))="","",INDEX(offices!$AC$2:$AC$61,MATCH($B78,offices!$A$2:$A$61,0))),"")&lt;&gt;"","info: read the vetoes against the label; ",""))</f>
        <v/>
      </c>
      <c r="S78" s="30" t="str">
        <f aca="false">IF($A78="","",IF($G78&lt;&gt;"",$G78,IFERROR(IF(INDEX(offices!$AL$2:$AL$61,MATCH($B78,offices!$A$2:$A$61,0))="","",INDEX(offices!$AL$2:$AL$61,MATCH($B78,offices!$A$2:$A$61,0))),"")))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IF($B79="","",IFERROR(IF(INDEX(offices!$N$2:$N$61,MATCH($B79,offices!$A$2:$A$61,0))="","",INDEX(offices!$N$2:$N$61,MATCH($B79,offices!$A$2:$A$61,0))),""))</f>
        <v/>
      </c>
      <c r="L79" s="30" t="str">
        <f aca="false">IF($A79="","",IF($Q79="N","",COUNTIFS($A$2:$A79,$A79,$Q$2:$Q79,"&lt;&gt;N")))</f>
        <v/>
      </c>
      <c r="M79" s="30" t="str">
        <f aca="false">IF(OR($A79="",$L79=""),"",IF(AND(config!$B$34="names_if_public",IFERROR(IF(INDEX(offices!$AF$2:$AF$61,MATCH($B79,offices!$A$2:$A$61,0))="","",INDEX(offices!$AF$2:$AF$61,MATCH($B79,offices!$A$2:$A$61,0))),"")="Y"),$K79,CHAR(64+$L79)))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C$2:$AC$61,MATCH($B79,offices!$A$2:$A$61,0))="","",INDEX(offices!$AC$2:$AC$61,MATCH($B79,offices!$A$2:$A$61,0))),"")&lt;&gt;"",ISNUMBER(SEARCH($J79,IFERROR(IF(INDEX(offices!$AC$2:$AC$61,MATCH($B79,offices!$A$2:$A$61,0))="","",INDEX(offices!$AC$2:$AC$61,MATCH($B79,offices!$A$2:$A$61,0))),"")))),"BRAND VETOED; ","")&amp;IF(ISNUMBER(SEARCH(IFERROR(IF(INDEX(campaigns!$BF$2:$BF$51,MATCH($A79,campaigns!$A$2:$A$51,0))="","",INDEX(campaigns!$BF$2:$BF$51,MATCH($A79,campaigns!$A$2:$A$51,0))),""),IFERROR(IF(INDEX(offices!$AB$2:$AB$61,MATCH($B79,offices!$A$2:$A$61,0))="","",INDEX(offices!$AB$2:$AB$61,MATCH($B79,offices!$A$2:$A$61,0))),""))),"","info: category not on the office's list; ")&amp;IF(IFERROR(IF(INDEX(offices!$AC$2:$AC$61,MATCH($B79,offices!$A$2:$A$61,0))="","",INDEX(offices!$AC$2:$AC$61,MATCH($B79,offices!$A$2:$A$61,0))),"")&lt;&gt;"","info: read the vetoes against the label; ",""))</f>
        <v/>
      </c>
      <c r="S79" s="30" t="str">
        <f aca="false">IF($A79="","",IF($G79&lt;&gt;"",$G79,IFERROR(IF(INDEX(offices!$AL$2:$AL$61,MATCH($B79,offices!$A$2:$A$61,0))="","",INDEX(offices!$AL$2:$AL$61,MATCH($B79,offices!$A$2:$A$61,0))),"")))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IF($B80="","",IFERROR(IF(INDEX(offices!$N$2:$N$61,MATCH($B80,offices!$A$2:$A$61,0))="","",INDEX(offices!$N$2:$N$61,MATCH($B80,offices!$A$2:$A$61,0))),""))</f>
        <v/>
      </c>
      <c r="L80" s="30" t="str">
        <f aca="false">IF($A80="","",IF($Q80="N","",COUNTIFS($A$2:$A80,$A80,$Q$2:$Q80,"&lt;&gt;N")))</f>
        <v/>
      </c>
      <c r="M80" s="30" t="str">
        <f aca="false">IF(OR($A80="",$L80=""),"",IF(AND(config!$B$34="names_if_public",IFERROR(IF(INDEX(offices!$AF$2:$AF$61,MATCH($B80,offices!$A$2:$A$61,0))="","",INDEX(offices!$AF$2:$AF$61,MATCH($B80,offices!$A$2:$A$61,0))),"")="Y"),$K80,CHAR(64+$L80)))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C$2:$AC$61,MATCH($B80,offices!$A$2:$A$61,0))="","",INDEX(offices!$AC$2:$AC$61,MATCH($B80,offices!$A$2:$A$61,0))),"")&lt;&gt;"",ISNUMBER(SEARCH($J80,IFERROR(IF(INDEX(offices!$AC$2:$AC$61,MATCH($B80,offices!$A$2:$A$61,0))="","",INDEX(offices!$AC$2:$AC$61,MATCH($B80,offices!$A$2:$A$61,0))),"")))),"BRAND VETOED; ","")&amp;IF(ISNUMBER(SEARCH(IFERROR(IF(INDEX(campaigns!$BF$2:$BF$51,MATCH($A80,campaigns!$A$2:$A$51,0))="","",INDEX(campaigns!$BF$2:$BF$51,MATCH($A80,campaigns!$A$2:$A$51,0))),""),IFERROR(IF(INDEX(offices!$AB$2:$AB$61,MATCH($B80,offices!$A$2:$A$61,0))="","",INDEX(offices!$AB$2:$AB$61,MATCH($B80,offices!$A$2:$A$61,0))),""))),"","info: category not on the office's list; ")&amp;IF(IFERROR(IF(INDEX(offices!$AC$2:$AC$61,MATCH($B80,offices!$A$2:$A$61,0))="","",INDEX(offices!$AC$2:$AC$61,MATCH($B80,offices!$A$2:$A$61,0))),"")&lt;&gt;"","info: read the vetoes against the label; ",""))</f>
        <v/>
      </c>
      <c r="S80" s="30" t="str">
        <f aca="false">IF($A80="","",IF($G80&lt;&gt;"",$G80,IFERROR(IF(INDEX(offices!$AL$2:$AL$61,MATCH($B80,offices!$A$2:$A$61,0))="","",INDEX(offices!$AL$2:$AL$61,MATCH($B80,offices!$A$2:$A$61,0))),"")))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IF($B81="","",IFERROR(IF(INDEX(offices!$N$2:$N$61,MATCH($B81,offices!$A$2:$A$61,0))="","",INDEX(offices!$N$2:$N$61,MATCH($B81,offices!$A$2:$A$61,0))),""))</f>
        <v/>
      </c>
      <c r="L81" s="30" t="str">
        <f aca="false">IF($A81="","",IF($Q81="N","",COUNTIFS($A$2:$A81,$A81,$Q$2:$Q81,"&lt;&gt;N")))</f>
        <v/>
      </c>
      <c r="M81" s="30" t="str">
        <f aca="false">IF(OR($A81="",$L81=""),"",IF(AND(config!$B$34="names_if_public",IFERROR(IF(INDEX(offices!$AF$2:$AF$61,MATCH($B81,offices!$A$2:$A$61,0))="","",INDEX(offices!$AF$2:$AF$61,MATCH($B81,offices!$A$2:$A$61,0))),"")="Y"),$K81,CHAR(64+$L81)))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C$2:$AC$61,MATCH($B81,offices!$A$2:$A$61,0))="","",INDEX(offices!$AC$2:$AC$61,MATCH($B81,offices!$A$2:$A$61,0))),"")&lt;&gt;"",ISNUMBER(SEARCH($J81,IFERROR(IF(INDEX(offices!$AC$2:$AC$61,MATCH($B81,offices!$A$2:$A$61,0))="","",INDEX(offices!$AC$2:$AC$61,MATCH($B81,offices!$A$2:$A$61,0))),"")))),"BRAND VETOED; ","")&amp;IF(ISNUMBER(SEARCH(IFERROR(IF(INDEX(campaigns!$BF$2:$BF$51,MATCH($A81,campaigns!$A$2:$A$51,0))="","",INDEX(campaigns!$BF$2:$BF$51,MATCH($A81,campaigns!$A$2:$A$51,0))),""),IFERROR(IF(INDEX(offices!$AB$2:$AB$61,MATCH($B81,offices!$A$2:$A$61,0))="","",INDEX(offices!$AB$2:$AB$61,MATCH($B81,offices!$A$2:$A$61,0))),""))),"","info: category not on the office's list; ")&amp;IF(IFERROR(IF(INDEX(offices!$AC$2:$AC$61,MATCH($B81,offices!$A$2:$A$61,0))="","",INDEX(offices!$AC$2:$AC$61,MATCH($B81,offices!$A$2:$A$61,0))),"")&lt;&gt;"","info: read the vetoes against the label; ",""))</f>
        <v/>
      </c>
      <c r="S81" s="30" t="str">
        <f aca="false">IF($A81="","",IF($G81&lt;&gt;"",$G81,IFERROR(IF(INDEX(offices!$AL$2:$AL$61,MATCH($B81,offices!$A$2:$A$61,0))="","",INDEX(offices!$AL$2:$AL$61,MATCH($B81,offices!$A$2:$A$61,0))),"")))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IF($B82="","",IFERROR(IF(INDEX(offices!$N$2:$N$61,MATCH($B82,offices!$A$2:$A$61,0))="","",INDEX(offices!$N$2:$N$61,MATCH($B82,offices!$A$2:$A$61,0))),""))</f>
        <v/>
      </c>
      <c r="L82" s="30" t="str">
        <f aca="false">IF($A82="","",IF($Q82="N","",COUNTIFS($A$2:$A82,$A82,$Q$2:$Q82,"&lt;&gt;N")))</f>
        <v/>
      </c>
      <c r="M82" s="30" t="str">
        <f aca="false">IF(OR($A82="",$L82=""),"",IF(AND(config!$B$34="names_if_public",IFERROR(IF(INDEX(offices!$AF$2:$AF$61,MATCH($B82,offices!$A$2:$A$61,0))="","",INDEX(offices!$AF$2:$AF$61,MATCH($B82,offices!$A$2:$A$61,0))),"")="Y"),$K82,CHAR(64+$L82)))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C$2:$AC$61,MATCH($B82,offices!$A$2:$A$61,0))="","",INDEX(offices!$AC$2:$AC$61,MATCH($B82,offices!$A$2:$A$61,0))),"")&lt;&gt;"",ISNUMBER(SEARCH($J82,IFERROR(IF(INDEX(offices!$AC$2:$AC$61,MATCH($B82,offices!$A$2:$A$61,0))="","",INDEX(offices!$AC$2:$AC$61,MATCH($B82,offices!$A$2:$A$61,0))),"")))),"BRAND VETOED; ","")&amp;IF(ISNUMBER(SEARCH(IFERROR(IF(INDEX(campaigns!$BF$2:$BF$51,MATCH($A82,campaigns!$A$2:$A$51,0))="","",INDEX(campaigns!$BF$2:$BF$51,MATCH($A82,campaigns!$A$2:$A$51,0))),""),IFERROR(IF(INDEX(offices!$AB$2:$AB$61,MATCH($B82,offices!$A$2:$A$61,0))="","",INDEX(offices!$AB$2:$AB$61,MATCH($B82,offices!$A$2:$A$61,0))),""))),"","info: category not on the office's list; ")&amp;IF(IFERROR(IF(INDEX(offices!$AC$2:$AC$61,MATCH($B82,offices!$A$2:$A$61,0))="","",INDEX(offices!$AC$2:$AC$61,MATCH($B82,offices!$A$2:$A$61,0))),"")&lt;&gt;"","info: read the vetoes against the label; ",""))</f>
        <v/>
      </c>
      <c r="S82" s="30" t="str">
        <f aca="false">IF($A82="","",IF($G82&lt;&gt;"",$G82,IFERROR(IF(INDEX(offices!$AL$2:$AL$61,MATCH($B82,offices!$A$2:$A$61,0))="","",INDEX(offices!$AL$2:$AL$61,MATCH($B82,offices!$A$2:$A$61,0))),"")))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IF($B83="","",IFERROR(IF(INDEX(offices!$N$2:$N$61,MATCH($B83,offices!$A$2:$A$61,0))="","",INDEX(offices!$N$2:$N$61,MATCH($B83,offices!$A$2:$A$61,0))),""))</f>
        <v/>
      </c>
      <c r="L83" s="30" t="str">
        <f aca="false">IF($A83="","",IF($Q83="N","",COUNTIFS($A$2:$A83,$A83,$Q$2:$Q83,"&lt;&gt;N")))</f>
        <v/>
      </c>
      <c r="M83" s="30" t="str">
        <f aca="false">IF(OR($A83="",$L83=""),"",IF(AND(config!$B$34="names_if_public",IFERROR(IF(INDEX(offices!$AF$2:$AF$61,MATCH($B83,offices!$A$2:$A$61,0))="","",INDEX(offices!$AF$2:$AF$61,MATCH($B83,offices!$A$2:$A$61,0))),"")="Y"),$K83,CHAR(64+$L83)))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C$2:$AC$61,MATCH($B83,offices!$A$2:$A$61,0))="","",INDEX(offices!$AC$2:$AC$61,MATCH($B83,offices!$A$2:$A$61,0))),"")&lt;&gt;"",ISNUMBER(SEARCH($J83,IFERROR(IF(INDEX(offices!$AC$2:$AC$61,MATCH($B83,offices!$A$2:$A$61,0))="","",INDEX(offices!$AC$2:$AC$61,MATCH($B83,offices!$A$2:$A$61,0))),"")))),"BRAND VETOED; ","")&amp;IF(ISNUMBER(SEARCH(IFERROR(IF(INDEX(campaigns!$BF$2:$BF$51,MATCH($A83,campaigns!$A$2:$A$51,0))="","",INDEX(campaigns!$BF$2:$BF$51,MATCH($A83,campaigns!$A$2:$A$51,0))),""),IFERROR(IF(INDEX(offices!$AB$2:$AB$61,MATCH($B83,offices!$A$2:$A$61,0))="","",INDEX(offices!$AB$2:$AB$61,MATCH($B83,offices!$A$2:$A$61,0))),""))),"","info: category not on the office's list; ")&amp;IF(IFERROR(IF(INDEX(offices!$AC$2:$AC$61,MATCH($B83,offices!$A$2:$A$61,0))="","",INDEX(offices!$AC$2:$AC$61,MATCH($B83,offices!$A$2:$A$61,0))),"")&lt;&gt;"","info: read the vetoes against the label; ",""))</f>
        <v/>
      </c>
      <c r="S83" s="30" t="str">
        <f aca="false">IF($A83="","",IF($G83&lt;&gt;"",$G83,IFERROR(IF(INDEX(offices!$AL$2:$AL$61,MATCH($B83,offices!$A$2:$A$61,0))="","",INDEX(offices!$AL$2:$AL$61,MATCH($B83,offices!$A$2:$A$61,0))),"")))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IF($B84="","",IFERROR(IF(INDEX(offices!$N$2:$N$61,MATCH($B84,offices!$A$2:$A$61,0))="","",INDEX(offices!$N$2:$N$61,MATCH($B84,offices!$A$2:$A$61,0))),""))</f>
        <v/>
      </c>
      <c r="L84" s="30" t="str">
        <f aca="false">IF($A84="","",IF($Q84="N","",COUNTIFS($A$2:$A84,$A84,$Q$2:$Q84,"&lt;&gt;N")))</f>
        <v/>
      </c>
      <c r="M84" s="30" t="str">
        <f aca="false">IF(OR($A84="",$L84=""),"",IF(AND(config!$B$34="names_if_public",IFERROR(IF(INDEX(offices!$AF$2:$AF$61,MATCH($B84,offices!$A$2:$A$61,0))="","",INDEX(offices!$AF$2:$AF$61,MATCH($B84,offices!$A$2:$A$61,0))),"")="Y"),$K84,CHAR(64+$L84)))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C$2:$AC$61,MATCH($B84,offices!$A$2:$A$61,0))="","",INDEX(offices!$AC$2:$AC$61,MATCH($B84,offices!$A$2:$A$61,0))),"")&lt;&gt;"",ISNUMBER(SEARCH($J84,IFERROR(IF(INDEX(offices!$AC$2:$AC$61,MATCH($B84,offices!$A$2:$A$61,0))="","",INDEX(offices!$AC$2:$AC$61,MATCH($B84,offices!$A$2:$A$61,0))),"")))),"BRAND VETOED; ","")&amp;IF(ISNUMBER(SEARCH(IFERROR(IF(INDEX(campaigns!$BF$2:$BF$51,MATCH($A84,campaigns!$A$2:$A$51,0))="","",INDEX(campaigns!$BF$2:$BF$51,MATCH($A84,campaigns!$A$2:$A$51,0))),""),IFERROR(IF(INDEX(offices!$AB$2:$AB$61,MATCH($B84,offices!$A$2:$A$61,0))="","",INDEX(offices!$AB$2:$AB$61,MATCH($B84,offices!$A$2:$A$61,0))),""))),"","info: category not on the office's list; ")&amp;IF(IFERROR(IF(INDEX(offices!$AC$2:$AC$61,MATCH($B84,offices!$A$2:$A$61,0))="","",INDEX(offices!$AC$2:$AC$61,MATCH($B84,offices!$A$2:$A$61,0))),"")&lt;&gt;"","info: read the vetoes against the label; ",""))</f>
        <v/>
      </c>
      <c r="S84" s="30" t="str">
        <f aca="false">IF($A84="","",IF($G84&lt;&gt;"",$G84,IFERROR(IF(INDEX(offices!$AL$2:$AL$61,MATCH($B84,offices!$A$2:$A$61,0))="","",INDEX(offices!$AL$2:$AL$61,MATCH($B84,offices!$A$2:$A$61,0))),"")))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IF($B85="","",IFERROR(IF(INDEX(offices!$N$2:$N$61,MATCH($B85,offices!$A$2:$A$61,0))="","",INDEX(offices!$N$2:$N$61,MATCH($B85,offices!$A$2:$A$61,0))),""))</f>
        <v/>
      </c>
      <c r="L85" s="30" t="str">
        <f aca="false">IF($A85="","",IF($Q85="N","",COUNTIFS($A$2:$A85,$A85,$Q$2:$Q85,"&lt;&gt;N")))</f>
        <v/>
      </c>
      <c r="M85" s="30" t="str">
        <f aca="false">IF(OR($A85="",$L85=""),"",IF(AND(config!$B$34="names_if_public",IFERROR(IF(INDEX(offices!$AF$2:$AF$61,MATCH($B85,offices!$A$2:$A$61,0))="","",INDEX(offices!$AF$2:$AF$61,MATCH($B85,offices!$A$2:$A$61,0))),"")="Y"),$K85,CHAR(64+$L85)))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C$2:$AC$61,MATCH($B85,offices!$A$2:$A$61,0))="","",INDEX(offices!$AC$2:$AC$61,MATCH($B85,offices!$A$2:$A$61,0))),"")&lt;&gt;"",ISNUMBER(SEARCH($J85,IFERROR(IF(INDEX(offices!$AC$2:$AC$61,MATCH($B85,offices!$A$2:$A$61,0))="","",INDEX(offices!$AC$2:$AC$61,MATCH($B85,offices!$A$2:$A$61,0))),"")))),"BRAND VETOED; ","")&amp;IF(ISNUMBER(SEARCH(IFERROR(IF(INDEX(campaigns!$BF$2:$BF$51,MATCH($A85,campaigns!$A$2:$A$51,0))="","",INDEX(campaigns!$BF$2:$BF$51,MATCH($A85,campaigns!$A$2:$A$51,0))),""),IFERROR(IF(INDEX(offices!$AB$2:$AB$61,MATCH($B85,offices!$A$2:$A$61,0))="","",INDEX(offices!$AB$2:$AB$61,MATCH($B85,offices!$A$2:$A$61,0))),""))),"","info: category not on the office's list; ")&amp;IF(IFERROR(IF(INDEX(offices!$AC$2:$AC$61,MATCH($B85,offices!$A$2:$A$61,0))="","",INDEX(offices!$AC$2:$AC$61,MATCH($B85,offices!$A$2:$A$61,0))),"")&lt;&gt;"","info: read the vetoes against the label; ",""))</f>
        <v/>
      </c>
      <c r="S85" s="30" t="str">
        <f aca="false">IF($A85="","",IF($G85&lt;&gt;"",$G85,IFERROR(IF(INDEX(offices!$AL$2:$AL$61,MATCH($B85,offices!$A$2:$A$61,0))="","",INDEX(offices!$AL$2:$AL$61,MATCH($B85,offices!$A$2:$A$61,0))),"")))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IF($B86="","",IFERROR(IF(INDEX(offices!$N$2:$N$61,MATCH($B86,offices!$A$2:$A$61,0))="","",INDEX(offices!$N$2:$N$61,MATCH($B86,offices!$A$2:$A$61,0))),""))</f>
        <v/>
      </c>
      <c r="L86" s="30" t="str">
        <f aca="false">IF($A86="","",IF($Q86="N","",COUNTIFS($A$2:$A86,$A86,$Q$2:$Q86,"&lt;&gt;N")))</f>
        <v/>
      </c>
      <c r="M86" s="30" t="str">
        <f aca="false">IF(OR($A86="",$L86=""),"",IF(AND(config!$B$34="names_if_public",IFERROR(IF(INDEX(offices!$AF$2:$AF$61,MATCH($B86,offices!$A$2:$A$61,0))="","",INDEX(offices!$AF$2:$AF$61,MATCH($B86,offices!$A$2:$A$61,0))),"")="Y"),$K86,CHAR(64+$L86)))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C$2:$AC$61,MATCH($B86,offices!$A$2:$A$61,0))="","",INDEX(offices!$AC$2:$AC$61,MATCH($B86,offices!$A$2:$A$61,0))),"")&lt;&gt;"",ISNUMBER(SEARCH($J86,IFERROR(IF(INDEX(offices!$AC$2:$AC$61,MATCH($B86,offices!$A$2:$A$61,0))="","",INDEX(offices!$AC$2:$AC$61,MATCH($B86,offices!$A$2:$A$61,0))),"")))),"BRAND VETOED; ","")&amp;IF(ISNUMBER(SEARCH(IFERROR(IF(INDEX(campaigns!$BF$2:$BF$51,MATCH($A86,campaigns!$A$2:$A$51,0))="","",INDEX(campaigns!$BF$2:$BF$51,MATCH($A86,campaigns!$A$2:$A$51,0))),""),IFERROR(IF(INDEX(offices!$AB$2:$AB$61,MATCH($B86,offices!$A$2:$A$61,0))="","",INDEX(offices!$AB$2:$AB$61,MATCH($B86,offices!$A$2:$A$61,0))),""))),"","info: category not on the office's list; ")&amp;IF(IFERROR(IF(INDEX(offices!$AC$2:$AC$61,MATCH($B86,offices!$A$2:$A$61,0))="","",INDEX(offices!$AC$2:$AC$61,MATCH($B86,offices!$A$2:$A$61,0))),"")&lt;&gt;"","info: read the vetoes against the label; ",""))</f>
        <v/>
      </c>
      <c r="S86" s="30" t="str">
        <f aca="false">IF($A86="","",IF($G86&lt;&gt;"",$G86,IFERROR(IF(INDEX(offices!$AL$2:$AL$61,MATCH($B86,offices!$A$2:$A$61,0))="","",INDEX(offices!$AL$2:$AL$61,MATCH($B86,offices!$A$2:$A$61,0))),"")))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IF($B87="","",IFERROR(IF(INDEX(offices!$N$2:$N$61,MATCH($B87,offices!$A$2:$A$61,0))="","",INDEX(offices!$N$2:$N$61,MATCH($B87,offices!$A$2:$A$61,0))),""))</f>
        <v/>
      </c>
      <c r="L87" s="30" t="str">
        <f aca="false">IF($A87="","",IF($Q87="N","",COUNTIFS($A$2:$A87,$A87,$Q$2:$Q87,"&lt;&gt;N")))</f>
        <v/>
      </c>
      <c r="M87" s="30" t="str">
        <f aca="false">IF(OR($A87="",$L87=""),"",IF(AND(config!$B$34="names_if_public",IFERROR(IF(INDEX(offices!$AF$2:$AF$61,MATCH($B87,offices!$A$2:$A$61,0))="","",INDEX(offices!$AF$2:$AF$61,MATCH($B87,offices!$A$2:$A$61,0))),"")="Y"),$K87,CHAR(64+$L87)))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C$2:$AC$61,MATCH($B87,offices!$A$2:$A$61,0))="","",INDEX(offices!$AC$2:$AC$61,MATCH($B87,offices!$A$2:$A$61,0))),"")&lt;&gt;"",ISNUMBER(SEARCH($J87,IFERROR(IF(INDEX(offices!$AC$2:$AC$61,MATCH($B87,offices!$A$2:$A$61,0))="","",INDEX(offices!$AC$2:$AC$61,MATCH($B87,offices!$A$2:$A$61,0))),"")))),"BRAND VETOED; ","")&amp;IF(ISNUMBER(SEARCH(IFERROR(IF(INDEX(campaigns!$BF$2:$BF$51,MATCH($A87,campaigns!$A$2:$A$51,0))="","",INDEX(campaigns!$BF$2:$BF$51,MATCH($A87,campaigns!$A$2:$A$51,0))),""),IFERROR(IF(INDEX(offices!$AB$2:$AB$61,MATCH($B87,offices!$A$2:$A$61,0))="","",INDEX(offices!$AB$2:$AB$61,MATCH($B87,offices!$A$2:$A$61,0))),""))),"","info: category not on the office's list; ")&amp;IF(IFERROR(IF(INDEX(offices!$AC$2:$AC$61,MATCH($B87,offices!$A$2:$A$61,0))="","",INDEX(offices!$AC$2:$AC$61,MATCH($B87,offices!$A$2:$A$61,0))),"")&lt;&gt;"","info: read the vetoes against the label; ",""))</f>
        <v/>
      </c>
      <c r="S87" s="30" t="str">
        <f aca="false">IF($A87="","",IF($G87&lt;&gt;"",$G87,IFERROR(IF(INDEX(offices!$AL$2:$AL$61,MATCH($B87,offices!$A$2:$A$61,0))="","",INDEX(offices!$AL$2:$AL$61,MATCH($B87,offices!$A$2:$A$61,0))),"")))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IF($B88="","",IFERROR(IF(INDEX(offices!$N$2:$N$61,MATCH($B88,offices!$A$2:$A$61,0))="","",INDEX(offices!$N$2:$N$61,MATCH($B88,offices!$A$2:$A$61,0))),""))</f>
        <v/>
      </c>
      <c r="L88" s="30" t="str">
        <f aca="false">IF($A88="","",IF($Q88="N","",COUNTIFS($A$2:$A88,$A88,$Q$2:$Q88,"&lt;&gt;N")))</f>
        <v/>
      </c>
      <c r="M88" s="30" t="str">
        <f aca="false">IF(OR($A88="",$L88=""),"",IF(AND(config!$B$34="names_if_public",IFERROR(IF(INDEX(offices!$AF$2:$AF$61,MATCH($B88,offices!$A$2:$A$61,0))="","",INDEX(offices!$AF$2:$AF$61,MATCH($B88,offices!$A$2:$A$61,0))),"")="Y"),$K88,CHAR(64+$L88)))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C$2:$AC$61,MATCH($B88,offices!$A$2:$A$61,0))="","",INDEX(offices!$AC$2:$AC$61,MATCH($B88,offices!$A$2:$A$61,0))),"")&lt;&gt;"",ISNUMBER(SEARCH($J88,IFERROR(IF(INDEX(offices!$AC$2:$AC$61,MATCH($B88,offices!$A$2:$A$61,0))="","",INDEX(offices!$AC$2:$AC$61,MATCH($B88,offices!$A$2:$A$61,0))),"")))),"BRAND VETOED; ","")&amp;IF(ISNUMBER(SEARCH(IFERROR(IF(INDEX(campaigns!$BF$2:$BF$51,MATCH($A88,campaigns!$A$2:$A$51,0))="","",INDEX(campaigns!$BF$2:$BF$51,MATCH($A88,campaigns!$A$2:$A$51,0))),""),IFERROR(IF(INDEX(offices!$AB$2:$AB$61,MATCH($B88,offices!$A$2:$A$61,0))="","",INDEX(offices!$AB$2:$AB$61,MATCH($B88,offices!$A$2:$A$61,0))),""))),"","info: category not on the office's list; ")&amp;IF(IFERROR(IF(INDEX(offices!$AC$2:$AC$61,MATCH($B88,offices!$A$2:$A$61,0))="","",INDEX(offices!$AC$2:$AC$61,MATCH($B88,offices!$A$2:$A$61,0))),"")&lt;&gt;"","info: read the vetoes against the label; ",""))</f>
        <v/>
      </c>
      <c r="S88" s="30" t="str">
        <f aca="false">IF($A88="","",IF($G88&lt;&gt;"",$G88,IFERROR(IF(INDEX(offices!$AL$2:$AL$61,MATCH($B88,offices!$A$2:$A$61,0))="","",INDEX(offices!$AL$2:$AL$61,MATCH($B88,offices!$A$2:$A$61,0))),"")))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IF($B89="","",IFERROR(IF(INDEX(offices!$N$2:$N$61,MATCH($B89,offices!$A$2:$A$61,0))="","",INDEX(offices!$N$2:$N$61,MATCH($B89,offices!$A$2:$A$61,0))),""))</f>
        <v/>
      </c>
      <c r="L89" s="30" t="str">
        <f aca="false">IF($A89="","",IF($Q89="N","",COUNTIFS($A$2:$A89,$A89,$Q$2:$Q89,"&lt;&gt;N")))</f>
        <v/>
      </c>
      <c r="M89" s="30" t="str">
        <f aca="false">IF(OR($A89="",$L89=""),"",IF(AND(config!$B$34="names_if_public",IFERROR(IF(INDEX(offices!$AF$2:$AF$61,MATCH($B89,offices!$A$2:$A$61,0))="","",INDEX(offices!$AF$2:$AF$61,MATCH($B89,offices!$A$2:$A$61,0))),"")="Y"),$K89,CHAR(64+$L89)))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C$2:$AC$61,MATCH($B89,offices!$A$2:$A$61,0))="","",INDEX(offices!$AC$2:$AC$61,MATCH($B89,offices!$A$2:$A$61,0))),"")&lt;&gt;"",ISNUMBER(SEARCH($J89,IFERROR(IF(INDEX(offices!$AC$2:$AC$61,MATCH($B89,offices!$A$2:$A$61,0))="","",INDEX(offices!$AC$2:$AC$61,MATCH($B89,offices!$A$2:$A$61,0))),"")))),"BRAND VETOED; ","")&amp;IF(ISNUMBER(SEARCH(IFERROR(IF(INDEX(campaigns!$BF$2:$BF$51,MATCH($A89,campaigns!$A$2:$A$51,0))="","",INDEX(campaigns!$BF$2:$BF$51,MATCH($A89,campaigns!$A$2:$A$51,0))),""),IFERROR(IF(INDEX(offices!$AB$2:$AB$61,MATCH($B89,offices!$A$2:$A$61,0))="","",INDEX(offices!$AB$2:$AB$61,MATCH($B89,offices!$A$2:$A$61,0))),""))),"","info: category not on the office's list; ")&amp;IF(IFERROR(IF(INDEX(offices!$AC$2:$AC$61,MATCH($B89,offices!$A$2:$A$61,0))="","",INDEX(offices!$AC$2:$AC$61,MATCH($B89,offices!$A$2:$A$61,0))),"")&lt;&gt;"","info: read the vetoes against the label; ",""))</f>
        <v/>
      </c>
      <c r="S89" s="30" t="str">
        <f aca="false">IF($A89="","",IF($G89&lt;&gt;"",$G89,IFERROR(IF(INDEX(offices!$AL$2:$AL$61,MATCH($B89,offices!$A$2:$A$61,0))="","",INDEX(offices!$AL$2:$AL$61,MATCH($B89,offices!$A$2:$A$61,0))),"")))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IF($B90="","",IFERROR(IF(INDEX(offices!$N$2:$N$61,MATCH($B90,offices!$A$2:$A$61,0))="","",INDEX(offices!$N$2:$N$61,MATCH($B90,offices!$A$2:$A$61,0))),""))</f>
        <v/>
      </c>
      <c r="L90" s="30" t="str">
        <f aca="false">IF($A90="","",IF($Q90="N","",COUNTIFS($A$2:$A90,$A90,$Q$2:$Q90,"&lt;&gt;N")))</f>
        <v/>
      </c>
      <c r="M90" s="30" t="str">
        <f aca="false">IF(OR($A90="",$L90=""),"",IF(AND(config!$B$34="names_if_public",IFERROR(IF(INDEX(offices!$AF$2:$AF$61,MATCH($B90,offices!$A$2:$A$61,0))="","",INDEX(offices!$AF$2:$AF$61,MATCH($B90,offices!$A$2:$A$61,0))),"")="Y"),$K90,CHAR(64+$L90)))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C$2:$AC$61,MATCH($B90,offices!$A$2:$A$61,0))="","",INDEX(offices!$AC$2:$AC$61,MATCH($B90,offices!$A$2:$A$61,0))),"")&lt;&gt;"",ISNUMBER(SEARCH($J90,IFERROR(IF(INDEX(offices!$AC$2:$AC$61,MATCH($B90,offices!$A$2:$A$61,0))="","",INDEX(offices!$AC$2:$AC$61,MATCH($B90,offices!$A$2:$A$61,0))),"")))),"BRAND VETOED; ","")&amp;IF(ISNUMBER(SEARCH(IFERROR(IF(INDEX(campaigns!$BF$2:$BF$51,MATCH($A90,campaigns!$A$2:$A$51,0))="","",INDEX(campaigns!$BF$2:$BF$51,MATCH($A90,campaigns!$A$2:$A$51,0))),""),IFERROR(IF(INDEX(offices!$AB$2:$AB$61,MATCH($B90,offices!$A$2:$A$61,0))="","",INDEX(offices!$AB$2:$AB$61,MATCH($B90,offices!$A$2:$A$61,0))),""))),"","info: category not on the office's list; ")&amp;IF(IFERROR(IF(INDEX(offices!$AC$2:$AC$61,MATCH($B90,offices!$A$2:$A$61,0))="","",INDEX(offices!$AC$2:$AC$61,MATCH($B90,offices!$A$2:$A$61,0))),"")&lt;&gt;"","info: read the vetoes against the label; ",""))</f>
        <v/>
      </c>
      <c r="S90" s="30" t="str">
        <f aca="false">IF($A90="","",IF($G90&lt;&gt;"",$G90,IFERROR(IF(INDEX(offices!$AL$2:$AL$61,MATCH($B90,offices!$A$2:$A$61,0))="","",INDEX(offices!$AL$2:$AL$61,MATCH($B90,offices!$A$2:$A$61,0))),"")))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IF($B91="","",IFERROR(IF(INDEX(offices!$N$2:$N$61,MATCH($B91,offices!$A$2:$A$61,0))="","",INDEX(offices!$N$2:$N$61,MATCH($B91,offices!$A$2:$A$61,0))),""))</f>
        <v/>
      </c>
      <c r="L91" s="30" t="str">
        <f aca="false">IF($A91="","",IF($Q91="N","",COUNTIFS($A$2:$A91,$A91,$Q$2:$Q91,"&lt;&gt;N")))</f>
        <v/>
      </c>
      <c r="M91" s="30" t="str">
        <f aca="false">IF(OR($A91="",$L91=""),"",IF(AND(config!$B$34="names_if_public",IFERROR(IF(INDEX(offices!$AF$2:$AF$61,MATCH($B91,offices!$A$2:$A$61,0))="","",INDEX(offices!$AF$2:$AF$61,MATCH($B91,offices!$A$2:$A$61,0))),"")="Y"),$K91,CHAR(64+$L91)))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C$2:$AC$61,MATCH($B91,offices!$A$2:$A$61,0))="","",INDEX(offices!$AC$2:$AC$61,MATCH($B91,offices!$A$2:$A$61,0))),"")&lt;&gt;"",ISNUMBER(SEARCH($J91,IFERROR(IF(INDEX(offices!$AC$2:$AC$61,MATCH($B91,offices!$A$2:$A$61,0))="","",INDEX(offices!$AC$2:$AC$61,MATCH($B91,offices!$A$2:$A$61,0))),"")))),"BRAND VETOED; ","")&amp;IF(ISNUMBER(SEARCH(IFERROR(IF(INDEX(campaigns!$BF$2:$BF$51,MATCH($A91,campaigns!$A$2:$A$51,0))="","",INDEX(campaigns!$BF$2:$BF$51,MATCH($A91,campaigns!$A$2:$A$51,0))),""),IFERROR(IF(INDEX(offices!$AB$2:$AB$61,MATCH($B91,offices!$A$2:$A$61,0))="","",INDEX(offices!$AB$2:$AB$61,MATCH($B91,offices!$A$2:$A$61,0))),""))),"","info: category not on the office's list; ")&amp;IF(IFERROR(IF(INDEX(offices!$AC$2:$AC$61,MATCH($B91,offices!$A$2:$A$61,0))="","",INDEX(offices!$AC$2:$AC$61,MATCH($B91,offices!$A$2:$A$61,0))),"")&lt;&gt;"","info: read the vetoes against the label; ",""))</f>
        <v/>
      </c>
      <c r="S91" s="30" t="str">
        <f aca="false">IF($A91="","",IF($G91&lt;&gt;"",$G91,IFERROR(IF(INDEX(offices!$AL$2:$AL$61,MATCH($B91,offices!$A$2:$A$61,0))="","",INDEX(offices!$AL$2:$AL$61,MATCH($B91,offices!$A$2:$A$61,0))),"")))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IF($B92="","",IFERROR(IF(INDEX(offices!$N$2:$N$61,MATCH($B92,offices!$A$2:$A$61,0))="","",INDEX(offices!$N$2:$N$61,MATCH($B92,offices!$A$2:$A$61,0))),""))</f>
        <v/>
      </c>
      <c r="L92" s="30" t="str">
        <f aca="false">IF($A92="","",IF($Q92="N","",COUNTIFS($A$2:$A92,$A92,$Q$2:$Q92,"&lt;&gt;N")))</f>
        <v/>
      </c>
      <c r="M92" s="30" t="str">
        <f aca="false">IF(OR($A92="",$L92=""),"",IF(AND(config!$B$34="names_if_public",IFERROR(IF(INDEX(offices!$AF$2:$AF$61,MATCH($B92,offices!$A$2:$A$61,0))="","",INDEX(offices!$AF$2:$AF$61,MATCH($B92,offices!$A$2:$A$61,0))),"")="Y"),$K92,CHAR(64+$L92)))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C$2:$AC$61,MATCH($B92,offices!$A$2:$A$61,0))="","",INDEX(offices!$AC$2:$AC$61,MATCH($B92,offices!$A$2:$A$61,0))),"")&lt;&gt;"",ISNUMBER(SEARCH($J92,IFERROR(IF(INDEX(offices!$AC$2:$AC$61,MATCH($B92,offices!$A$2:$A$61,0))="","",INDEX(offices!$AC$2:$AC$61,MATCH($B92,offices!$A$2:$A$61,0))),"")))),"BRAND VETOED; ","")&amp;IF(ISNUMBER(SEARCH(IFERROR(IF(INDEX(campaigns!$BF$2:$BF$51,MATCH($A92,campaigns!$A$2:$A$51,0))="","",INDEX(campaigns!$BF$2:$BF$51,MATCH($A92,campaigns!$A$2:$A$51,0))),""),IFERROR(IF(INDEX(offices!$AB$2:$AB$61,MATCH($B92,offices!$A$2:$A$61,0))="","",INDEX(offices!$AB$2:$AB$61,MATCH($B92,offices!$A$2:$A$61,0))),""))),"","info: category not on the office's list; ")&amp;IF(IFERROR(IF(INDEX(offices!$AC$2:$AC$61,MATCH($B92,offices!$A$2:$A$61,0))="","",INDEX(offices!$AC$2:$AC$61,MATCH($B92,offices!$A$2:$A$61,0))),"")&lt;&gt;"","info: read the vetoes against the label; ",""))</f>
        <v/>
      </c>
      <c r="S92" s="30" t="str">
        <f aca="false">IF($A92="","",IF($G92&lt;&gt;"",$G92,IFERROR(IF(INDEX(offices!$AL$2:$AL$61,MATCH($B92,offices!$A$2:$A$61,0))="","",INDEX(offices!$AL$2:$AL$61,MATCH($B92,offices!$A$2:$A$61,0))),"")))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IF($B93="","",IFERROR(IF(INDEX(offices!$N$2:$N$61,MATCH($B93,offices!$A$2:$A$61,0))="","",INDEX(offices!$N$2:$N$61,MATCH($B93,offices!$A$2:$A$61,0))),""))</f>
        <v/>
      </c>
      <c r="L93" s="30" t="str">
        <f aca="false">IF($A93="","",IF($Q93="N","",COUNTIFS($A$2:$A93,$A93,$Q$2:$Q93,"&lt;&gt;N")))</f>
        <v/>
      </c>
      <c r="M93" s="30" t="str">
        <f aca="false">IF(OR($A93="",$L93=""),"",IF(AND(config!$B$34="names_if_public",IFERROR(IF(INDEX(offices!$AF$2:$AF$61,MATCH($B93,offices!$A$2:$A$61,0))="","",INDEX(offices!$AF$2:$AF$61,MATCH($B93,offices!$A$2:$A$61,0))),"")="Y"),$K93,CHAR(64+$L93)))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C$2:$AC$61,MATCH($B93,offices!$A$2:$A$61,0))="","",INDEX(offices!$AC$2:$AC$61,MATCH($B93,offices!$A$2:$A$61,0))),"")&lt;&gt;"",ISNUMBER(SEARCH($J93,IFERROR(IF(INDEX(offices!$AC$2:$AC$61,MATCH($B93,offices!$A$2:$A$61,0))="","",INDEX(offices!$AC$2:$AC$61,MATCH($B93,offices!$A$2:$A$61,0))),"")))),"BRAND VETOED; ","")&amp;IF(ISNUMBER(SEARCH(IFERROR(IF(INDEX(campaigns!$BF$2:$BF$51,MATCH($A93,campaigns!$A$2:$A$51,0))="","",INDEX(campaigns!$BF$2:$BF$51,MATCH($A93,campaigns!$A$2:$A$51,0))),""),IFERROR(IF(INDEX(offices!$AB$2:$AB$61,MATCH($B93,offices!$A$2:$A$61,0))="","",INDEX(offices!$AB$2:$AB$61,MATCH($B93,offices!$A$2:$A$61,0))),""))),"","info: category not on the office's list; ")&amp;IF(IFERROR(IF(INDEX(offices!$AC$2:$AC$61,MATCH($B93,offices!$A$2:$A$61,0))="","",INDEX(offices!$AC$2:$AC$61,MATCH($B93,offices!$A$2:$A$61,0))),"")&lt;&gt;"","info: read the vetoes against the label; ",""))</f>
        <v/>
      </c>
      <c r="S93" s="30" t="str">
        <f aca="false">IF($A93="","",IF($G93&lt;&gt;"",$G93,IFERROR(IF(INDEX(offices!$AL$2:$AL$61,MATCH($B93,offices!$A$2:$A$61,0))="","",INDEX(offices!$AL$2:$AL$61,MATCH($B93,offices!$A$2:$A$61,0))),"")))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IF($B94="","",IFERROR(IF(INDEX(offices!$N$2:$N$61,MATCH($B94,offices!$A$2:$A$61,0))="","",INDEX(offices!$N$2:$N$61,MATCH($B94,offices!$A$2:$A$61,0))),""))</f>
        <v/>
      </c>
      <c r="L94" s="30" t="str">
        <f aca="false">IF($A94="","",IF($Q94="N","",COUNTIFS($A$2:$A94,$A94,$Q$2:$Q94,"&lt;&gt;N")))</f>
        <v/>
      </c>
      <c r="M94" s="30" t="str">
        <f aca="false">IF(OR($A94="",$L94=""),"",IF(AND(config!$B$34="names_if_public",IFERROR(IF(INDEX(offices!$AF$2:$AF$61,MATCH($B94,offices!$A$2:$A$61,0))="","",INDEX(offices!$AF$2:$AF$61,MATCH($B94,offices!$A$2:$A$61,0))),"")="Y"),$K94,CHAR(64+$L94)))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C$2:$AC$61,MATCH($B94,offices!$A$2:$A$61,0))="","",INDEX(offices!$AC$2:$AC$61,MATCH($B94,offices!$A$2:$A$61,0))),"")&lt;&gt;"",ISNUMBER(SEARCH($J94,IFERROR(IF(INDEX(offices!$AC$2:$AC$61,MATCH($B94,offices!$A$2:$A$61,0))="","",INDEX(offices!$AC$2:$AC$61,MATCH($B94,offices!$A$2:$A$61,0))),"")))),"BRAND VETOED; ","")&amp;IF(ISNUMBER(SEARCH(IFERROR(IF(INDEX(campaigns!$BF$2:$BF$51,MATCH($A94,campaigns!$A$2:$A$51,0))="","",INDEX(campaigns!$BF$2:$BF$51,MATCH($A94,campaigns!$A$2:$A$51,0))),""),IFERROR(IF(INDEX(offices!$AB$2:$AB$61,MATCH($B94,offices!$A$2:$A$61,0))="","",INDEX(offices!$AB$2:$AB$61,MATCH($B94,offices!$A$2:$A$61,0))),""))),"","info: category not on the office's list; ")&amp;IF(IFERROR(IF(INDEX(offices!$AC$2:$AC$61,MATCH($B94,offices!$A$2:$A$61,0))="","",INDEX(offices!$AC$2:$AC$61,MATCH($B94,offices!$A$2:$A$61,0))),"")&lt;&gt;"","info: read the vetoes against the label; ",""))</f>
        <v/>
      </c>
      <c r="S94" s="30" t="str">
        <f aca="false">IF($A94="","",IF($G94&lt;&gt;"",$G94,IFERROR(IF(INDEX(offices!$AL$2:$AL$61,MATCH($B94,offices!$A$2:$A$61,0))="","",INDEX(offices!$AL$2:$AL$61,MATCH($B94,offices!$A$2:$A$61,0))),"")))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IF($B95="","",IFERROR(IF(INDEX(offices!$N$2:$N$61,MATCH($B95,offices!$A$2:$A$61,0))="","",INDEX(offices!$N$2:$N$61,MATCH($B95,offices!$A$2:$A$61,0))),""))</f>
        <v/>
      </c>
      <c r="L95" s="30" t="str">
        <f aca="false">IF($A95="","",IF($Q95="N","",COUNTIFS($A$2:$A95,$A95,$Q$2:$Q95,"&lt;&gt;N")))</f>
        <v/>
      </c>
      <c r="M95" s="30" t="str">
        <f aca="false">IF(OR($A95="",$L95=""),"",IF(AND(config!$B$34="names_if_public",IFERROR(IF(INDEX(offices!$AF$2:$AF$61,MATCH($B95,offices!$A$2:$A$61,0))="","",INDEX(offices!$AF$2:$AF$61,MATCH($B95,offices!$A$2:$A$61,0))),"")="Y"),$K95,CHAR(64+$L95)))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C$2:$AC$61,MATCH($B95,offices!$A$2:$A$61,0))="","",INDEX(offices!$AC$2:$AC$61,MATCH($B95,offices!$A$2:$A$61,0))),"")&lt;&gt;"",ISNUMBER(SEARCH($J95,IFERROR(IF(INDEX(offices!$AC$2:$AC$61,MATCH($B95,offices!$A$2:$A$61,0))="","",INDEX(offices!$AC$2:$AC$61,MATCH($B95,offices!$A$2:$A$61,0))),"")))),"BRAND VETOED; ","")&amp;IF(ISNUMBER(SEARCH(IFERROR(IF(INDEX(campaigns!$BF$2:$BF$51,MATCH($A95,campaigns!$A$2:$A$51,0))="","",INDEX(campaigns!$BF$2:$BF$51,MATCH($A95,campaigns!$A$2:$A$51,0))),""),IFERROR(IF(INDEX(offices!$AB$2:$AB$61,MATCH($B95,offices!$A$2:$A$61,0))="","",INDEX(offices!$AB$2:$AB$61,MATCH($B95,offices!$A$2:$A$61,0))),""))),"","info: category not on the office's list; ")&amp;IF(IFERROR(IF(INDEX(offices!$AC$2:$AC$61,MATCH($B95,offices!$A$2:$A$61,0))="","",INDEX(offices!$AC$2:$AC$61,MATCH($B95,offices!$A$2:$A$61,0))),"")&lt;&gt;"","info: read the vetoes against the label; ",""))</f>
        <v/>
      </c>
      <c r="S95" s="30" t="str">
        <f aca="false">IF($A95="","",IF($G95&lt;&gt;"",$G95,IFERROR(IF(INDEX(offices!$AL$2:$AL$61,MATCH($B95,offices!$A$2:$A$61,0))="","",INDEX(offices!$AL$2:$AL$61,MATCH($B95,offices!$A$2:$A$61,0))),"")))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IF($B96="","",IFERROR(IF(INDEX(offices!$N$2:$N$61,MATCH($B96,offices!$A$2:$A$61,0))="","",INDEX(offices!$N$2:$N$61,MATCH($B96,offices!$A$2:$A$61,0))),""))</f>
        <v/>
      </c>
      <c r="L96" s="30" t="str">
        <f aca="false">IF($A96="","",IF($Q96="N","",COUNTIFS($A$2:$A96,$A96,$Q$2:$Q96,"&lt;&gt;N")))</f>
        <v/>
      </c>
      <c r="M96" s="30" t="str">
        <f aca="false">IF(OR($A96="",$L96=""),"",IF(AND(config!$B$34="names_if_public",IFERROR(IF(INDEX(offices!$AF$2:$AF$61,MATCH($B96,offices!$A$2:$A$61,0))="","",INDEX(offices!$AF$2:$AF$61,MATCH($B96,offices!$A$2:$A$61,0))),"")="Y"),$K96,CHAR(64+$L96)))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C$2:$AC$61,MATCH($B96,offices!$A$2:$A$61,0))="","",INDEX(offices!$AC$2:$AC$61,MATCH($B96,offices!$A$2:$A$61,0))),"")&lt;&gt;"",ISNUMBER(SEARCH($J96,IFERROR(IF(INDEX(offices!$AC$2:$AC$61,MATCH($B96,offices!$A$2:$A$61,0))="","",INDEX(offices!$AC$2:$AC$61,MATCH($B96,offices!$A$2:$A$61,0))),"")))),"BRAND VETOED; ","")&amp;IF(ISNUMBER(SEARCH(IFERROR(IF(INDEX(campaigns!$BF$2:$BF$51,MATCH($A96,campaigns!$A$2:$A$51,0))="","",INDEX(campaigns!$BF$2:$BF$51,MATCH($A96,campaigns!$A$2:$A$51,0))),""),IFERROR(IF(INDEX(offices!$AB$2:$AB$61,MATCH($B96,offices!$A$2:$A$61,0))="","",INDEX(offices!$AB$2:$AB$61,MATCH($B96,offices!$A$2:$A$61,0))),""))),"","info: category not on the office's list; ")&amp;IF(IFERROR(IF(INDEX(offices!$AC$2:$AC$61,MATCH($B96,offices!$A$2:$A$61,0))="","",INDEX(offices!$AC$2:$AC$61,MATCH($B96,offices!$A$2:$A$61,0))),"")&lt;&gt;"","info: read the vetoes against the label; ",""))</f>
        <v/>
      </c>
      <c r="S96" s="30" t="str">
        <f aca="false">IF($A96="","",IF($G96&lt;&gt;"",$G96,IFERROR(IF(INDEX(offices!$AL$2:$AL$61,MATCH($B96,offices!$A$2:$A$61,0))="","",INDEX(offices!$AL$2:$AL$61,MATCH($B96,offices!$A$2:$A$61,0))),"")))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IF($B97="","",IFERROR(IF(INDEX(offices!$N$2:$N$61,MATCH($B97,offices!$A$2:$A$61,0))="","",INDEX(offices!$N$2:$N$61,MATCH($B97,offices!$A$2:$A$61,0))),""))</f>
        <v/>
      </c>
      <c r="L97" s="30" t="str">
        <f aca="false">IF($A97="","",IF($Q97="N","",COUNTIFS($A$2:$A97,$A97,$Q$2:$Q97,"&lt;&gt;N")))</f>
        <v/>
      </c>
      <c r="M97" s="30" t="str">
        <f aca="false">IF(OR($A97="",$L97=""),"",IF(AND(config!$B$34="names_if_public",IFERROR(IF(INDEX(offices!$AF$2:$AF$61,MATCH($B97,offices!$A$2:$A$61,0))="","",INDEX(offices!$AF$2:$AF$61,MATCH($B97,offices!$A$2:$A$61,0))),"")="Y"),$K97,CHAR(64+$L97)))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C$2:$AC$61,MATCH($B97,offices!$A$2:$A$61,0))="","",INDEX(offices!$AC$2:$AC$61,MATCH($B97,offices!$A$2:$A$61,0))),"")&lt;&gt;"",ISNUMBER(SEARCH($J97,IFERROR(IF(INDEX(offices!$AC$2:$AC$61,MATCH($B97,offices!$A$2:$A$61,0))="","",INDEX(offices!$AC$2:$AC$61,MATCH($B97,offices!$A$2:$A$61,0))),"")))),"BRAND VETOED; ","")&amp;IF(ISNUMBER(SEARCH(IFERROR(IF(INDEX(campaigns!$BF$2:$BF$51,MATCH($A97,campaigns!$A$2:$A$51,0))="","",INDEX(campaigns!$BF$2:$BF$51,MATCH($A97,campaigns!$A$2:$A$51,0))),""),IFERROR(IF(INDEX(offices!$AB$2:$AB$61,MATCH($B97,offices!$A$2:$A$61,0))="","",INDEX(offices!$AB$2:$AB$61,MATCH($B97,offices!$A$2:$A$61,0))),""))),"","info: category not on the office's list; ")&amp;IF(IFERROR(IF(INDEX(offices!$AC$2:$AC$61,MATCH($B97,offices!$A$2:$A$61,0))="","",INDEX(offices!$AC$2:$AC$61,MATCH($B97,offices!$A$2:$A$61,0))),"")&lt;&gt;"","info: read the vetoes against the label; ",""))</f>
        <v/>
      </c>
      <c r="S97" s="30" t="str">
        <f aca="false">IF($A97="","",IF($G97&lt;&gt;"",$G97,IFERROR(IF(INDEX(offices!$AL$2:$AL$61,MATCH($B97,offices!$A$2:$A$61,0))="","",INDEX(offices!$AL$2:$AL$61,MATCH($B97,offices!$A$2:$A$61,0))),"")))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IF($B98="","",IFERROR(IF(INDEX(offices!$N$2:$N$61,MATCH($B98,offices!$A$2:$A$61,0))="","",INDEX(offices!$N$2:$N$61,MATCH($B98,offices!$A$2:$A$61,0))),""))</f>
        <v/>
      </c>
      <c r="L98" s="30" t="str">
        <f aca="false">IF($A98="","",IF($Q98="N","",COUNTIFS($A$2:$A98,$A98,$Q$2:$Q98,"&lt;&gt;N")))</f>
        <v/>
      </c>
      <c r="M98" s="30" t="str">
        <f aca="false">IF(OR($A98="",$L98=""),"",IF(AND(config!$B$34="names_if_public",IFERROR(IF(INDEX(offices!$AF$2:$AF$61,MATCH($B98,offices!$A$2:$A$61,0))="","",INDEX(offices!$AF$2:$AF$61,MATCH($B98,offices!$A$2:$A$61,0))),"")="Y"),$K98,CHAR(64+$L98)))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C$2:$AC$61,MATCH($B98,offices!$A$2:$A$61,0))="","",INDEX(offices!$AC$2:$AC$61,MATCH($B98,offices!$A$2:$A$61,0))),"")&lt;&gt;"",ISNUMBER(SEARCH($J98,IFERROR(IF(INDEX(offices!$AC$2:$AC$61,MATCH($B98,offices!$A$2:$A$61,0))="","",INDEX(offices!$AC$2:$AC$61,MATCH($B98,offices!$A$2:$A$61,0))),"")))),"BRAND VETOED; ","")&amp;IF(ISNUMBER(SEARCH(IFERROR(IF(INDEX(campaigns!$BF$2:$BF$51,MATCH($A98,campaigns!$A$2:$A$51,0))="","",INDEX(campaigns!$BF$2:$BF$51,MATCH($A98,campaigns!$A$2:$A$51,0))),""),IFERROR(IF(INDEX(offices!$AB$2:$AB$61,MATCH($B98,offices!$A$2:$A$61,0))="","",INDEX(offices!$AB$2:$AB$61,MATCH($B98,offices!$A$2:$A$61,0))),""))),"","info: category not on the office's list; ")&amp;IF(IFERROR(IF(INDEX(offices!$AC$2:$AC$61,MATCH($B98,offices!$A$2:$A$61,0))="","",INDEX(offices!$AC$2:$AC$61,MATCH($B98,offices!$A$2:$A$61,0))),"")&lt;&gt;"","info: read the vetoes against the label; ",""))</f>
        <v/>
      </c>
      <c r="S98" s="30" t="str">
        <f aca="false">IF($A98="","",IF($G98&lt;&gt;"",$G98,IFERROR(IF(INDEX(offices!$AL$2:$AL$61,MATCH($B98,offices!$A$2:$A$61,0))="","",INDEX(offices!$AL$2:$AL$61,MATCH($B98,offices!$A$2:$A$61,0))),"")))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IF($B99="","",IFERROR(IF(INDEX(offices!$N$2:$N$61,MATCH($B99,offices!$A$2:$A$61,0))="","",INDEX(offices!$N$2:$N$61,MATCH($B99,offices!$A$2:$A$61,0))),""))</f>
        <v/>
      </c>
      <c r="L99" s="30" t="str">
        <f aca="false">IF($A99="","",IF($Q99="N","",COUNTIFS($A$2:$A99,$A99,$Q$2:$Q99,"&lt;&gt;N")))</f>
        <v/>
      </c>
      <c r="M99" s="30" t="str">
        <f aca="false">IF(OR($A99="",$L99=""),"",IF(AND(config!$B$34="names_if_public",IFERROR(IF(INDEX(offices!$AF$2:$AF$61,MATCH($B99,offices!$A$2:$A$61,0))="","",INDEX(offices!$AF$2:$AF$61,MATCH($B99,offices!$A$2:$A$61,0))),"")="Y"),$K99,CHAR(64+$L99)))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C$2:$AC$61,MATCH($B99,offices!$A$2:$A$61,0))="","",INDEX(offices!$AC$2:$AC$61,MATCH($B99,offices!$A$2:$A$61,0))),"")&lt;&gt;"",ISNUMBER(SEARCH($J99,IFERROR(IF(INDEX(offices!$AC$2:$AC$61,MATCH($B99,offices!$A$2:$A$61,0))="","",INDEX(offices!$AC$2:$AC$61,MATCH($B99,offices!$A$2:$A$61,0))),"")))),"BRAND VETOED; ","")&amp;IF(ISNUMBER(SEARCH(IFERROR(IF(INDEX(campaigns!$BF$2:$BF$51,MATCH($A99,campaigns!$A$2:$A$51,0))="","",INDEX(campaigns!$BF$2:$BF$51,MATCH($A99,campaigns!$A$2:$A$51,0))),""),IFERROR(IF(INDEX(offices!$AB$2:$AB$61,MATCH($B99,offices!$A$2:$A$61,0))="","",INDEX(offices!$AB$2:$AB$61,MATCH($B99,offices!$A$2:$A$61,0))),""))),"","info: category not on the office's list; ")&amp;IF(IFERROR(IF(INDEX(offices!$AC$2:$AC$61,MATCH($B99,offices!$A$2:$A$61,0))="","",INDEX(offices!$AC$2:$AC$61,MATCH($B99,offices!$A$2:$A$61,0))),"")&lt;&gt;"","info: read the vetoes against the label; ",""))</f>
        <v/>
      </c>
      <c r="S99" s="30" t="str">
        <f aca="false">IF($A99="","",IF($G99&lt;&gt;"",$G99,IFERROR(IF(INDEX(offices!$AL$2:$AL$61,MATCH($B99,offices!$A$2:$A$61,0))="","",INDEX(offices!$AL$2:$AL$61,MATCH($B99,offices!$A$2:$A$61,0))),"")))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IF($B100="","",IFERROR(IF(INDEX(offices!$N$2:$N$61,MATCH($B100,offices!$A$2:$A$61,0))="","",INDEX(offices!$N$2:$N$61,MATCH($B100,offices!$A$2:$A$61,0))),""))</f>
        <v/>
      </c>
      <c r="L100" s="30" t="str">
        <f aca="false">IF($A100="","",IF($Q100="N","",COUNTIFS($A$2:$A100,$A100,$Q$2:$Q100,"&lt;&gt;N")))</f>
        <v/>
      </c>
      <c r="M100" s="30" t="str">
        <f aca="false">IF(OR($A100="",$L100=""),"",IF(AND(config!$B$34="names_if_public",IFERROR(IF(INDEX(offices!$AF$2:$AF$61,MATCH($B100,offices!$A$2:$A$61,0))="","",INDEX(offices!$AF$2:$AF$61,MATCH($B100,offices!$A$2:$A$61,0))),"")="Y"),$K100,CHAR(64+$L100)))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C$2:$AC$61,MATCH($B100,offices!$A$2:$A$61,0))="","",INDEX(offices!$AC$2:$AC$61,MATCH($B100,offices!$A$2:$A$61,0))),"")&lt;&gt;"",ISNUMBER(SEARCH($J100,IFERROR(IF(INDEX(offices!$AC$2:$AC$61,MATCH($B100,offices!$A$2:$A$61,0))="","",INDEX(offices!$AC$2:$AC$61,MATCH($B100,offices!$A$2:$A$61,0))),"")))),"BRAND VETOED; ","")&amp;IF(ISNUMBER(SEARCH(IFERROR(IF(INDEX(campaigns!$BF$2:$BF$51,MATCH($A100,campaigns!$A$2:$A$51,0))="","",INDEX(campaigns!$BF$2:$BF$51,MATCH($A100,campaigns!$A$2:$A$51,0))),""),IFERROR(IF(INDEX(offices!$AB$2:$AB$61,MATCH($B100,offices!$A$2:$A$61,0))="","",INDEX(offices!$AB$2:$AB$61,MATCH($B100,offices!$A$2:$A$61,0))),""))),"","info: category not on the office's list; ")&amp;IF(IFERROR(IF(INDEX(offices!$AC$2:$AC$61,MATCH($B100,offices!$A$2:$A$61,0))="","",INDEX(offices!$AC$2:$AC$61,MATCH($B100,offices!$A$2:$A$61,0))),"")&lt;&gt;"","info: read the vetoes against the label; ",""))</f>
        <v/>
      </c>
      <c r="S100" s="30" t="str">
        <f aca="false">IF($A100="","",IF($G100&lt;&gt;"",$G100,IFERROR(IF(INDEX(offices!$AL$2:$AL$61,MATCH($B100,offices!$A$2:$A$61,0))="","",INDEX(offices!$AL$2:$AL$61,MATCH($B100,offices!$A$2:$A$61,0))),"")))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IF($B101="","",IFERROR(IF(INDEX(offices!$N$2:$N$61,MATCH($B101,offices!$A$2:$A$61,0))="","",INDEX(offices!$N$2:$N$61,MATCH($B101,offices!$A$2:$A$61,0))),""))</f>
        <v/>
      </c>
      <c r="L101" s="30" t="str">
        <f aca="false">IF($A101="","",IF($Q101="N","",COUNTIFS($A$2:$A101,$A101,$Q$2:$Q101,"&lt;&gt;N")))</f>
        <v/>
      </c>
      <c r="M101" s="30" t="str">
        <f aca="false">IF(OR($A101="",$L101=""),"",IF(AND(config!$B$34="names_if_public",IFERROR(IF(INDEX(offices!$AF$2:$AF$61,MATCH($B101,offices!$A$2:$A$61,0))="","",INDEX(offices!$AF$2:$AF$61,MATCH($B101,offices!$A$2:$A$61,0))),"")="Y"),$K101,CHAR(64+$L101)))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C$2:$AC$61,MATCH($B101,offices!$A$2:$A$61,0))="","",INDEX(offices!$AC$2:$AC$61,MATCH($B101,offices!$A$2:$A$61,0))),"")&lt;&gt;"",ISNUMBER(SEARCH($J101,IFERROR(IF(INDEX(offices!$AC$2:$AC$61,MATCH($B101,offices!$A$2:$A$61,0))="","",INDEX(offices!$AC$2:$AC$61,MATCH($B101,offices!$A$2:$A$61,0))),"")))),"BRAND VETOED; ","")&amp;IF(ISNUMBER(SEARCH(IFERROR(IF(INDEX(campaigns!$BF$2:$BF$51,MATCH($A101,campaigns!$A$2:$A$51,0))="","",INDEX(campaigns!$BF$2:$BF$51,MATCH($A101,campaigns!$A$2:$A$51,0))),""),IFERROR(IF(INDEX(offices!$AB$2:$AB$61,MATCH($B101,offices!$A$2:$A$61,0))="","",INDEX(offices!$AB$2:$AB$61,MATCH($B101,offices!$A$2:$A$61,0))),""))),"","info: category not on the office's list; ")&amp;IF(IFERROR(IF(INDEX(offices!$AC$2:$AC$61,MATCH($B101,offices!$A$2:$A$61,0))="","",INDEX(offices!$AC$2:$AC$61,MATCH($B101,offices!$A$2:$A$61,0))),"")&lt;&gt;"","info: read the vetoes against the label; ",""))</f>
        <v/>
      </c>
      <c r="S101" s="30" t="str">
        <f aca="false">IF($A101="","",IF($G101&lt;&gt;"",$G101,IFERROR(IF(INDEX(offices!$AL$2:$AL$61,MATCH($B101,offices!$A$2:$A$61,0))="","",INDEX(offices!$AL$2:$AL$61,MATCH($B101,offices!$A$2:$A$61,0))),"")))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IF($B102="","",IFERROR(IF(INDEX(offices!$N$2:$N$61,MATCH($B102,offices!$A$2:$A$61,0))="","",INDEX(offices!$N$2:$N$61,MATCH($B102,offices!$A$2:$A$61,0))),""))</f>
        <v/>
      </c>
      <c r="L102" s="30" t="str">
        <f aca="false">IF($A102="","",IF($Q102="N","",COUNTIFS($A$2:$A102,$A102,$Q$2:$Q102,"&lt;&gt;N")))</f>
        <v/>
      </c>
      <c r="M102" s="30" t="str">
        <f aca="false">IF(OR($A102="",$L102=""),"",IF(AND(config!$B$34="names_if_public",IFERROR(IF(INDEX(offices!$AF$2:$AF$61,MATCH($B102,offices!$A$2:$A$61,0))="","",INDEX(offices!$AF$2:$AF$61,MATCH($B102,offices!$A$2:$A$61,0))),"")="Y"),$K102,CHAR(64+$L102)))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C$2:$AC$61,MATCH($B102,offices!$A$2:$A$61,0))="","",INDEX(offices!$AC$2:$AC$61,MATCH($B102,offices!$A$2:$A$61,0))),"")&lt;&gt;"",ISNUMBER(SEARCH($J102,IFERROR(IF(INDEX(offices!$AC$2:$AC$61,MATCH($B102,offices!$A$2:$A$61,0))="","",INDEX(offices!$AC$2:$AC$61,MATCH($B102,offices!$A$2:$A$61,0))),"")))),"BRAND VETOED; ","")&amp;IF(ISNUMBER(SEARCH(IFERROR(IF(INDEX(campaigns!$BF$2:$BF$51,MATCH($A102,campaigns!$A$2:$A$51,0))="","",INDEX(campaigns!$BF$2:$BF$51,MATCH($A102,campaigns!$A$2:$A$51,0))),""),IFERROR(IF(INDEX(offices!$AB$2:$AB$61,MATCH($B102,offices!$A$2:$A$61,0))="","",INDEX(offices!$AB$2:$AB$61,MATCH($B102,offices!$A$2:$A$61,0))),""))),"","info: category not on the office's list; ")&amp;IF(IFERROR(IF(INDEX(offices!$AC$2:$AC$61,MATCH($B102,offices!$A$2:$A$61,0))="","",INDEX(offices!$AC$2:$AC$61,MATCH($B102,offices!$A$2:$A$61,0))),"")&lt;&gt;"","info: read the vetoes against the label; ",""))</f>
        <v/>
      </c>
      <c r="S102" s="30" t="str">
        <f aca="false">IF($A102="","",IF($G102&lt;&gt;"",$G102,IFERROR(IF(INDEX(offices!$AL$2:$AL$61,MATCH($B102,offices!$A$2:$A$61,0))="","",INDEX(offices!$AL$2:$AL$61,MATCH($B102,offices!$A$2:$A$61,0))),"")))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IF($B103="","",IFERROR(IF(INDEX(offices!$N$2:$N$61,MATCH($B103,offices!$A$2:$A$61,0))="","",INDEX(offices!$N$2:$N$61,MATCH($B103,offices!$A$2:$A$61,0))),""))</f>
        <v/>
      </c>
      <c r="L103" s="30" t="str">
        <f aca="false">IF($A103="","",IF($Q103="N","",COUNTIFS($A$2:$A103,$A103,$Q$2:$Q103,"&lt;&gt;N")))</f>
        <v/>
      </c>
      <c r="M103" s="30" t="str">
        <f aca="false">IF(OR($A103="",$L103=""),"",IF(AND(config!$B$34="names_if_public",IFERROR(IF(INDEX(offices!$AF$2:$AF$61,MATCH($B103,offices!$A$2:$A$61,0))="","",INDEX(offices!$AF$2:$AF$61,MATCH($B103,offices!$A$2:$A$61,0))),"")="Y"),$K103,CHAR(64+$L103)))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C$2:$AC$61,MATCH($B103,offices!$A$2:$A$61,0))="","",INDEX(offices!$AC$2:$AC$61,MATCH($B103,offices!$A$2:$A$61,0))),"")&lt;&gt;"",ISNUMBER(SEARCH($J103,IFERROR(IF(INDEX(offices!$AC$2:$AC$61,MATCH($B103,offices!$A$2:$A$61,0))="","",INDEX(offices!$AC$2:$AC$61,MATCH($B103,offices!$A$2:$A$61,0))),"")))),"BRAND VETOED; ","")&amp;IF(ISNUMBER(SEARCH(IFERROR(IF(INDEX(campaigns!$BF$2:$BF$51,MATCH($A103,campaigns!$A$2:$A$51,0))="","",INDEX(campaigns!$BF$2:$BF$51,MATCH($A103,campaigns!$A$2:$A$51,0))),""),IFERROR(IF(INDEX(offices!$AB$2:$AB$61,MATCH($B103,offices!$A$2:$A$61,0))="","",INDEX(offices!$AB$2:$AB$61,MATCH($B103,offices!$A$2:$A$61,0))),""))),"","info: category not on the office's list; ")&amp;IF(IFERROR(IF(INDEX(offices!$AC$2:$AC$61,MATCH($B103,offices!$A$2:$A$61,0))="","",INDEX(offices!$AC$2:$AC$61,MATCH($B103,offices!$A$2:$A$61,0))),"")&lt;&gt;"","info: read the vetoes against the label; ",""))</f>
        <v/>
      </c>
      <c r="S103" s="30" t="str">
        <f aca="false">IF($A103="","",IF($G103&lt;&gt;"",$G103,IFERROR(IF(INDEX(offices!$AL$2:$AL$61,MATCH($B103,offices!$A$2:$A$61,0))="","",INDEX(offices!$AL$2:$AL$61,MATCH($B103,offices!$A$2:$A$61,0))),"")))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IF($B104="","",IFERROR(IF(INDEX(offices!$N$2:$N$61,MATCH($B104,offices!$A$2:$A$61,0))="","",INDEX(offices!$N$2:$N$61,MATCH($B104,offices!$A$2:$A$61,0))),""))</f>
        <v/>
      </c>
      <c r="L104" s="30" t="str">
        <f aca="false">IF($A104="","",IF($Q104="N","",COUNTIFS($A$2:$A104,$A104,$Q$2:$Q104,"&lt;&gt;N")))</f>
        <v/>
      </c>
      <c r="M104" s="30" t="str">
        <f aca="false">IF(OR($A104="",$L104=""),"",IF(AND(config!$B$34="names_if_public",IFERROR(IF(INDEX(offices!$AF$2:$AF$61,MATCH($B104,offices!$A$2:$A$61,0))="","",INDEX(offices!$AF$2:$AF$61,MATCH($B104,offices!$A$2:$A$61,0))),"")="Y"),$K104,CHAR(64+$L104)))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C$2:$AC$61,MATCH($B104,offices!$A$2:$A$61,0))="","",INDEX(offices!$AC$2:$AC$61,MATCH($B104,offices!$A$2:$A$61,0))),"")&lt;&gt;"",ISNUMBER(SEARCH($J104,IFERROR(IF(INDEX(offices!$AC$2:$AC$61,MATCH($B104,offices!$A$2:$A$61,0))="","",INDEX(offices!$AC$2:$AC$61,MATCH($B104,offices!$A$2:$A$61,0))),"")))),"BRAND VETOED; ","")&amp;IF(ISNUMBER(SEARCH(IFERROR(IF(INDEX(campaigns!$BF$2:$BF$51,MATCH($A104,campaigns!$A$2:$A$51,0))="","",INDEX(campaigns!$BF$2:$BF$51,MATCH($A104,campaigns!$A$2:$A$51,0))),""),IFERROR(IF(INDEX(offices!$AB$2:$AB$61,MATCH($B104,offices!$A$2:$A$61,0))="","",INDEX(offices!$AB$2:$AB$61,MATCH($B104,offices!$A$2:$A$61,0))),""))),"","info: category not on the office's list; ")&amp;IF(IFERROR(IF(INDEX(offices!$AC$2:$AC$61,MATCH($B104,offices!$A$2:$A$61,0))="","",INDEX(offices!$AC$2:$AC$61,MATCH($B104,offices!$A$2:$A$61,0))),"")&lt;&gt;"","info: read the vetoes against the label; ",""))</f>
        <v/>
      </c>
      <c r="S104" s="30" t="str">
        <f aca="false">IF($A104="","",IF($G104&lt;&gt;"",$G104,IFERROR(IF(INDEX(offices!$AL$2:$AL$61,MATCH($B104,offices!$A$2:$A$61,0))="","",INDEX(offices!$AL$2:$AL$61,MATCH($B104,offices!$A$2:$A$61,0))),"")))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IF($B105="","",IFERROR(IF(INDEX(offices!$N$2:$N$61,MATCH($B105,offices!$A$2:$A$61,0))="","",INDEX(offices!$N$2:$N$61,MATCH($B105,offices!$A$2:$A$61,0))),""))</f>
        <v/>
      </c>
      <c r="L105" s="30" t="str">
        <f aca="false">IF($A105="","",IF($Q105="N","",COUNTIFS($A$2:$A105,$A105,$Q$2:$Q105,"&lt;&gt;N")))</f>
        <v/>
      </c>
      <c r="M105" s="30" t="str">
        <f aca="false">IF(OR($A105="",$L105=""),"",IF(AND(config!$B$34="names_if_public",IFERROR(IF(INDEX(offices!$AF$2:$AF$61,MATCH($B105,offices!$A$2:$A$61,0))="","",INDEX(offices!$AF$2:$AF$61,MATCH($B105,offices!$A$2:$A$61,0))),"")="Y"),$K105,CHAR(64+$L105)))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C$2:$AC$61,MATCH($B105,offices!$A$2:$A$61,0))="","",INDEX(offices!$AC$2:$AC$61,MATCH($B105,offices!$A$2:$A$61,0))),"")&lt;&gt;"",ISNUMBER(SEARCH($J105,IFERROR(IF(INDEX(offices!$AC$2:$AC$61,MATCH($B105,offices!$A$2:$A$61,0))="","",INDEX(offices!$AC$2:$AC$61,MATCH($B105,offices!$A$2:$A$61,0))),"")))),"BRAND VETOED; ","")&amp;IF(ISNUMBER(SEARCH(IFERROR(IF(INDEX(campaigns!$BF$2:$BF$51,MATCH($A105,campaigns!$A$2:$A$51,0))="","",INDEX(campaigns!$BF$2:$BF$51,MATCH($A105,campaigns!$A$2:$A$51,0))),""),IFERROR(IF(INDEX(offices!$AB$2:$AB$61,MATCH($B105,offices!$A$2:$A$61,0))="","",INDEX(offices!$AB$2:$AB$61,MATCH($B105,offices!$A$2:$A$61,0))),""))),"","info: category not on the office's list; ")&amp;IF(IFERROR(IF(INDEX(offices!$AC$2:$AC$61,MATCH($B105,offices!$A$2:$A$61,0))="","",INDEX(offices!$AC$2:$AC$61,MATCH($B105,offices!$A$2:$A$61,0))),"")&lt;&gt;"","info: read the vetoes against the label; ",""))</f>
        <v/>
      </c>
      <c r="S105" s="30" t="str">
        <f aca="false">IF($A105="","",IF($G105&lt;&gt;"",$G105,IFERROR(IF(INDEX(offices!$AL$2:$AL$61,MATCH($B105,offices!$A$2:$A$61,0))="","",INDEX(offices!$AL$2:$AL$61,MATCH($B105,offices!$A$2:$A$61,0))),"")))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IF($B106="","",IFERROR(IF(INDEX(offices!$N$2:$N$61,MATCH($B106,offices!$A$2:$A$61,0))="","",INDEX(offices!$N$2:$N$61,MATCH($B106,offices!$A$2:$A$61,0))),""))</f>
        <v/>
      </c>
      <c r="L106" s="30" t="str">
        <f aca="false">IF($A106="","",IF($Q106="N","",COUNTIFS($A$2:$A106,$A106,$Q$2:$Q106,"&lt;&gt;N")))</f>
        <v/>
      </c>
      <c r="M106" s="30" t="str">
        <f aca="false">IF(OR($A106="",$L106=""),"",IF(AND(config!$B$34="names_if_public",IFERROR(IF(INDEX(offices!$AF$2:$AF$61,MATCH($B106,offices!$A$2:$A$61,0))="","",INDEX(offices!$AF$2:$AF$61,MATCH($B106,offices!$A$2:$A$61,0))),"")="Y"),$K106,CHAR(64+$L106)))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C$2:$AC$61,MATCH($B106,offices!$A$2:$A$61,0))="","",INDEX(offices!$AC$2:$AC$61,MATCH($B106,offices!$A$2:$A$61,0))),"")&lt;&gt;"",ISNUMBER(SEARCH($J106,IFERROR(IF(INDEX(offices!$AC$2:$AC$61,MATCH($B106,offices!$A$2:$A$61,0))="","",INDEX(offices!$AC$2:$AC$61,MATCH($B106,offices!$A$2:$A$61,0))),"")))),"BRAND VETOED; ","")&amp;IF(ISNUMBER(SEARCH(IFERROR(IF(INDEX(campaigns!$BF$2:$BF$51,MATCH($A106,campaigns!$A$2:$A$51,0))="","",INDEX(campaigns!$BF$2:$BF$51,MATCH($A106,campaigns!$A$2:$A$51,0))),""),IFERROR(IF(INDEX(offices!$AB$2:$AB$61,MATCH($B106,offices!$A$2:$A$61,0))="","",INDEX(offices!$AB$2:$AB$61,MATCH($B106,offices!$A$2:$A$61,0))),""))),"","info: category not on the office's list; ")&amp;IF(IFERROR(IF(INDEX(offices!$AC$2:$AC$61,MATCH($B106,offices!$A$2:$A$61,0))="","",INDEX(offices!$AC$2:$AC$61,MATCH($B106,offices!$A$2:$A$61,0))),"")&lt;&gt;"","info: read the vetoes against the label; ",""))</f>
        <v/>
      </c>
      <c r="S106" s="30" t="str">
        <f aca="false">IF($A106="","",IF($G106&lt;&gt;"",$G106,IFERROR(IF(INDEX(offices!$AL$2:$AL$61,MATCH($B106,offices!$A$2:$A$61,0))="","",INDEX(offices!$AL$2:$AL$61,MATCH($B106,offices!$A$2:$A$61,0))),"")))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IF($B107="","",IFERROR(IF(INDEX(offices!$N$2:$N$61,MATCH($B107,offices!$A$2:$A$61,0))="","",INDEX(offices!$N$2:$N$61,MATCH($B107,offices!$A$2:$A$61,0))),""))</f>
        <v/>
      </c>
      <c r="L107" s="30" t="str">
        <f aca="false">IF($A107="","",IF($Q107="N","",COUNTIFS($A$2:$A107,$A107,$Q$2:$Q107,"&lt;&gt;N")))</f>
        <v/>
      </c>
      <c r="M107" s="30" t="str">
        <f aca="false">IF(OR($A107="",$L107=""),"",IF(AND(config!$B$34="names_if_public",IFERROR(IF(INDEX(offices!$AF$2:$AF$61,MATCH($B107,offices!$A$2:$A$61,0))="","",INDEX(offices!$AF$2:$AF$61,MATCH($B107,offices!$A$2:$A$61,0))),"")="Y"),$K107,CHAR(64+$L107)))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C$2:$AC$61,MATCH($B107,offices!$A$2:$A$61,0))="","",INDEX(offices!$AC$2:$AC$61,MATCH($B107,offices!$A$2:$A$61,0))),"")&lt;&gt;"",ISNUMBER(SEARCH($J107,IFERROR(IF(INDEX(offices!$AC$2:$AC$61,MATCH($B107,offices!$A$2:$A$61,0))="","",INDEX(offices!$AC$2:$AC$61,MATCH($B107,offices!$A$2:$A$61,0))),"")))),"BRAND VETOED; ","")&amp;IF(ISNUMBER(SEARCH(IFERROR(IF(INDEX(campaigns!$BF$2:$BF$51,MATCH($A107,campaigns!$A$2:$A$51,0))="","",INDEX(campaigns!$BF$2:$BF$51,MATCH($A107,campaigns!$A$2:$A$51,0))),""),IFERROR(IF(INDEX(offices!$AB$2:$AB$61,MATCH($B107,offices!$A$2:$A$61,0))="","",INDEX(offices!$AB$2:$AB$61,MATCH($B107,offices!$A$2:$A$61,0))),""))),"","info: category not on the office's list; ")&amp;IF(IFERROR(IF(INDEX(offices!$AC$2:$AC$61,MATCH($B107,offices!$A$2:$A$61,0))="","",INDEX(offices!$AC$2:$AC$61,MATCH($B107,offices!$A$2:$A$61,0))),"")&lt;&gt;"","info: read the vetoes against the label; ",""))</f>
        <v/>
      </c>
      <c r="S107" s="30" t="str">
        <f aca="false">IF($A107="","",IF($G107&lt;&gt;"",$G107,IFERROR(IF(INDEX(offices!$AL$2:$AL$61,MATCH($B107,offices!$A$2:$A$61,0))="","",INDEX(offices!$AL$2:$AL$61,MATCH($B107,offices!$A$2:$A$61,0))),"")))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IF($B108="","",IFERROR(IF(INDEX(offices!$N$2:$N$61,MATCH($B108,offices!$A$2:$A$61,0))="","",INDEX(offices!$N$2:$N$61,MATCH($B108,offices!$A$2:$A$61,0))),""))</f>
        <v/>
      </c>
      <c r="L108" s="30" t="str">
        <f aca="false">IF($A108="","",IF($Q108="N","",COUNTIFS($A$2:$A108,$A108,$Q$2:$Q108,"&lt;&gt;N")))</f>
        <v/>
      </c>
      <c r="M108" s="30" t="str">
        <f aca="false">IF(OR($A108="",$L108=""),"",IF(AND(config!$B$34="names_if_public",IFERROR(IF(INDEX(offices!$AF$2:$AF$61,MATCH($B108,offices!$A$2:$A$61,0))="","",INDEX(offices!$AF$2:$AF$61,MATCH($B108,offices!$A$2:$A$61,0))),"")="Y"),$K108,CHAR(64+$L108)))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C$2:$AC$61,MATCH($B108,offices!$A$2:$A$61,0))="","",INDEX(offices!$AC$2:$AC$61,MATCH($B108,offices!$A$2:$A$61,0))),"")&lt;&gt;"",ISNUMBER(SEARCH($J108,IFERROR(IF(INDEX(offices!$AC$2:$AC$61,MATCH($B108,offices!$A$2:$A$61,0))="","",INDEX(offices!$AC$2:$AC$61,MATCH($B108,offices!$A$2:$A$61,0))),"")))),"BRAND VETOED; ","")&amp;IF(ISNUMBER(SEARCH(IFERROR(IF(INDEX(campaigns!$BF$2:$BF$51,MATCH($A108,campaigns!$A$2:$A$51,0))="","",INDEX(campaigns!$BF$2:$BF$51,MATCH($A108,campaigns!$A$2:$A$51,0))),""),IFERROR(IF(INDEX(offices!$AB$2:$AB$61,MATCH($B108,offices!$A$2:$A$61,0))="","",INDEX(offices!$AB$2:$AB$61,MATCH($B108,offices!$A$2:$A$61,0))),""))),"","info: category not on the office's list; ")&amp;IF(IFERROR(IF(INDEX(offices!$AC$2:$AC$61,MATCH($B108,offices!$A$2:$A$61,0))="","",INDEX(offices!$AC$2:$AC$61,MATCH($B108,offices!$A$2:$A$61,0))),"")&lt;&gt;"","info: read the vetoes against the label; ",""))</f>
        <v/>
      </c>
      <c r="S108" s="30" t="str">
        <f aca="false">IF($A108="","",IF($G108&lt;&gt;"",$G108,IFERROR(IF(INDEX(offices!$AL$2:$AL$61,MATCH($B108,offices!$A$2:$A$61,0))="","",INDEX(offices!$AL$2:$AL$61,MATCH($B108,offices!$A$2:$A$61,0))),"")))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IF($B109="","",IFERROR(IF(INDEX(offices!$N$2:$N$61,MATCH($B109,offices!$A$2:$A$61,0))="","",INDEX(offices!$N$2:$N$61,MATCH($B109,offices!$A$2:$A$61,0))),""))</f>
        <v/>
      </c>
      <c r="L109" s="30" t="str">
        <f aca="false">IF($A109="","",IF($Q109="N","",COUNTIFS($A$2:$A109,$A109,$Q$2:$Q109,"&lt;&gt;N")))</f>
        <v/>
      </c>
      <c r="M109" s="30" t="str">
        <f aca="false">IF(OR($A109="",$L109=""),"",IF(AND(config!$B$34="names_if_public",IFERROR(IF(INDEX(offices!$AF$2:$AF$61,MATCH($B109,offices!$A$2:$A$61,0))="","",INDEX(offices!$AF$2:$AF$61,MATCH($B109,offices!$A$2:$A$61,0))),"")="Y"),$K109,CHAR(64+$L109)))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C$2:$AC$61,MATCH($B109,offices!$A$2:$A$61,0))="","",INDEX(offices!$AC$2:$AC$61,MATCH($B109,offices!$A$2:$A$61,0))),"")&lt;&gt;"",ISNUMBER(SEARCH($J109,IFERROR(IF(INDEX(offices!$AC$2:$AC$61,MATCH($B109,offices!$A$2:$A$61,0))="","",INDEX(offices!$AC$2:$AC$61,MATCH($B109,offices!$A$2:$A$61,0))),"")))),"BRAND VETOED; ","")&amp;IF(ISNUMBER(SEARCH(IFERROR(IF(INDEX(campaigns!$BF$2:$BF$51,MATCH($A109,campaigns!$A$2:$A$51,0))="","",INDEX(campaigns!$BF$2:$BF$51,MATCH($A109,campaigns!$A$2:$A$51,0))),""),IFERROR(IF(INDEX(offices!$AB$2:$AB$61,MATCH($B109,offices!$A$2:$A$61,0))="","",INDEX(offices!$AB$2:$AB$61,MATCH($B109,offices!$A$2:$A$61,0))),""))),"","info: category not on the office's list; ")&amp;IF(IFERROR(IF(INDEX(offices!$AC$2:$AC$61,MATCH($B109,offices!$A$2:$A$61,0))="","",INDEX(offices!$AC$2:$AC$61,MATCH($B109,offices!$A$2:$A$61,0))),"")&lt;&gt;"","info: read the vetoes against the label; ",""))</f>
        <v/>
      </c>
      <c r="S109" s="30" t="str">
        <f aca="false">IF($A109="","",IF($G109&lt;&gt;"",$G109,IFERROR(IF(INDEX(offices!$AL$2:$AL$61,MATCH($B109,offices!$A$2:$A$61,0))="","",INDEX(offices!$AL$2:$AL$61,MATCH($B109,offices!$A$2:$A$61,0))),"")))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IF($B110="","",IFERROR(IF(INDEX(offices!$N$2:$N$61,MATCH($B110,offices!$A$2:$A$61,0))="","",INDEX(offices!$N$2:$N$61,MATCH($B110,offices!$A$2:$A$61,0))),""))</f>
        <v/>
      </c>
      <c r="L110" s="30" t="str">
        <f aca="false">IF($A110="","",IF($Q110="N","",COUNTIFS($A$2:$A110,$A110,$Q$2:$Q110,"&lt;&gt;N")))</f>
        <v/>
      </c>
      <c r="M110" s="30" t="str">
        <f aca="false">IF(OR($A110="",$L110=""),"",IF(AND(config!$B$34="names_if_public",IFERROR(IF(INDEX(offices!$AF$2:$AF$61,MATCH($B110,offices!$A$2:$A$61,0))="","",INDEX(offices!$AF$2:$AF$61,MATCH($B110,offices!$A$2:$A$61,0))),"")="Y"),$K110,CHAR(64+$L110)))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C$2:$AC$61,MATCH($B110,offices!$A$2:$A$61,0))="","",INDEX(offices!$AC$2:$AC$61,MATCH($B110,offices!$A$2:$A$61,0))),"")&lt;&gt;"",ISNUMBER(SEARCH($J110,IFERROR(IF(INDEX(offices!$AC$2:$AC$61,MATCH($B110,offices!$A$2:$A$61,0))="","",INDEX(offices!$AC$2:$AC$61,MATCH($B110,offices!$A$2:$A$61,0))),"")))),"BRAND VETOED; ","")&amp;IF(ISNUMBER(SEARCH(IFERROR(IF(INDEX(campaigns!$BF$2:$BF$51,MATCH($A110,campaigns!$A$2:$A$51,0))="","",INDEX(campaigns!$BF$2:$BF$51,MATCH($A110,campaigns!$A$2:$A$51,0))),""),IFERROR(IF(INDEX(offices!$AB$2:$AB$61,MATCH($B110,offices!$A$2:$A$61,0))="","",INDEX(offices!$AB$2:$AB$61,MATCH($B110,offices!$A$2:$A$61,0))),""))),"","info: category not on the office's list; ")&amp;IF(IFERROR(IF(INDEX(offices!$AC$2:$AC$61,MATCH($B110,offices!$A$2:$A$61,0))="","",INDEX(offices!$AC$2:$AC$61,MATCH($B110,offices!$A$2:$A$61,0))),"")&lt;&gt;"","info: read the vetoes against the label; ",""))</f>
        <v/>
      </c>
      <c r="S110" s="30" t="str">
        <f aca="false">IF($A110="","",IF($G110&lt;&gt;"",$G110,IFERROR(IF(INDEX(offices!$AL$2:$AL$61,MATCH($B110,offices!$A$2:$A$61,0))="","",INDEX(offices!$AL$2:$AL$61,MATCH($B110,offices!$A$2:$A$61,0))),"")))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IF($B111="","",IFERROR(IF(INDEX(offices!$N$2:$N$61,MATCH($B111,offices!$A$2:$A$61,0))="","",INDEX(offices!$N$2:$N$61,MATCH($B111,offices!$A$2:$A$61,0))),""))</f>
        <v/>
      </c>
      <c r="L111" s="30" t="str">
        <f aca="false">IF($A111="","",IF($Q111="N","",COUNTIFS($A$2:$A111,$A111,$Q$2:$Q111,"&lt;&gt;N")))</f>
        <v/>
      </c>
      <c r="M111" s="30" t="str">
        <f aca="false">IF(OR($A111="",$L111=""),"",IF(AND(config!$B$34="names_if_public",IFERROR(IF(INDEX(offices!$AF$2:$AF$61,MATCH($B111,offices!$A$2:$A$61,0))="","",INDEX(offices!$AF$2:$AF$61,MATCH($B111,offices!$A$2:$A$61,0))),"")="Y"),$K111,CHAR(64+$L111)))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C$2:$AC$61,MATCH($B111,offices!$A$2:$A$61,0))="","",INDEX(offices!$AC$2:$AC$61,MATCH($B111,offices!$A$2:$A$61,0))),"")&lt;&gt;"",ISNUMBER(SEARCH($J111,IFERROR(IF(INDEX(offices!$AC$2:$AC$61,MATCH($B111,offices!$A$2:$A$61,0))="","",INDEX(offices!$AC$2:$AC$61,MATCH($B111,offices!$A$2:$A$61,0))),"")))),"BRAND VETOED; ","")&amp;IF(ISNUMBER(SEARCH(IFERROR(IF(INDEX(campaigns!$BF$2:$BF$51,MATCH($A111,campaigns!$A$2:$A$51,0))="","",INDEX(campaigns!$BF$2:$BF$51,MATCH($A111,campaigns!$A$2:$A$51,0))),""),IFERROR(IF(INDEX(offices!$AB$2:$AB$61,MATCH($B111,offices!$A$2:$A$61,0))="","",INDEX(offices!$AB$2:$AB$61,MATCH($B111,offices!$A$2:$A$61,0))),""))),"","info: category not on the office's list; ")&amp;IF(IFERROR(IF(INDEX(offices!$AC$2:$AC$61,MATCH($B111,offices!$A$2:$A$61,0))="","",INDEX(offices!$AC$2:$AC$61,MATCH($B111,offices!$A$2:$A$61,0))),"")&lt;&gt;"","info: read the vetoes against the label; ",""))</f>
        <v/>
      </c>
      <c r="S111" s="30" t="str">
        <f aca="false">IF($A111="","",IF($G111&lt;&gt;"",$G111,IFERROR(IF(INDEX(offices!$AL$2:$AL$61,MATCH($B111,offices!$A$2:$A$61,0))="","",INDEX(offices!$AL$2:$AL$61,MATCH($B111,offices!$A$2:$A$61,0))),"")))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IF($B112="","",IFERROR(IF(INDEX(offices!$N$2:$N$61,MATCH($B112,offices!$A$2:$A$61,0))="","",INDEX(offices!$N$2:$N$61,MATCH($B112,offices!$A$2:$A$61,0))),""))</f>
        <v/>
      </c>
      <c r="L112" s="30" t="str">
        <f aca="false">IF($A112="","",IF($Q112="N","",COUNTIFS($A$2:$A112,$A112,$Q$2:$Q112,"&lt;&gt;N")))</f>
        <v/>
      </c>
      <c r="M112" s="30" t="str">
        <f aca="false">IF(OR($A112="",$L112=""),"",IF(AND(config!$B$34="names_if_public",IFERROR(IF(INDEX(offices!$AF$2:$AF$61,MATCH($B112,offices!$A$2:$A$61,0))="","",INDEX(offices!$AF$2:$AF$61,MATCH($B112,offices!$A$2:$A$61,0))),"")="Y"),$K112,CHAR(64+$L112)))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C$2:$AC$61,MATCH($B112,offices!$A$2:$A$61,0))="","",INDEX(offices!$AC$2:$AC$61,MATCH($B112,offices!$A$2:$A$61,0))),"")&lt;&gt;"",ISNUMBER(SEARCH($J112,IFERROR(IF(INDEX(offices!$AC$2:$AC$61,MATCH($B112,offices!$A$2:$A$61,0))="","",INDEX(offices!$AC$2:$AC$61,MATCH($B112,offices!$A$2:$A$61,0))),"")))),"BRAND VETOED; ","")&amp;IF(ISNUMBER(SEARCH(IFERROR(IF(INDEX(campaigns!$BF$2:$BF$51,MATCH($A112,campaigns!$A$2:$A$51,0))="","",INDEX(campaigns!$BF$2:$BF$51,MATCH($A112,campaigns!$A$2:$A$51,0))),""),IFERROR(IF(INDEX(offices!$AB$2:$AB$61,MATCH($B112,offices!$A$2:$A$61,0))="","",INDEX(offices!$AB$2:$AB$61,MATCH($B112,offices!$A$2:$A$61,0))),""))),"","info: category not on the office's list; ")&amp;IF(IFERROR(IF(INDEX(offices!$AC$2:$AC$61,MATCH($B112,offices!$A$2:$A$61,0))="","",INDEX(offices!$AC$2:$AC$61,MATCH($B112,offices!$A$2:$A$61,0))),"")&lt;&gt;"","info: read the vetoes against the label; ",""))</f>
        <v/>
      </c>
      <c r="S112" s="30" t="str">
        <f aca="false">IF($A112="","",IF($G112&lt;&gt;"",$G112,IFERROR(IF(INDEX(offices!$AL$2:$AL$61,MATCH($B112,offices!$A$2:$A$61,0))="","",INDEX(offices!$AL$2:$AL$61,MATCH($B112,offices!$A$2:$A$61,0))),"")))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IF($B113="","",IFERROR(IF(INDEX(offices!$N$2:$N$61,MATCH($B113,offices!$A$2:$A$61,0))="","",INDEX(offices!$N$2:$N$61,MATCH($B113,offices!$A$2:$A$61,0))),""))</f>
        <v/>
      </c>
      <c r="L113" s="30" t="str">
        <f aca="false">IF($A113="","",IF($Q113="N","",COUNTIFS($A$2:$A113,$A113,$Q$2:$Q113,"&lt;&gt;N")))</f>
        <v/>
      </c>
      <c r="M113" s="30" t="str">
        <f aca="false">IF(OR($A113="",$L113=""),"",IF(AND(config!$B$34="names_if_public",IFERROR(IF(INDEX(offices!$AF$2:$AF$61,MATCH($B113,offices!$A$2:$A$61,0))="","",INDEX(offices!$AF$2:$AF$61,MATCH($B113,offices!$A$2:$A$61,0))),"")="Y"),$K113,CHAR(64+$L113)))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C$2:$AC$61,MATCH($B113,offices!$A$2:$A$61,0))="","",INDEX(offices!$AC$2:$AC$61,MATCH($B113,offices!$A$2:$A$61,0))),"")&lt;&gt;"",ISNUMBER(SEARCH($J113,IFERROR(IF(INDEX(offices!$AC$2:$AC$61,MATCH($B113,offices!$A$2:$A$61,0))="","",INDEX(offices!$AC$2:$AC$61,MATCH($B113,offices!$A$2:$A$61,0))),"")))),"BRAND VETOED; ","")&amp;IF(ISNUMBER(SEARCH(IFERROR(IF(INDEX(campaigns!$BF$2:$BF$51,MATCH($A113,campaigns!$A$2:$A$51,0))="","",INDEX(campaigns!$BF$2:$BF$51,MATCH($A113,campaigns!$A$2:$A$51,0))),""),IFERROR(IF(INDEX(offices!$AB$2:$AB$61,MATCH($B113,offices!$A$2:$A$61,0))="","",INDEX(offices!$AB$2:$AB$61,MATCH($B113,offices!$A$2:$A$61,0))),""))),"","info: category not on the office's list; ")&amp;IF(IFERROR(IF(INDEX(offices!$AC$2:$AC$61,MATCH($B113,offices!$A$2:$A$61,0))="","",INDEX(offices!$AC$2:$AC$61,MATCH($B113,offices!$A$2:$A$61,0))),"")&lt;&gt;"","info: read the vetoes against the label; ",""))</f>
        <v/>
      </c>
      <c r="S113" s="30" t="str">
        <f aca="false">IF($A113="","",IF($G113&lt;&gt;"",$G113,IFERROR(IF(INDEX(offices!$AL$2:$AL$61,MATCH($B113,offices!$A$2:$A$61,0))="","",INDEX(offices!$AL$2:$AL$61,MATCH($B113,offices!$A$2:$A$61,0))),"")))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IF($B114="","",IFERROR(IF(INDEX(offices!$N$2:$N$61,MATCH($B114,offices!$A$2:$A$61,0))="","",INDEX(offices!$N$2:$N$61,MATCH($B114,offices!$A$2:$A$61,0))),""))</f>
        <v/>
      </c>
      <c r="L114" s="30" t="str">
        <f aca="false">IF($A114="","",IF($Q114="N","",COUNTIFS($A$2:$A114,$A114,$Q$2:$Q114,"&lt;&gt;N")))</f>
        <v/>
      </c>
      <c r="M114" s="30" t="str">
        <f aca="false">IF(OR($A114="",$L114=""),"",IF(AND(config!$B$34="names_if_public",IFERROR(IF(INDEX(offices!$AF$2:$AF$61,MATCH($B114,offices!$A$2:$A$61,0))="","",INDEX(offices!$AF$2:$AF$61,MATCH($B114,offices!$A$2:$A$61,0))),"")="Y"),$K114,CHAR(64+$L114)))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C$2:$AC$61,MATCH($B114,offices!$A$2:$A$61,0))="","",INDEX(offices!$AC$2:$AC$61,MATCH($B114,offices!$A$2:$A$61,0))),"")&lt;&gt;"",ISNUMBER(SEARCH($J114,IFERROR(IF(INDEX(offices!$AC$2:$AC$61,MATCH($B114,offices!$A$2:$A$61,0))="","",INDEX(offices!$AC$2:$AC$61,MATCH($B114,offices!$A$2:$A$61,0))),"")))),"BRAND VETOED; ","")&amp;IF(ISNUMBER(SEARCH(IFERROR(IF(INDEX(campaigns!$BF$2:$BF$51,MATCH($A114,campaigns!$A$2:$A$51,0))="","",INDEX(campaigns!$BF$2:$BF$51,MATCH($A114,campaigns!$A$2:$A$51,0))),""),IFERROR(IF(INDEX(offices!$AB$2:$AB$61,MATCH($B114,offices!$A$2:$A$61,0))="","",INDEX(offices!$AB$2:$AB$61,MATCH($B114,offices!$A$2:$A$61,0))),""))),"","info: category not on the office's list; ")&amp;IF(IFERROR(IF(INDEX(offices!$AC$2:$AC$61,MATCH($B114,offices!$A$2:$A$61,0))="","",INDEX(offices!$AC$2:$AC$61,MATCH($B114,offices!$A$2:$A$61,0))),"")&lt;&gt;"","info: read the vetoes against the label; ",""))</f>
        <v/>
      </c>
      <c r="S114" s="30" t="str">
        <f aca="false">IF($A114="","",IF($G114&lt;&gt;"",$G114,IFERROR(IF(INDEX(offices!$AL$2:$AL$61,MATCH($B114,offices!$A$2:$A$61,0))="","",INDEX(offices!$AL$2:$AL$61,MATCH($B114,offices!$A$2:$A$61,0))),"")))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IF($B115="","",IFERROR(IF(INDEX(offices!$N$2:$N$61,MATCH($B115,offices!$A$2:$A$61,0))="","",INDEX(offices!$N$2:$N$61,MATCH($B115,offices!$A$2:$A$61,0))),""))</f>
        <v/>
      </c>
      <c r="L115" s="30" t="str">
        <f aca="false">IF($A115="","",IF($Q115="N","",COUNTIFS($A$2:$A115,$A115,$Q$2:$Q115,"&lt;&gt;N")))</f>
        <v/>
      </c>
      <c r="M115" s="30" t="str">
        <f aca="false">IF(OR($A115="",$L115=""),"",IF(AND(config!$B$34="names_if_public",IFERROR(IF(INDEX(offices!$AF$2:$AF$61,MATCH($B115,offices!$A$2:$A$61,0))="","",INDEX(offices!$AF$2:$AF$61,MATCH($B115,offices!$A$2:$A$61,0))),"")="Y"),$K115,CHAR(64+$L115)))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C$2:$AC$61,MATCH($B115,offices!$A$2:$A$61,0))="","",INDEX(offices!$AC$2:$AC$61,MATCH($B115,offices!$A$2:$A$61,0))),"")&lt;&gt;"",ISNUMBER(SEARCH($J115,IFERROR(IF(INDEX(offices!$AC$2:$AC$61,MATCH($B115,offices!$A$2:$A$61,0))="","",INDEX(offices!$AC$2:$AC$61,MATCH($B115,offices!$A$2:$A$61,0))),"")))),"BRAND VETOED; ","")&amp;IF(ISNUMBER(SEARCH(IFERROR(IF(INDEX(campaigns!$BF$2:$BF$51,MATCH($A115,campaigns!$A$2:$A$51,0))="","",INDEX(campaigns!$BF$2:$BF$51,MATCH($A115,campaigns!$A$2:$A$51,0))),""),IFERROR(IF(INDEX(offices!$AB$2:$AB$61,MATCH($B115,offices!$A$2:$A$61,0))="","",INDEX(offices!$AB$2:$AB$61,MATCH($B115,offices!$A$2:$A$61,0))),""))),"","info: category not on the office's list; ")&amp;IF(IFERROR(IF(INDEX(offices!$AC$2:$AC$61,MATCH($B115,offices!$A$2:$A$61,0))="","",INDEX(offices!$AC$2:$AC$61,MATCH($B115,offices!$A$2:$A$61,0))),"")&lt;&gt;"","info: read the vetoes against the label; ",""))</f>
        <v/>
      </c>
      <c r="S115" s="30" t="str">
        <f aca="false">IF($A115="","",IF($G115&lt;&gt;"",$G115,IFERROR(IF(INDEX(offices!$AL$2:$AL$61,MATCH($B115,offices!$A$2:$A$61,0))="","",INDEX(offices!$AL$2:$AL$61,MATCH($B115,offices!$A$2:$A$61,0))),"")))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IF($B116="","",IFERROR(IF(INDEX(offices!$N$2:$N$61,MATCH($B116,offices!$A$2:$A$61,0))="","",INDEX(offices!$N$2:$N$61,MATCH($B116,offices!$A$2:$A$61,0))),""))</f>
        <v/>
      </c>
      <c r="L116" s="30" t="str">
        <f aca="false">IF($A116="","",IF($Q116="N","",COUNTIFS($A$2:$A116,$A116,$Q$2:$Q116,"&lt;&gt;N")))</f>
        <v/>
      </c>
      <c r="M116" s="30" t="str">
        <f aca="false">IF(OR($A116="",$L116=""),"",IF(AND(config!$B$34="names_if_public",IFERROR(IF(INDEX(offices!$AF$2:$AF$61,MATCH($B116,offices!$A$2:$A$61,0))="","",INDEX(offices!$AF$2:$AF$61,MATCH($B116,offices!$A$2:$A$61,0))),"")="Y"),$K116,CHAR(64+$L116)))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C$2:$AC$61,MATCH($B116,offices!$A$2:$A$61,0))="","",INDEX(offices!$AC$2:$AC$61,MATCH($B116,offices!$A$2:$A$61,0))),"")&lt;&gt;"",ISNUMBER(SEARCH($J116,IFERROR(IF(INDEX(offices!$AC$2:$AC$61,MATCH($B116,offices!$A$2:$A$61,0))="","",INDEX(offices!$AC$2:$AC$61,MATCH($B116,offices!$A$2:$A$61,0))),"")))),"BRAND VETOED; ","")&amp;IF(ISNUMBER(SEARCH(IFERROR(IF(INDEX(campaigns!$BF$2:$BF$51,MATCH($A116,campaigns!$A$2:$A$51,0))="","",INDEX(campaigns!$BF$2:$BF$51,MATCH($A116,campaigns!$A$2:$A$51,0))),""),IFERROR(IF(INDEX(offices!$AB$2:$AB$61,MATCH($B116,offices!$A$2:$A$61,0))="","",INDEX(offices!$AB$2:$AB$61,MATCH($B116,offices!$A$2:$A$61,0))),""))),"","info: category not on the office's list; ")&amp;IF(IFERROR(IF(INDEX(offices!$AC$2:$AC$61,MATCH($B116,offices!$A$2:$A$61,0))="","",INDEX(offices!$AC$2:$AC$61,MATCH($B116,offices!$A$2:$A$61,0))),"")&lt;&gt;"","info: read the vetoes against the label; ",""))</f>
        <v/>
      </c>
      <c r="S116" s="30" t="str">
        <f aca="false">IF($A116="","",IF($G116&lt;&gt;"",$G116,IFERROR(IF(INDEX(offices!$AL$2:$AL$61,MATCH($B116,offices!$A$2:$A$61,0))="","",INDEX(offices!$AL$2:$AL$61,MATCH($B116,offices!$A$2:$A$61,0))),"")))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IF($B117="","",IFERROR(IF(INDEX(offices!$N$2:$N$61,MATCH($B117,offices!$A$2:$A$61,0))="","",INDEX(offices!$N$2:$N$61,MATCH($B117,offices!$A$2:$A$61,0))),""))</f>
        <v/>
      </c>
      <c r="L117" s="30" t="str">
        <f aca="false">IF($A117="","",IF($Q117="N","",COUNTIFS($A$2:$A117,$A117,$Q$2:$Q117,"&lt;&gt;N")))</f>
        <v/>
      </c>
      <c r="M117" s="30" t="str">
        <f aca="false">IF(OR($A117="",$L117=""),"",IF(AND(config!$B$34="names_if_public",IFERROR(IF(INDEX(offices!$AF$2:$AF$61,MATCH($B117,offices!$A$2:$A$61,0))="","",INDEX(offices!$AF$2:$AF$61,MATCH($B117,offices!$A$2:$A$61,0))),"")="Y"),$K117,CHAR(64+$L117)))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C$2:$AC$61,MATCH($B117,offices!$A$2:$A$61,0))="","",INDEX(offices!$AC$2:$AC$61,MATCH($B117,offices!$A$2:$A$61,0))),"")&lt;&gt;"",ISNUMBER(SEARCH($J117,IFERROR(IF(INDEX(offices!$AC$2:$AC$61,MATCH($B117,offices!$A$2:$A$61,0))="","",INDEX(offices!$AC$2:$AC$61,MATCH($B117,offices!$A$2:$A$61,0))),"")))),"BRAND VETOED; ","")&amp;IF(ISNUMBER(SEARCH(IFERROR(IF(INDEX(campaigns!$BF$2:$BF$51,MATCH($A117,campaigns!$A$2:$A$51,0))="","",INDEX(campaigns!$BF$2:$BF$51,MATCH($A117,campaigns!$A$2:$A$51,0))),""),IFERROR(IF(INDEX(offices!$AB$2:$AB$61,MATCH($B117,offices!$A$2:$A$61,0))="","",INDEX(offices!$AB$2:$AB$61,MATCH($B117,offices!$A$2:$A$61,0))),""))),"","info: category not on the office's list; ")&amp;IF(IFERROR(IF(INDEX(offices!$AC$2:$AC$61,MATCH($B117,offices!$A$2:$A$61,0))="","",INDEX(offices!$AC$2:$AC$61,MATCH($B117,offices!$A$2:$A$61,0))),"")&lt;&gt;"","info: read the vetoes against the label; ",""))</f>
        <v/>
      </c>
      <c r="S117" s="30" t="str">
        <f aca="false">IF($A117="","",IF($G117&lt;&gt;"",$G117,IFERROR(IF(INDEX(offices!$AL$2:$AL$61,MATCH($B117,offices!$A$2:$A$61,0))="","",INDEX(offices!$AL$2:$AL$61,MATCH($B117,offices!$A$2:$A$61,0))),"")))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IF($B118="","",IFERROR(IF(INDEX(offices!$N$2:$N$61,MATCH($B118,offices!$A$2:$A$61,0))="","",INDEX(offices!$N$2:$N$61,MATCH($B118,offices!$A$2:$A$61,0))),""))</f>
        <v/>
      </c>
      <c r="L118" s="30" t="str">
        <f aca="false">IF($A118="","",IF($Q118="N","",COUNTIFS($A$2:$A118,$A118,$Q$2:$Q118,"&lt;&gt;N")))</f>
        <v/>
      </c>
      <c r="M118" s="30" t="str">
        <f aca="false">IF(OR($A118="",$L118=""),"",IF(AND(config!$B$34="names_if_public",IFERROR(IF(INDEX(offices!$AF$2:$AF$61,MATCH($B118,offices!$A$2:$A$61,0))="","",INDEX(offices!$AF$2:$AF$61,MATCH($B118,offices!$A$2:$A$61,0))),"")="Y"),$K118,CHAR(64+$L118)))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C$2:$AC$61,MATCH($B118,offices!$A$2:$A$61,0))="","",INDEX(offices!$AC$2:$AC$61,MATCH($B118,offices!$A$2:$A$61,0))),"")&lt;&gt;"",ISNUMBER(SEARCH($J118,IFERROR(IF(INDEX(offices!$AC$2:$AC$61,MATCH($B118,offices!$A$2:$A$61,0))="","",INDEX(offices!$AC$2:$AC$61,MATCH($B118,offices!$A$2:$A$61,0))),"")))),"BRAND VETOED; ","")&amp;IF(ISNUMBER(SEARCH(IFERROR(IF(INDEX(campaigns!$BF$2:$BF$51,MATCH($A118,campaigns!$A$2:$A$51,0))="","",INDEX(campaigns!$BF$2:$BF$51,MATCH($A118,campaigns!$A$2:$A$51,0))),""),IFERROR(IF(INDEX(offices!$AB$2:$AB$61,MATCH($B118,offices!$A$2:$A$61,0))="","",INDEX(offices!$AB$2:$AB$61,MATCH($B118,offices!$A$2:$A$61,0))),""))),"","info: category not on the office's list; ")&amp;IF(IFERROR(IF(INDEX(offices!$AC$2:$AC$61,MATCH($B118,offices!$A$2:$A$61,0))="","",INDEX(offices!$AC$2:$AC$61,MATCH($B118,offices!$A$2:$A$61,0))),"")&lt;&gt;"","info: read the vetoes against the label; ",""))</f>
        <v/>
      </c>
      <c r="S118" s="30" t="str">
        <f aca="false">IF($A118="","",IF($G118&lt;&gt;"",$G118,IFERROR(IF(INDEX(offices!$AL$2:$AL$61,MATCH($B118,offices!$A$2:$A$61,0))="","",INDEX(offices!$AL$2:$AL$61,MATCH($B118,offices!$A$2:$A$61,0))),"")))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IF($B119="","",IFERROR(IF(INDEX(offices!$N$2:$N$61,MATCH($B119,offices!$A$2:$A$61,0))="","",INDEX(offices!$N$2:$N$61,MATCH($B119,offices!$A$2:$A$61,0))),""))</f>
        <v/>
      </c>
      <c r="L119" s="30" t="str">
        <f aca="false">IF($A119="","",IF($Q119="N","",COUNTIFS($A$2:$A119,$A119,$Q$2:$Q119,"&lt;&gt;N")))</f>
        <v/>
      </c>
      <c r="M119" s="30" t="str">
        <f aca="false">IF(OR($A119="",$L119=""),"",IF(AND(config!$B$34="names_if_public",IFERROR(IF(INDEX(offices!$AF$2:$AF$61,MATCH($B119,offices!$A$2:$A$61,0))="","",INDEX(offices!$AF$2:$AF$61,MATCH($B119,offices!$A$2:$A$61,0))),"")="Y"),$K119,CHAR(64+$L119)))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C$2:$AC$61,MATCH($B119,offices!$A$2:$A$61,0))="","",INDEX(offices!$AC$2:$AC$61,MATCH($B119,offices!$A$2:$A$61,0))),"")&lt;&gt;"",ISNUMBER(SEARCH($J119,IFERROR(IF(INDEX(offices!$AC$2:$AC$61,MATCH($B119,offices!$A$2:$A$61,0))="","",INDEX(offices!$AC$2:$AC$61,MATCH($B119,offices!$A$2:$A$61,0))),"")))),"BRAND VETOED; ","")&amp;IF(ISNUMBER(SEARCH(IFERROR(IF(INDEX(campaigns!$BF$2:$BF$51,MATCH($A119,campaigns!$A$2:$A$51,0))="","",INDEX(campaigns!$BF$2:$BF$51,MATCH($A119,campaigns!$A$2:$A$51,0))),""),IFERROR(IF(INDEX(offices!$AB$2:$AB$61,MATCH($B119,offices!$A$2:$A$61,0))="","",INDEX(offices!$AB$2:$AB$61,MATCH($B119,offices!$A$2:$A$61,0))),""))),"","info: category not on the office's list; ")&amp;IF(IFERROR(IF(INDEX(offices!$AC$2:$AC$61,MATCH($B119,offices!$A$2:$A$61,0))="","",INDEX(offices!$AC$2:$AC$61,MATCH($B119,offices!$A$2:$A$61,0))),"")&lt;&gt;"","info: read the vetoes against the label; ",""))</f>
        <v/>
      </c>
      <c r="S119" s="30" t="str">
        <f aca="false">IF($A119="","",IF($G119&lt;&gt;"",$G119,IFERROR(IF(INDEX(offices!$AL$2:$AL$61,MATCH($B119,offices!$A$2:$A$61,0))="","",INDEX(offices!$AL$2:$AL$61,MATCH($B119,offices!$A$2:$A$61,0))),"")))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IF($B120="","",IFERROR(IF(INDEX(offices!$N$2:$N$61,MATCH($B120,offices!$A$2:$A$61,0))="","",INDEX(offices!$N$2:$N$61,MATCH($B120,offices!$A$2:$A$61,0))),""))</f>
        <v/>
      </c>
      <c r="L120" s="30" t="str">
        <f aca="false">IF($A120="","",IF($Q120="N","",COUNTIFS($A$2:$A120,$A120,$Q$2:$Q120,"&lt;&gt;N")))</f>
        <v/>
      </c>
      <c r="M120" s="30" t="str">
        <f aca="false">IF(OR($A120="",$L120=""),"",IF(AND(config!$B$34="names_if_public",IFERROR(IF(INDEX(offices!$AF$2:$AF$61,MATCH($B120,offices!$A$2:$A$61,0))="","",INDEX(offices!$AF$2:$AF$61,MATCH($B120,offices!$A$2:$A$61,0))),"")="Y"),$K120,CHAR(64+$L120)))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C$2:$AC$61,MATCH($B120,offices!$A$2:$A$61,0))="","",INDEX(offices!$AC$2:$AC$61,MATCH($B120,offices!$A$2:$A$61,0))),"")&lt;&gt;"",ISNUMBER(SEARCH($J120,IFERROR(IF(INDEX(offices!$AC$2:$AC$61,MATCH($B120,offices!$A$2:$A$61,0))="","",INDEX(offices!$AC$2:$AC$61,MATCH($B120,offices!$A$2:$A$61,0))),"")))),"BRAND VETOED; ","")&amp;IF(ISNUMBER(SEARCH(IFERROR(IF(INDEX(campaigns!$BF$2:$BF$51,MATCH($A120,campaigns!$A$2:$A$51,0))="","",INDEX(campaigns!$BF$2:$BF$51,MATCH($A120,campaigns!$A$2:$A$51,0))),""),IFERROR(IF(INDEX(offices!$AB$2:$AB$61,MATCH($B120,offices!$A$2:$A$61,0))="","",INDEX(offices!$AB$2:$AB$61,MATCH($B120,offices!$A$2:$A$61,0))),""))),"","info: category not on the office's list; ")&amp;IF(IFERROR(IF(INDEX(offices!$AC$2:$AC$61,MATCH($B120,offices!$A$2:$A$61,0))="","",INDEX(offices!$AC$2:$AC$61,MATCH($B120,offices!$A$2:$A$61,0))),"")&lt;&gt;"","info: read the vetoes against the label; ",""))</f>
        <v/>
      </c>
      <c r="S120" s="30" t="str">
        <f aca="false">IF($A120="","",IF($G120&lt;&gt;"",$G120,IFERROR(IF(INDEX(offices!$AL$2:$AL$61,MATCH($B120,offices!$A$2:$A$61,0))="","",INDEX(offices!$AL$2:$AL$61,MATCH($B120,offices!$A$2:$A$61,0))),"")))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IF($B121="","",IFERROR(IF(INDEX(offices!$N$2:$N$61,MATCH($B121,offices!$A$2:$A$61,0))="","",INDEX(offices!$N$2:$N$61,MATCH($B121,offices!$A$2:$A$61,0))),""))</f>
        <v/>
      </c>
      <c r="L121" s="30" t="str">
        <f aca="false">IF($A121="","",IF($Q121="N","",COUNTIFS($A$2:$A121,$A121,$Q$2:$Q121,"&lt;&gt;N")))</f>
        <v/>
      </c>
      <c r="M121" s="30" t="str">
        <f aca="false">IF(OR($A121="",$L121=""),"",IF(AND(config!$B$34="names_if_public",IFERROR(IF(INDEX(offices!$AF$2:$AF$61,MATCH($B121,offices!$A$2:$A$61,0))="","",INDEX(offices!$AF$2:$AF$61,MATCH($B121,offices!$A$2:$A$61,0))),"")="Y"),$K121,CHAR(64+$L121)))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C$2:$AC$61,MATCH($B121,offices!$A$2:$A$61,0))="","",INDEX(offices!$AC$2:$AC$61,MATCH($B121,offices!$A$2:$A$61,0))),"")&lt;&gt;"",ISNUMBER(SEARCH($J121,IFERROR(IF(INDEX(offices!$AC$2:$AC$61,MATCH($B121,offices!$A$2:$A$61,0))="","",INDEX(offices!$AC$2:$AC$61,MATCH($B121,offices!$A$2:$A$61,0))),"")))),"BRAND VETOED; ","")&amp;IF(ISNUMBER(SEARCH(IFERROR(IF(INDEX(campaigns!$BF$2:$BF$51,MATCH($A121,campaigns!$A$2:$A$51,0))="","",INDEX(campaigns!$BF$2:$BF$51,MATCH($A121,campaigns!$A$2:$A$51,0))),""),IFERROR(IF(INDEX(offices!$AB$2:$AB$61,MATCH($B121,offices!$A$2:$A$61,0))="","",INDEX(offices!$AB$2:$AB$61,MATCH($B121,offices!$A$2:$A$61,0))),""))),"","info: category not on the office's list; ")&amp;IF(IFERROR(IF(INDEX(offices!$AC$2:$AC$61,MATCH($B121,offices!$A$2:$A$61,0))="","",INDEX(offices!$AC$2:$AC$61,MATCH($B121,offices!$A$2:$A$61,0))),"")&lt;&gt;"","info: read the vetoes against the label; ",""))</f>
        <v/>
      </c>
      <c r="S121" s="30" t="str">
        <f aca="false">IF($A121="","",IF($G121&lt;&gt;"",$G121,IFERROR(IF(INDEX(offices!$AL$2:$AL$61,MATCH($B121,offices!$A$2:$A$61,0))="","",INDEX(offices!$AL$2:$AL$61,MATCH($B121,offices!$A$2:$A$61,0))),"")))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IF($B122="","",IFERROR(IF(INDEX(offices!$N$2:$N$61,MATCH($B122,offices!$A$2:$A$61,0))="","",INDEX(offices!$N$2:$N$61,MATCH($B122,offices!$A$2:$A$61,0))),""))</f>
        <v/>
      </c>
      <c r="L122" s="30" t="str">
        <f aca="false">IF($A122="","",IF($Q122="N","",COUNTIFS($A$2:$A122,$A122,$Q$2:$Q122,"&lt;&gt;N")))</f>
        <v/>
      </c>
      <c r="M122" s="30" t="str">
        <f aca="false">IF(OR($A122="",$L122=""),"",IF(AND(config!$B$34="names_if_public",IFERROR(IF(INDEX(offices!$AF$2:$AF$61,MATCH($B122,offices!$A$2:$A$61,0))="","",INDEX(offices!$AF$2:$AF$61,MATCH($B122,offices!$A$2:$A$61,0))),"")="Y"),$K122,CHAR(64+$L122)))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C$2:$AC$61,MATCH($B122,offices!$A$2:$A$61,0))="","",INDEX(offices!$AC$2:$AC$61,MATCH($B122,offices!$A$2:$A$61,0))),"")&lt;&gt;"",ISNUMBER(SEARCH($J122,IFERROR(IF(INDEX(offices!$AC$2:$AC$61,MATCH($B122,offices!$A$2:$A$61,0))="","",INDEX(offices!$AC$2:$AC$61,MATCH($B122,offices!$A$2:$A$61,0))),"")))),"BRAND VETOED; ","")&amp;IF(ISNUMBER(SEARCH(IFERROR(IF(INDEX(campaigns!$BF$2:$BF$51,MATCH($A122,campaigns!$A$2:$A$51,0))="","",INDEX(campaigns!$BF$2:$BF$51,MATCH($A122,campaigns!$A$2:$A$51,0))),""),IFERROR(IF(INDEX(offices!$AB$2:$AB$61,MATCH($B122,offices!$A$2:$A$61,0))="","",INDEX(offices!$AB$2:$AB$61,MATCH($B122,offices!$A$2:$A$61,0))),""))),"","info: category not on the office's list; ")&amp;IF(IFERROR(IF(INDEX(offices!$AC$2:$AC$61,MATCH($B122,offices!$A$2:$A$61,0))="","",INDEX(offices!$AC$2:$AC$61,MATCH($B122,offices!$A$2:$A$61,0))),"")&lt;&gt;"","info: read the vetoes against the label; ",""))</f>
        <v/>
      </c>
      <c r="S122" s="30" t="str">
        <f aca="false">IF($A122="","",IF($G122&lt;&gt;"",$G122,IFERROR(IF(INDEX(offices!$AL$2:$AL$61,MATCH($B122,offices!$A$2:$A$61,0))="","",INDEX(offices!$AL$2:$AL$61,MATCH($B122,offices!$A$2:$A$61,0))),"")))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IF($B123="","",IFERROR(IF(INDEX(offices!$N$2:$N$61,MATCH($B123,offices!$A$2:$A$61,0))="","",INDEX(offices!$N$2:$N$61,MATCH($B123,offices!$A$2:$A$61,0))),""))</f>
        <v/>
      </c>
      <c r="L123" s="30" t="str">
        <f aca="false">IF($A123="","",IF($Q123="N","",COUNTIFS($A$2:$A123,$A123,$Q$2:$Q123,"&lt;&gt;N")))</f>
        <v/>
      </c>
      <c r="M123" s="30" t="str">
        <f aca="false">IF(OR($A123="",$L123=""),"",IF(AND(config!$B$34="names_if_public",IFERROR(IF(INDEX(offices!$AF$2:$AF$61,MATCH($B123,offices!$A$2:$A$61,0))="","",INDEX(offices!$AF$2:$AF$61,MATCH($B123,offices!$A$2:$A$61,0))),"")="Y"),$K123,CHAR(64+$L123)))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C$2:$AC$61,MATCH($B123,offices!$A$2:$A$61,0))="","",INDEX(offices!$AC$2:$AC$61,MATCH($B123,offices!$A$2:$A$61,0))),"")&lt;&gt;"",ISNUMBER(SEARCH($J123,IFERROR(IF(INDEX(offices!$AC$2:$AC$61,MATCH($B123,offices!$A$2:$A$61,0))="","",INDEX(offices!$AC$2:$AC$61,MATCH($B123,offices!$A$2:$A$61,0))),"")))),"BRAND VETOED; ","")&amp;IF(ISNUMBER(SEARCH(IFERROR(IF(INDEX(campaigns!$BF$2:$BF$51,MATCH($A123,campaigns!$A$2:$A$51,0))="","",INDEX(campaigns!$BF$2:$BF$51,MATCH($A123,campaigns!$A$2:$A$51,0))),""),IFERROR(IF(INDEX(offices!$AB$2:$AB$61,MATCH($B123,offices!$A$2:$A$61,0))="","",INDEX(offices!$AB$2:$AB$61,MATCH($B123,offices!$A$2:$A$61,0))),""))),"","info: category not on the office's list; ")&amp;IF(IFERROR(IF(INDEX(offices!$AC$2:$AC$61,MATCH($B123,offices!$A$2:$A$61,0))="","",INDEX(offices!$AC$2:$AC$61,MATCH($B123,offices!$A$2:$A$61,0))),"")&lt;&gt;"","info: read the vetoes against the label; ",""))</f>
        <v/>
      </c>
      <c r="S123" s="30" t="str">
        <f aca="false">IF($A123="","",IF($G123&lt;&gt;"",$G123,IFERROR(IF(INDEX(offices!$AL$2:$AL$61,MATCH($B123,offices!$A$2:$A$61,0))="","",INDEX(offices!$AL$2:$AL$61,MATCH($B123,offices!$A$2:$A$61,0))),"")))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IF($B124="","",IFERROR(IF(INDEX(offices!$N$2:$N$61,MATCH($B124,offices!$A$2:$A$61,0))="","",INDEX(offices!$N$2:$N$61,MATCH($B124,offices!$A$2:$A$61,0))),""))</f>
        <v/>
      </c>
      <c r="L124" s="30" t="str">
        <f aca="false">IF($A124="","",IF($Q124="N","",COUNTIFS($A$2:$A124,$A124,$Q$2:$Q124,"&lt;&gt;N")))</f>
        <v/>
      </c>
      <c r="M124" s="30" t="str">
        <f aca="false">IF(OR($A124="",$L124=""),"",IF(AND(config!$B$34="names_if_public",IFERROR(IF(INDEX(offices!$AF$2:$AF$61,MATCH($B124,offices!$A$2:$A$61,0))="","",INDEX(offices!$AF$2:$AF$61,MATCH($B124,offices!$A$2:$A$61,0))),"")="Y"),$K124,CHAR(64+$L124)))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C$2:$AC$61,MATCH($B124,offices!$A$2:$A$61,0))="","",INDEX(offices!$AC$2:$AC$61,MATCH($B124,offices!$A$2:$A$61,0))),"")&lt;&gt;"",ISNUMBER(SEARCH($J124,IFERROR(IF(INDEX(offices!$AC$2:$AC$61,MATCH($B124,offices!$A$2:$A$61,0))="","",INDEX(offices!$AC$2:$AC$61,MATCH($B124,offices!$A$2:$A$61,0))),"")))),"BRAND VETOED; ","")&amp;IF(ISNUMBER(SEARCH(IFERROR(IF(INDEX(campaigns!$BF$2:$BF$51,MATCH($A124,campaigns!$A$2:$A$51,0))="","",INDEX(campaigns!$BF$2:$BF$51,MATCH($A124,campaigns!$A$2:$A$51,0))),""),IFERROR(IF(INDEX(offices!$AB$2:$AB$61,MATCH($B124,offices!$A$2:$A$61,0))="","",INDEX(offices!$AB$2:$AB$61,MATCH($B124,offices!$A$2:$A$61,0))),""))),"","info: category not on the office's list; ")&amp;IF(IFERROR(IF(INDEX(offices!$AC$2:$AC$61,MATCH($B124,offices!$A$2:$A$61,0))="","",INDEX(offices!$AC$2:$AC$61,MATCH($B124,offices!$A$2:$A$61,0))),"")&lt;&gt;"","info: read the vetoes against the label; ",""))</f>
        <v/>
      </c>
      <c r="S124" s="30" t="str">
        <f aca="false">IF($A124="","",IF($G124&lt;&gt;"",$G124,IFERROR(IF(INDEX(offices!$AL$2:$AL$61,MATCH($B124,offices!$A$2:$A$61,0))="","",INDEX(offices!$AL$2:$AL$61,MATCH($B124,offices!$A$2:$A$61,0))),"")))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IF($B125="","",IFERROR(IF(INDEX(offices!$N$2:$N$61,MATCH($B125,offices!$A$2:$A$61,0))="","",INDEX(offices!$N$2:$N$61,MATCH($B125,offices!$A$2:$A$61,0))),""))</f>
        <v/>
      </c>
      <c r="L125" s="30" t="str">
        <f aca="false">IF($A125="","",IF($Q125="N","",COUNTIFS($A$2:$A125,$A125,$Q$2:$Q125,"&lt;&gt;N")))</f>
        <v/>
      </c>
      <c r="M125" s="30" t="str">
        <f aca="false">IF(OR($A125="",$L125=""),"",IF(AND(config!$B$34="names_if_public",IFERROR(IF(INDEX(offices!$AF$2:$AF$61,MATCH($B125,offices!$A$2:$A$61,0))="","",INDEX(offices!$AF$2:$AF$61,MATCH($B125,offices!$A$2:$A$61,0))),"")="Y"),$K125,CHAR(64+$L125)))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C$2:$AC$61,MATCH($B125,offices!$A$2:$A$61,0))="","",INDEX(offices!$AC$2:$AC$61,MATCH($B125,offices!$A$2:$A$61,0))),"")&lt;&gt;"",ISNUMBER(SEARCH($J125,IFERROR(IF(INDEX(offices!$AC$2:$AC$61,MATCH($B125,offices!$A$2:$A$61,0))="","",INDEX(offices!$AC$2:$AC$61,MATCH($B125,offices!$A$2:$A$61,0))),"")))),"BRAND VETOED; ","")&amp;IF(ISNUMBER(SEARCH(IFERROR(IF(INDEX(campaigns!$BF$2:$BF$51,MATCH($A125,campaigns!$A$2:$A$51,0))="","",INDEX(campaigns!$BF$2:$BF$51,MATCH($A125,campaigns!$A$2:$A$51,0))),""),IFERROR(IF(INDEX(offices!$AB$2:$AB$61,MATCH($B125,offices!$A$2:$A$61,0))="","",INDEX(offices!$AB$2:$AB$61,MATCH($B125,offices!$A$2:$A$61,0))),""))),"","info: category not on the office's list; ")&amp;IF(IFERROR(IF(INDEX(offices!$AC$2:$AC$61,MATCH($B125,offices!$A$2:$A$61,0))="","",INDEX(offices!$AC$2:$AC$61,MATCH($B125,offices!$A$2:$A$61,0))),"")&lt;&gt;"","info: read the vetoes against the label; ",""))</f>
        <v/>
      </c>
      <c r="S125" s="30" t="str">
        <f aca="false">IF($A125="","",IF($G125&lt;&gt;"",$G125,IFERROR(IF(INDEX(offices!$AL$2:$AL$61,MATCH($B125,offices!$A$2:$A$61,0))="","",INDEX(offices!$AL$2:$AL$61,MATCH($B125,offices!$A$2:$A$61,0))),"")))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IF($B126="","",IFERROR(IF(INDEX(offices!$N$2:$N$61,MATCH($B126,offices!$A$2:$A$61,0))="","",INDEX(offices!$N$2:$N$61,MATCH($B126,offices!$A$2:$A$61,0))),""))</f>
        <v/>
      </c>
      <c r="L126" s="30" t="str">
        <f aca="false">IF($A126="","",IF($Q126="N","",COUNTIFS($A$2:$A126,$A126,$Q$2:$Q126,"&lt;&gt;N")))</f>
        <v/>
      </c>
      <c r="M126" s="30" t="str">
        <f aca="false">IF(OR($A126="",$L126=""),"",IF(AND(config!$B$34="names_if_public",IFERROR(IF(INDEX(offices!$AF$2:$AF$61,MATCH($B126,offices!$A$2:$A$61,0))="","",INDEX(offices!$AF$2:$AF$61,MATCH($B126,offices!$A$2:$A$61,0))),"")="Y"),$K126,CHAR(64+$L126)))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C$2:$AC$61,MATCH($B126,offices!$A$2:$A$61,0))="","",INDEX(offices!$AC$2:$AC$61,MATCH($B126,offices!$A$2:$A$61,0))),"")&lt;&gt;"",ISNUMBER(SEARCH($J126,IFERROR(IF(INDEX(offices!$AC$2:$AC$61,MATCH($B126,offices!$A$2:$A$61,0))="","",INDEX(offices!$AC$2:$AC$61,MATCH($B126,offices!$A$2:$A$61,0))),"")))),"BRAND VETOED; ","")&amp;IF(ISNUMBER(SEARCH(IFERROR(IF(INDEX(campaigns!$BF$2:$BF$51,MATCH($A126,campaigns!$A$2:$A$51,0))="","",INDEX(campaigns!$BF$2:$BF$51,MATCH($A126,campaigns!$A$2:$A$51,0))),""),IFERROR(IF(INDEX(offices!$AB$2:$AB$61,MATCH($B126,offices!$A$2:$A$61,0))="","",INDEX(offices!$AB$2:$AB$61,MATCH($B126,offices!$A$2:$A$61,0))),""))),"","info: category not on the office's list; ")&amp;IF(IFERROR(IF(INDEX(offices!$AC$2:$AC$61,MATCH($B126,offices!$A$2:$A$61,0))="","",INDEX(offices!$AC$2:$AC$61,MATCH($B126,offices!$A$2:$A$61,0))),"")&lt;&gt;"","info: read the vetoes against the label; ",""))</f>
        <v/>
      </c>
      <c r="S126" s="30" t="str">
        <f aca="false">IF($A126="","",IF($G126&lt;&gt;"",$G126,IFERROR(IF(INDEX(offices!$AL$2:$AL$61,MATCH($B126,offices!$A$2:$A$61,0))="","",INDEX(offices!$AL$2:$AL$61,MATCH($B126,offices!$A$2:$A$61,0))),"")))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IF($B127="","",IFERROR(IF(INDEX(offices!$N$2:$N$61,MATCH($B127,offices!$A$2:$A$61,0))="","",INDEX(offices!$N$2:$N$61,MATCH($B127,offices!$A$2:$A$61,0))),""))</f>
        <v/>
      </c>
      <c r="L127" s="30" t="str">
        <f aca="false">IF($A127="","",IF($Q127="N","",COUNTIFS($A$2:$A127,$A127,$Q$2:$Q127,"&lt;&gt;N")))</f>
        <v/>
      </c>
      <c r="M127" s="30" t="str">
        <f aca="false">IF(OR($A127="",$L127=""),"",IF(AND(config!$B$34="names_if_public",IFERROR(IF(INDEX(offices!$AF$2:$AF$61,MATCH($B127,offices!$A$2:$A$61,0))="","",INDEX(offices!$AF$2:$AF$61,MATCH($B127,offices!$A$2:$A$61,0))),"")="Y"),$K127,CHAR(64+$L127)))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C$2:$AC$61,MATCH($B127,offices!$A$2:$A$61,0))="","",INDEX(offices!$AC$2:$AC$61,MATCH($B127,offices!$A$2:$A$61,0))),"")&lt;&gt;"",ISNUMBER(SEARCH($J127,IFERROR(IF(INDEX(offices!$AC$2:$AC$61,MATCH($B127,offices!$A$2:$A$61,0))="","",INDEX(offices!$AC$2:$AC$61,MATCH($B127,offices!$A$2:$A$61,0))),"")))),"BRAND VETOED; ","")&amp;IF(ISNUMBER(SEARCH(IFERROR(IF(INDEX(campaigns!$BF$2:$BF$51,MATCH($A127,campaigns!$A$2:$A$51,0))="","",INDEX(campaigns!$BF$2:$BF$51,MATCH($A127,campaigns!$A$2:$A$51,0))),""),IFERROR(IF(INDEX(offices!$AB$2:$AB$61,MATCH($B127,offices!$A$2:$A$61,0))="","",INDEX(offices!$AB$2:$AB$61,MATCH($B127,offices!$A$2:$A$61,0))),""))),"","info: category not on the office's list; ")&amp;IF(IFERROR(IF(INDEX(offices!$AC$2:$AC$61,MATCH($B127,offices!$A$2:$A$61,0))="","",INDEX(offices!$AC$2:$AC$61,MATCH($B127,offices!$A$2:$A$61,0))),"")&lt;&gt;"","info: read the vetoes against the label; ",""))</f>
        <v/>
      </c>
      <c r="S127" s="30" t="str">
        <f aca="false">IF($A127="","",IF($G127&lt;&gt;"",$G127,IFERROR(IF(INDEX(offices!$AL$2:$AL$61,MATCH($B127,offices!$A$2:$A$61,0))="","",INDEX(offices!$AL$2:$AL$61,MATCH($B127,offices!$A$2:$A$61,0))),"")))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IF($B128="","",IFERROR(IF(INDEX(offices!$N$2:$N$61,MATCH($B128,offices!$A$2:$A$61,0))="","",INDEX(offices!$N$2:$N$61,MATCH($B128,offices!$A$2:$A$61,0))),""))</f>
        <v/>
      </c>
      <c r="L128" s="30" t="str">
        <f aca="false">IF($A128="","",IF($Q128="N","",COUNTIFS($A$2:$A128,$A128,$Q$2:$Q128,"&lt;&gt;N")))</f>
        <v/>
      </c>
      <c r="M128" s="30" t="str">
        <f aca="false">IF(OR($A128="",$L128=""),"",IF(AND(config!$B$34="names_if_public",IFERROR(IF(INDEX(offices!$AF$2:$AF$61,MATCH($B128,offices!$A$2:$A$61,0))="","",INDEX(offices!$AF$2:$AF$61,MATCH($B128,offices!$A$2:$A$61,0))),"")="Y"),$K128,CHAR(64+$L128)))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C$2:$AC$61,MATCH($B128,offices!$A$2:$A$61,0))="","",INDEX(offices!$AC$2:$AC$61,MATCH($B128,offices!$A$2:$A$61,0))),"")&lt;&gt;"",ISNUMBER(SEARCH($J128,IFERROR(IF(INDEX(offices!$AC$2:$AC$61,MATCH($B128,offices!$A$2:$A$61,0))="","",INDEX(offices!$AC$2:$AC$61,MATCH($B128,offices!$A$2:$A$61,0))),"")))),"BRAND VETOED; ","")&amp;IF(ISNUMBER(SEARCH(IFERROR(IF(INDEX(campaigns!$BF$2:$BF$51,MATCH($A128,campaigns!$A$2:$A$51,0))="","",INDEX(campaigns!$BF$2:$BF$51,MATCH($A128,campaigns!$A$2:$A$51,0))),""),IFERROR(IF(INDEX(offices!$AB$2:$AB$61,MATCH($B128,offices!$A$2:$A$61,0))="","",INDEX(offices!$AB$2:$AB$61,MATCH($B128,offices!$A$2:$A$61,0))),""))),"","info: category not on the office's list; ")&amp;IF(IFERROR(IF(INDEX(offices!$AC$2:$AC$61,MATCH($B128,offices!$A$2:$A$61,0))="","",INDEX(offices!$AC$2:$AC$61,MATCH($B128,offices!$A$2:$A$61,0))),"")&lt;&gt;"","info: read the vetoes against the label; ",""))</f>
        <v/>
      </c>
      <c r="S128" s="30" t="str">
        <f aca="false">IF($A128="","",IF($G128&lt;&gt;"",$G128,IFERROR(IF(INDEX(offices!$AL$2:$AL$61,MATCH($B128,offices!$A$2:$A$61,0))="","",INDEX(offices!$AL$2:$AL$61,MATCH($B128,offices!$A$2:$A$61,0))),"")))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IF($B129="","",IFERROR(IF(INDEX(offices!$N$2:$N$61,MATCH($B129,offices!$A$2:$A$61,0))="","",INDEX(offices!$N$2:$N$61,MATCH($B129,offices!$A$2:$A$61,0))),""))</f>
        <v/>
      </c>
      <c r="L129" s="30" t="str">
        <f aca="false">IF($A129="","",IF($Q129="N","",COUNTIFS($A$2:$A129,$A129,$Q$2:$Q129,"&lt;&gt;N")))</f>
        <v/>
      </c>
      <c r="M129" s="30" t="str">
        <f aca="false">IF(OR($A129="",$L129=""),"",IF(AND(config!$B$34="names_if_public",IFERROR(IF(INDEX(offices!$AF$2:$AF$61,MATCH($B129,offices!$A$2:$A$61,0))="","",INDEX(offices!$AF$2:$AF$61,MATCH($B129,offices!$A$2:$A$61,0))),"")="Y"),$K129,CHAR(64+$L129)))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C$2:$AC$61,MATCH($B129,offices!$A$2:$A$61,0))="","",INDEX(offices!$AC$2:$AC$61,MATCH($B129,offices!$A$2:$A$61,0))),"")&lt;&gt;"",ISNUMBER(SEARCH($J129,IFERROR(IF(INDEX(offices!$AC$2:$AC$61,MATCH($B129,offices!$A$2:$A$61,0))="","",INDEX(offices!$AC$2:$AC$61,MATCH($B129,offices!$A$2:$A$61,0))),"")))),"BRAND VETOED; ","")&amp;IF(ISNUMBER(SEARCH(IFERROR(IF(INDEX(campaigns!$BF$2:$BF$51,MATCH($A129,campaigns!$A$2:$A$51,0))="","",INDEX(campaigns!$BF$2:$BF$51,MATCH($A129,campaigns!$A$2:$A$51,0))),""),IFERROR(IF(INDEX(offices!$AB$2:$AB$61,MATCH($B129,offices!$A$2:$A$61,0))="","",INDEX(offices!$AB$2:$AB$61,MATCH($B129,offices!$A$2:$A$61,0))),""))),"","info: category not on the office's list; ")&amp;IF(IFERROR(IF(INDEX(offices!$AC$2:$AC$61,MATCH($B129,offices!$A$2:$A$61,0))="","",INDEX(offices!$AC$2:$AC$61,MATCH($B129,offices!$A$2:$A$61,0))),"")&lt;&gt;"","info: read the vetoes against the label; ",""))</f>
        <v/>
      </c>
      <c r="S129" s="30" t="str">
        <f aca="false">IF($A129="","",IF($G129&lt;&gt;"",$G129,IFERROR(IF(INDEX(offices!$AL$2:$AL$61,MATCH($B129,offices!$A$2:$A$61,0))="","",INDEX(offices!$AL$2:$AL$61,MATCH($B129,offices!$A$2:$A$61,0))),"")))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IF($B130="","",IFERROR(IF(INDEX(offices!$N$2:$N$61,MATCH($B130,offices!$A$2:$A$61,0))="","",INDEX(offices!$N$2:$N$61,MATCH($B130,offices!$A$2:$A$61,0))),""))</f>
        <v/>
      </c>
      <c r="L130" s="30" t="str">
        <f aca="false">IF($A130="","",IF($Q130="N","",COUNTIFS($A$2:$A130,$A130,$Q$2:$Q130,"&lt;&gt;N")))</f>
        <v/>
      </c>
      <c r="M130" s="30" t="str">
        <f aca="false">IF(OR($A130="",$L130=""),"",IF(AND(config!$B$34="names_if_public",IFERROR(IF(INDEX(offices!$AF$2:$AF$61,MATCH($B130,offices!$A$2:$A$61,0))="","",INDEX(offices!$AF$2:$AF$61,MATCH($B130,offices!$A$2:$A$61,0))),"")="Y"),$K130,CHAR(64+$L130)))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C$2:$AC$61,MATCH($B130,offices!$A$2:$A$61,0))="","",INDEX(offices!$AC$2:$AC$61,MATCH($B130,offices!$A$2:$A$61,0))),"")&lt;&gt;"",ISNUMBER(SEARCH($J130,IFERROR(IF(INDEX(offices!$AC$2:$AC$61,MATCH($B130,offices!$A$2:$A$61,0))="","",INDEX(offices!$AC$2:$AC$61,MATCH($B130,offices!$A$2:$A$61,0))),"")))),"BRAND VETOED; ","")&amp;IF(ISNUMBER(SEARCH(IFERROR(IF(INDEX(campaigns!$BF$2:$BF$51,MATCH($A130,campaigns!$A$2:$A$51,0))="","",INDEX(campaigns!$BF$2:$BF$51,MATCH($A130,campaigns!$A$2:$A$51,0))),""),IFERROR(IF(INDEX(offices!$AB$2:$AB$61,MATCH($B130,offices!$A$2:$A$61,0))="","",INDEX(offices!$AB$2:$AB$61,MATCH($B130,offices!$A$2:$A$61,0))),""))),"","info: category not on the office's list; ")&amp;IF(IFERROR(IF(INDEX(offices!$AC$2:$AC$61,MATCH($B130,offices!$A$2:$A$61,0))="","",INDEX(offices!$AC$2:$AC$61,MATCH($B130,offices!$A$2:$A$61,0))),"")&lt;&gt;"","info: read the vetoes against the label; ",""))</f>
        <v/>
      </c>
      <c r="S130" s="30" t="str">
        <f aca="false">IF($A130="","",IF($G130&lt;&gt;"",$G130,IFERROR(IF(INDEX(offices!$AL$2:$AL$61,MATCH($B130,offices!$A$2:$A$61,0))="","",INDEX(offices!$AL$2:$AL$61,MATCH($B130,offices!$A$2:$A$61,0))),"")))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IF($B131="","",IFERROR(IF(INDEX(offices!$N$2:$N$61,MATCH($B131,offices!$A$2:$A$61,0))="","",INDEX(offices!$N$2:$N$61,MATCH($B131,offices!$A$2:$A$61,0))),""))</f>
        <v/>
      </c>
      <c r="L131" s="30" t="str">
        <f aca="false">IF($A131="","",IF($Q131="N","",COUNTIFS($A$2:$A131,$A131,$Q$2:$Q131,"&lt;&gt;N")))</f>
        <v/>
      </c>
      <c r="M131" s="30" t="str">
        <f aca="false">IF(OR($A131="",$L131=""),"",IF(AND(config!$B$34="names_if_public",IFERROR(IF(INDEX(offices!$AF$2:$AF$61,MATCH($B131,offices!$A$2:$A$61,0))="","",INDEX(offices!$AF$2:$AF$61,MATCH($B131,offices!$A$2:$A$61,0))),"")="Y"),$K131,CHAR(64+$L131)))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C$2:$AC$61,MATCH($B131,offices!$A$2:$A$61,0))="","",INDEX(offices!$AC$2:$AC$61,MATCH($B131,offices!$A$2:$A$61,0))),"")&lt;&gt;"",ISNUMBER(SEARCH($J131,IFERROR(IF(INDEX(offices!$AC$2:$AC$61,MATCH($B131,offices!$A$2:$A$61,0))="","",INDEX(offices!$AC$2:$AC$61,MATCH($B131,offices!$A$2:$A$61,0))),"")))),"BRAND VETOED; ","")&amp;IF(ISNUMBER(SEARCH(IFERROR(IF(INDEX(campaigns!$BF$2:$BF$51,MATCH($A131,campaigns!$A$2:$A$51,0))="","",INDEX(campaigns!$BF$2:$BF$51,MATCH($A131,campaigns!$A$2:$A$51,0))),""),IFERROR(IF(INDEX(offices!$AB$2:$AB$61,MATCH($B131,offices!$A$2:$A$61,0))="","",INDEX(offices!$AB$2:$AB$61,MATCH($B131,offices!$A$2:$A$61,0))),""))),"","info: category not on the office's list; ")&amp;IF(IFERROR(IF(INDEX(offices!$AC$2:$AC$61,MATCH($B131,offices!$A$2:$A$61,0))="","",INDEX(offices!$AC$2:$AC$61,MATCH($B131,offices!$A$2:$A$61,0))),"")&lt;&gt;"","info: read the vetoes against the label; ",""))</f>
        <v/>
      </c>
      <c r="S131" s="30" t="str">
        <f aca="false">IF($A131="","",IF($G131&lt;&gt;"",$G131,IFERROR(IF(INDEX(offices!$AL$2:$AL$61,MATCH($B131,offices!$A$2:$A$61,0))="","",INDEX(offices!$AL$2:$AL$61,MATCH($B131,offices!$A$2:$A$61,0))),"")))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IF($B132="","",IFERROR(IF(INDEX(offices!$N$2:$N$61,MATCH($B132,offices!$A$2:$A$61,0))="","",INDEX(offices!$N$2:$N$61,MATCH($B132,offices!$A$2:$A$61,0))),""))</f>
        <v/>
      </c>
      <c r="L132" s="30" t="str">
        <f aca="false">IF($A132="","",IF($Q132="N","",COUNTIFS($A$2:$A132,$A132,$Q$2:$Q132,"&lt;&gt;N")))</f>
        <v/>
      </c>
      <c r="M132" s="30" t="str">
        <f aca="false">IF(OR($A132="",$L132=""),"",IF(AND(config!$B$34="names_if_public",IFERROR(IF(INDEX(offices!$AF$2:$AF$61,MATCH($B132,offices!$A$2:$A$61,0))="","",INDEX(offices!$AF$2:$AF$61,MATCH($B132,offices!$A$2:$A$61,0))),"")="Y"),$K132,CHAR(64+$L132)))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C$2:$AC$61,MATCH($B132,offices!$A$2:$A$61,0))="","",INDEX(offices!$AC$2:$AC$61,MATCH($B132,offices!$A$2:$A$61,0))),"")&lt;&gt;"",ISNUMBER(SEARCH($J132,IFERROR(IF(INDEX(offices!$AC$2:$AC$61,MATCH($B132,offices!$A$2:$A$61,0))="","",INDEX(offices!$AC$2:$AC$61,MATCH($B132,offices!$A$2:$A$61,0))),"")))),"BRAND VETOED; ","")&amp;IF(ISNUMBER(SEARCH(IFERROR(IF(INDEX(campaigns!$BF$2:$BF$51,MATCH($A132,campaigns!$A$2:$A$51,0))="","",INDEX(campaigns!$BF$2:$BF$51,MATCH($A132,campaigns!$A$2:$A$51,0))),""),IFERROR(IF(INDEX(offices!$AB$2:$AB$61,MATCH($B132,offices!$A$2:$A$61,0))="","",INDEX(offices!$AB$2:$AB$61,MATCH($B132,offices!$A$2:$A$61,0))),""))),"","info: category not on the office's list; ")&amp;IF(IFERROR(IF(INDEX(offices!$AC$2:$AC$61,MATCH($B132,offices!$A$2:$A$61,0))="","",INDEX(offices!$AC$2:$AC$61,MATCH($B132,offices!$A$2:$A$61,0))),"")&lt;&gt;"","info: read the vetoes against the label; ",""))</f>
        <v/>
      </c>
      <c r="S132" s="30" t="str">
        <f aca="false">IF($A132="","",IF($G132&lt;&gt;"",$G132,IFERROR(IF(INDEX(offices!$AL$2:$AL$61,MATCH($B132,offices!$A$2:$A$61,0))="","",INDEX(offices!$AL$2:$AL$61,MATCH($B132,offices!$A$2:$A$61,0))),"")))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IF($B133="","",IFERROR(IF(INDEX(offices!$N$2:$N$61,MATCH($B133,offices!$A$2:$A$61,0))="","",INDEX(offices!$N$2:$N$61,MATCH($B133,offices!$A$2:$A$61,0))),""))</f>
        <v/>
      </c>
      <c r="L133" s="30" t="str">
        <f aca="false">IF($A133="","",IF($Q133="N","",COUNTIFS($A$2:$A133,$A133,$Q$2:$Q133,"&lt;&gt;N")))</f>
        <v/>
      </c>
      <c r="M133" s="30" t="str">
        <f aca="false">IF(OR($A133="",$L133=""),"",IF(AND(config!$B$34="names_if_public",IFERROR(IF(INDEX(offices!$AF$2:$AF$61,MATCH($B133,offices!$A$2:$A$61,0))="","",INDEX(offices!$AF$2:$AF$61,MATCH($B133,offices!$A$2:$A$61,0))),"")="Y"),$K133,CHAR(64+$L133)))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C$2:$AC$61,MATCH($B133,offices!$A$2:$A$61,0))="","",INDEX(offices!$AC$2:$AC$61,MATCH($B133,offices!$A$2:$A$61,0))),"")&lt;&gt;"",ISNUMBER(SEARCH($J133,IFERROR(IF(INDEX(offices!$AC$2:$AC$61,MATCH($B133,offices!$A$2:$A$61,0))="","",INDEX(offices!$AC$2:$AC$61,MATCH($B133,offices!$A$2:$A$61,0))),"")))),"BRAND VETOED; ","")&amp;IF(ISNUMBER(SEARCH(IFERROR(IF(INDEX(campaigns!$BF$2:$BF$51,MATCH($A133,campaigns!$A$2:$A$51,0))="","",INDEX(campaigns!$BF$2:$BF$51,MATCH($A133,campaigns!$A$2:$A$51,0))),""),IFERROR(IF(INDEX(offices!$AB$2:$AB$61,MATCH($B133,offices!$A$2:$A$61,0))="","",INDEX(offices!$AB$2:$AB$61,MATCH($B133,offices!$A$2:$A$61,0))),""))),"","info: category not on the office's list; ")&amp;IF(IFERROR(IF(INDEX(offices!$AC$2:$AC$61,MATCH($B133,offices!$A$2:$A$61,0))="","",INDEX(offices!$AC$2:$AC$61,MATCH($B133,offices!$A$2:$A$61,0))),"")&lt;&gt;"","info: read the vetoes against the label; ",""))</f>
        <v/>
      </c>
      <c r="S133" s="30" t="str">
        <f aca="false">IF($A133="","",IF($G133&lt;&gt;"",$G133,IFERROR(IF(INDEX(offices!$AL$2:$AL$61,MATCH($B133,offices!$A$2:$A$61,0))="","",INDEX(offices!$AL$2:$AL$61,MATCH($B133,offices!$A$2:$A$61,0))),"")))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IF($B134="","",IFERROR(IF(INDEX(offices!$N$2:$N$61,MATCH($B134,offices!$A$2:$A$61,0))="","",INDEX(offices!$N$2:$N$61,MATCH($B134,offices!$A$2:$A$61,0))),""))</f>
        <v/>
      </c>
      <c r="L134" s="30" t="str">
        <f aca="false">IF($A134="","",IF($Q134="N","",COUNTIFS($A$2:$A134,$A134,$Q$2:$Q134,"&lt;&gt;N")))</f>
        <v/>
      </c>
      <c r="M134" s="30" t="str">
        <f aca="false">IF(OR($A134="",$L134=""),"",IF(AND(config!$B$34="names_if_public",IFERROR(IF(INDEX(offices!$AF$2:$AF$61,MATCH($B134,offices!$A$2:$A$61,0))="","",INDEX(offices!$AF$2:$AF$61,MATCH($B134,offices!$A$2:$A$61,0))),"")="Y"),$K134,CHAR(64+$L134)))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C$2:$AC$61,MATCH($B134,offices!$A$2:$A$61,0))="","",INDEX(offices!$AC$2:$AC$61,MATCH($B134,offices!$A$2:$A$61,0))),"")&lt;&gt;"",ISNUMBER(SEARCH($J134,IFERROR(IF(INDEX(offices!$AC$2:$AC$61,MATCH($B134,offices!$A$2:$A$61,0))="","",INDEX(offices!$AC$2:$AC$61,MATCH($B134,offices!$A$2:$A$61,0))),"")))),"BRAND VETOED; ","")&amp;IF(ISNUMBER(SEARCH(IFERROR(IF(INDEX(campaigns!$BF$2:$BF$51,MATCH($A134,campaigns!$A$2:$A$51,0))="","",INDEX(campaigns!$BF$2:$BF$51,MATCH($A134,campaigns!$A$2:$A$51,0))),""),IFERROR(IF(INDEX(offices!$AB$2:$AB$61,MATCH($B134,offices!$A$2:$A$61,0))="","",INDEX(offices!$AB$2:$AB$61,MATCH($B134,offices!$A$2:$A$61,0))),""))),"","info: category not on the office's list; ")&amp;IF(IFERROR(IF(INDEX(offices!$AC$2:$AC$61,MATCH($B134,offices!$A$2:$A$61,0))="","",INDEX(offices!$AC$2:$AC$61,MATCH($B134,offices!$A$2:$A$61,0))),"")&lt;&gt;"","info: read the vetoes against the label; ",""))</f>
        <v/>
      </c>
      <c r="S134" s="30" t="str">
        <f aca="false">IF($A134="","",IF($G134&lt;&gt;"",$G134,IFERROR(IF(INDEX(offices!$AL$2:$AL$61,MATCH($B134,offices!$A$2:$A$61,0))="","",INDEX(offices!$AL$2:$AL$61,MATCH($B134,offices!$A$2:$A$61,0))),"")))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IF($B135="","",IFERROR(IF(INDEX(offices!$N$2:$N$61,MATCH($B135,offices!$A$2:$A$61,0))="","",INDEX(offices!$N$2:$N$61,MATCH($B135,offices!$A$2:$A$61,0))),""))</f>
        <v/>
      </c>
      <c r="L135" s="30" t="str">
        <f aca="false">IF($A135="","",IF($Q135="N","",COUNTIFS($A$2:$A135,$A135,$Q$2:$Q135,"&lt;&gt;N")))</f>
        <v/>
      </c>
      <c r="M135" s="30" t="str">
        <f aca="false">IF(OR($A135="",$L135=""),"",IF(AND(config!$B$34="names_if_public",IFERROR(IF(INDEX(offices!$AF$2:$AF$61,MATCH($B135,offices!$A$2:$A$61,0))="","",INDEX(offices!$AF$2:$AF$61,MATCH($B135,offices!$A$2:$A$61,0))),"")="Y"),$K135,CHAR(64+$L135)))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C$2:$AC$61,MATCH($B135,offices!$A$2:$A$61,0))="","",INDEX(offices!$AC$2:$AC$61,MATCH($B135,offices!$A$2:$A$61,0))),"")&lt;&gt;"",ISNUMBER(SEARCH($J135,IFERROR(IF(INDEX(offices!$AC$2:$AC$61,MATCH($B135,offices!$A$2:$A$61,0))="","",INDEX(offices!$AC$2:$AC$61,MATCH($B135,offices!$A$2:$A$61,0))),"")))),"BRAND VETOED; ","")&amp;IF(ISNUMBER(SEARCH(IFERROR(IF(INDEX(campaigns!$BF$2:$BF$51,MATCH($A135,campaigns!$A$2:$A$51,0))="","",INDEX(campaigns!$BF$2:$BF$51,MATCH($A135,campaigns!$A$2:$A$51,0))),""),IFERROR(IF(INDEX(offices!$AB$2:$AB$61,MATCH($B135,offices!$A$2:$A$61,0))="","",INDEX(offices!$AB$2:$AB$61,MATCH($B135,offices!$A$2:$A$61,0))),""))),"","info: category not on the office's list; ")&amp;IF(IFERROR(IF(INDEX(offices!$AC$2:$AC$61,MATCH($B135,offices!$A$2:$A$61,0))="","",INDEX(offices!$AC$2:$AC$61,MATCH($B135,offices!$A$2:$A$61,0))),"")&lt;&gt;"","info: read the vetoes against the label; ",""))</f>
        <v/>
      </c>
      <c r="S135" s="30" t="str">
        <f aca="false">IF($A135="","",IF($G135&lt;&gt;"",$G135,IFERROR(IF(INDEX(offices!$AL$2:$AL$61,MATCH($B135,offices!$A$2:$A$61,0))="","",INDEX(offices!$AL$2:$AL$61,MATCH($B135,offices!$A$2:$A$61,0))),"")))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IF($B136="","",IFERROR(IF(INDEX(offices!$N$2:$N$61,MATCH($B136,offices!$A$2:$A$61,0))="","",INDEX(offices!$N$2:$N$61,MATCH($B136,offices!$A$2:$A$61,0))),""))</f>
        <v/>
      </c>
      <c r="L136" s="30" t="str">
        <f aca="false">IF($A136="","",IF($Q136="N","",COUNTIFS($A$2:$A136,$A136,$Q$2:$Q136,"&lt;&gt;N")))</f>
        <v/>
      </c>
      <c r="M136" s="30" t="str">
        <f aca="false">IF(OR($A136="",$L136=""),"",IF(AND(config!$B$34="names_if_public",IFERROR(IF(INDEX(offices!$AF$2:$AF$61,MATCH($B136,offices!$A$2:$A$61,0))="","",INDEX(offices!$AF$2:$AF$61,MATCH($B136,offices!$A$2:$A$61,0))),"")="Y"),$K136,CHAR(64+$L136)))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C$2:$AC$61,MATCH($B136,offices!$A$2:$A$61,0))="","",INDEX(offices!$AC$2:$AC$61,MATCH($B136,offices!$A$2:$A$61,0))),"")&lt;&gt;"",ISNUMBER(SEARCH($J136,IFERROR(IF(INDEX(offices!$AC$2:$AC$61,MATCH($B136,offices!$A$2:$A$61,0))="","",INDEX(offices!$AC$2:$AC$61,MATCH($B136,offices!$A$2:$A$61,0))),"")))),"BRAND VETOED; ","")&amp;IF(ISNUMBER(SEARCH(IFERROR(IF(INDEX(campaigns!$BF$2:$BF$51,MATCH($A136,campaigns!$A$2:$A$51,0))="","",INDEX(campaigns!$BF$2:$BF$51,MATCH($A136,campaigns!$A$2:$A$51,0))),""),IFERROR(IF(INDEX(offices!$AB$2:$AB$61,MATCH($B136,offices!$A$2:$A$61,0))="","",INDEX(offices!$AB$2:$AB$61,MATCH($B136,offices!$A$2:$A$61,0))),""))),"","info: category not on the office's list; ")&amp;IF(IFERROR(IF(INDEX(offices!$AC$2:$AC$61,MATCH($B136,offices!$A$2:$A$61,0))="","",INDEX(offices!$AC$2:$AC$61,MATCH($B136,offices!$A$2:$A$61,0))),"")&lt;&gt;"","info: read the vetoes against the label; ",""))</f>
        <v/>
      </c>
      <c r="S136" s="30" t="str">
        <f aca="false">IF($A136="","",IF($G136&lt;&gt;"",$G136,IFERROR(IF(INDEX(offices!$AL$2:$AL$61,MATCH($B136,offices!$A$2:$A$61,0))="","",INDEX(offices!$AL$2:$AL$61,MATCH($B136,offices!$A$2:$A$61,0))),"")))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IF($B137="","",IFERROR(IF(INDEX(offices!$N$2:$N$61,MATCH($B137,offices!$A$2:$A$61,0))="","",INDEX(offices!$N$2:$N$61,MATCH($B137,offices!$A$2:$A$61,0))),""))</f>
        <v/>
      </c>
      <c r="L137" s="30" t="str">
        <f aca="false">IF($A137="","",IF($Q137="N","",COUNTIFS($A$2:$A137,$A137,$Q$2:$Q137,"&lt;&gt;N")))</f>
        <v/>
      </c>
      <c r="M137" s="30" t="str">
        <f aca="false">IF(OR($A137="",$L137=""),"",IF(AND(config!$B$34="names_if_public",IFERROR(IF(INDEX(offices!$AF$2:$AF$61,MATCH($B137,offices!$A$2:$A$61,0))="","",INDEX(offices!$AF$2:$AF$61,MATCH($B137,offices!$A$2:$A$61,0))),"")="Y"),$K137,CHAR(64+$L137)))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C$2:$AC$61,MATCH($B137,offices!$A$2:$A$61,0))="","",INDEX(offices!$AC$2:$AC$61,MATCH($B137,offices!$A$2:$A$61,0))),"")&lt;&gt;"",ISNUMBER(SEARCH($J137,IFERROR(IF(INDEX(offices!$AC$2:$AC$61,MATCH($B137,offices!$A$2:$A$61,0))="","",INDEX(offices!$AC$2:$AC$61,MATCH($B137,offices!$A$2:$A$61,0))),"")))),"BRAND VETOED; ","")&amp;IF(ISNUMBER(SEARCH(IFERROR(IF(INDEX(campaigns!$BF$2:$BF$51,MATCH($A137,campaigns!$A$2:$A$51,0))="","",INDEX(campaigns!$BF$2:$BF$51,MATCH($A137,campaigns!$A$2:$A$51,0))),""),IFERROR(IF(INDEX(offices!$AB$2:$AB$61,MATCH($B137,offices!$A$2:$A$61,0))="","",INDEX(offices!$AB$2:$AB$61,MATCH($B137,offices!$A$2:$A$61,0))),""))),"","info: category not on the office's list; ")&amp;IF(IFERROR(IF(INDEX(offices!$AC$2:$AC$61,MATCH($B137,offices!$A$2:$A$61,0))="","",INDEX(offices!$AC$2:$AC$61,MATCH($B137,offices!$A$2:$A$61,0))),"")&lt;&gt;"","info: read the vetoes against the label; ",""))</f>
        <v/>
      </c>
      <c r="S137" s="30" t="str">
        <f aca="false">IF($A137="","",IF($G137&lt;&gt;"",$G137,IFERROR(IF(INDEX(offices!$AL$2:$AL$61,MATCH($B137,offices!$A$2:$A$61,0))="","",INDEX(offices!$AL$2:$AL$61,MATCH($B137,offices!$A$2:$A$61,0))),"")))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IF($B138="","",IFERROR(IF(INDEX(offices!$N$2:$N$61,MATCH($B138,offices!$A$2:$A$61,0))="","",INDEX(offices!$N$2:$N$61,MATCH($B138,offices!$A$2:$A$61,0))),""))</f>
        <v/>
      </c>
      <c r="L138" s="30" t="str">
        <f aca="false">IF($A138="","",IF($Q138="N","",COUNTIFS($A$2:$A138,$A138,$Q$2:$Q138,"&lt;&gt;N")))</f>
        <v/>
      </c>
      <c r="M138" s="30" t="str">
        <f aca="false">IF(OR($A138="",$L138=""),"",IF(AND(config!$B$34="names_if_public",IFERROR(IF(INDEX(offices!$AF$2:$AF$61,MATCH($B138,offices!$A$2:$A$61,0))="","",INDEX(offices!$AF$2:$AF$61,MATCH($B138,offices!$A$2:$A$61,0))),"")="Y"),$K138,CHAR(64+$L138)))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C$2:$AC$61,MATCH($B138,offices!$A$2:$A$61,0))="","",INDEX(offices!$AC$2:$AC$61,MATCH($B138,offices!$A$2:$A$61,0))),"")&lt;&gt;"",ISNUMBER(SEARCH($J138,IFERROR(IF(INDEX(offices!$AC$2:$AC$61,MATCH($B138,offices!$A$2:$A$61,0))="","",INDEX(offices!$AC$2:$AC$61,MATCH($B138,offices!$A$2:$A$61,0))),"")))),"BRAND VETOED; ","")&amp;IF(ISNUMBER(SEARCH(IFERROR(IF(INDEX(campaigns!$BF$2:$BF$51,MATCH($A138,campaigns!$A$2:$A$51,0))="","",INDEX(campaigns!$BF$2:$BF$51,MATCH($A138,campaigns!$A$2:$A$51,0))),""),IFERROR(IF(INDEX(offices!$AB$2:$AB$61,MATCH($B138,offices!$A$2:$A$61,0))="","",INDEX(offices!$AB$2:$AB$61,MATCH($B138,offices!$A$2:$A$61,0))),""))),"","info: category not on the office's list; ")&amp;IF(IFERROR(IF(INDEX(offices!$AC$2:$AC$61,MATCH($B138,offices!$A$2:$A$61,0))="","",INDEX(offices!$AC$2:$AC$61,MATCH($B138,offices!$A$2:$A$61,0))),"")&lt;&gt;"","info: read the vetoes against the label; ",""))</f>
        <v/>
      </c>
      <c r="S138" s="30" t="str">
        <f aca="false">IF($A138="","",IF($G138&lt;&gt;"",$G138,IFERROR(IF(INDEX(offices!$AL$2:$AL$61,MATCH($B138,offices!$A$2:$A$61,0))="","",INDEX(offices!$AL$2:$AL$61,MATCH($B138,offices!$A$2:$A$61,0))),"")))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IF($B139="","",IFERROR(IF(INDEX(offices!$N$2:$N$61,MATCH($B139,offices!$A$2:$A$61,0))="","",INDEX(offices!$N$2:$N$61,MATCH($B139,offices!$A$2:$A$61,0))),""))</f>
        <v/>
      </c>
      <c r="L139" s="30" t="str">
        <f aca="false">IF($A139="","",IF($Q139="N","",COUNTIFS($A$2:$A139,$A139,$Q$2:$Q139,"&lt;&gt;N")))</f>
        <v/>
      </c>
      <c r="M139" s="30" t="str">
        <f aca="false">IF(OR($A139="",$L139=""),"",IF(AND(config!$B$34="names_if_public",IFERROR(IF(INDEX(offices!$AF$2:$AF$61,MATCH($B139,offices!$A$2:$A$61,0))="","",INDEX(offices!$AF$2:$AF$61,MATCH($B139,offices!$A$2:$A$61,0))),"")="Y"),$K139,CHAR(64+$L139)))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C$2:$AC$61,MATCH($B139,offices!$A$2:$A$61,0))="","",INDEX(offices!$AC$2:$AC$61,MATCH($B139,offices!$A$2:$A$61,0))),"")&lt;&gt;"",ISNUMBER(SEARCH($J139,IFERROR(IF(INDEX(offices!$AC$2:$AC$61,MATCH($B139,offices!$A$2:$A$61,0))="","",INDEX(offices!$AC$2:$AC$61,MATCH($B139,offices!$A$2:$A$61,0))),"")))),"BRAND VETOED; ","")&amp;IF(ISNUMBER(SEARCH(IFERROR(IF(INDEX(campaigns!$BF$2:$BF$51,MATCH($A139,campaigns!$A$2:$A$51,0))="","",INDEX(campaigns!$BF$2:$BF$51,MATCH($A139,campaigns!$A$2:$A$51,0))),""),IFERROR(IF(INDEX(offices!$AB$2:$AB$61,MATCH($B139,offices!$A$2:$A$61,0))="","",INDEX(offices!$AB$2:$AB$61,MATCH($B139,offices!$A$2:$A$61,0))),""))),"","info: category not on the office's list; ")&amp;IF(IFERROR(IF(INDEX(offices!$AC$2:$AC$61,MATCH($B139,offices!$A$2:$A$61,0))="","",INDEX(offices!$AC$2:$AC$61,MATCH($B139,offices!$A$2:$A$61,0))),"")&lt;&gt;"","info: read the vetoes against the label; ",""))</f>
        <v/>
      </c>
      <c r="S139" s="30" t="str">
        <f aca="false">IF($A139="","",IF($G139&lt;&gt;"",$G139,IFERROR(IF(INDEX(offices!$AL$2:$AL$61,MATCH($B139,offices!$A$2:$A$61,0))="","",INDEX(offices!$AL$2:$AL$61,MATCH($B139,offices!$A$2:$A$61,0))),"")))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IF($B140="","",IFERROR(IF(INDEX(offices!$N$2:$N$61,MATCH($B140,offices!$A$2:$A$61,0))="","",INDEX(offices!$N$2:$N$61,MATCH($B140,offices!$A$2:$A$61,0))),""))</f>
        <v/>
      </c>
      <c r="L140" s="30" t="str">
        <f aca="false">IF($A140="","",IF($Q140="N","",COUNTIFS($A$2:$A140,$A140,$Q$2:$Q140,"&lt;&gt;N")))</f>
        <v/>
      </c>
      <c r="M140" s="30" t="str">
        <f aca="false">IF(OR($A140="",$L140=""),"",IF(AND(config!$B$34="names_if_public",IFERROR(IF(INDEX(offices!$AF$2:$AF$61,MATCH($B140,offices!$A$2:$A$61,0))="","",INDEX(offices!$AF$2:$AF$61,MATCH($B140,offices!$A$2:$A$61,0))),"")="Y"),$K140,CHAR(64+$L140)))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C$2:$AC$61,MATCH($B140,offices!$A$2:$A$61,0))="","",INDEX(offices!$AC$2:$AC$61,MATCH($B140,offices!$A$2:$A$61,0))),"")&lt;&gt;"",ISNUMBER(SEARCH($J140,IFERROR(IF(INDEX(offices!$AC$2:$AC$61,MATCH($B140,offices!$A$2:$A$61,0))="","",INDEX(offices!$AC$2:$AC$61,MATCH($B140,offices!$A$2:$A$61,0))),"")))),"BRAND VETOED; ","")&amp;IF(ISNUMBER(SEARCH(IFERROR(IF(INDEX(campaigns!$BF$2:$BF$51,MATCH($A140,campaigns!$A$2:$A$51,0))="","",INDEX(campaigns!$BF$2:$BF$51,MATCH($A140,campaigns!$A$2:$A$51,0))),""),IFERROR(IF(INDEX(offices!$AB$2:$AB$61,MATCH($B140,offices!$A$2:$A$61,0))="","",INDEX(offices!$AB$2:$AB$61,MATCH($B140,offices!$A$2:$A$61,0))),""))),"","info: category not on the office's list; ")&amp;IF(IFERROR(IF(INDEX(offices!$AC$2:$AC$61,MATCH($B140,offices!$A$2:$A$61,0))="","",INDEX(offices!$AC$2:$AC$61,MATCH($B140,offices!$A$2:$A$61,0))),"")&lt;&gt;"","info: read the vetoes against the label; ",""))</f>
        <v/>
      </c>
      <c r="S140" s="30" t="str">
        <f aca="false">IF($A140="","",IF($G140&lt;&gt;"",$G140,IFERROR(IF(INDEX(offices!$AL$2:$AL$61,MATCH($B140,offices!$A$2:$A$61,0))="","",INDEX(offices!$AL$2:$AL$61,MATCH($B140,offices!$A$2:$A$61,0))),"")))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IF($B141="","",IFERROR(IF(INDEX(offices!$N$2:$N$61,MATCH($B141,offices!$A$2:$A$61,0))="","",INDEX(offices!$N$2:$N$61,MATCH($B141,offices!$A$2:$A$61,0))),""))</f>
        <v/>
      </c>
      <c r="L141" s="30" t="str">
        <f aca="false">IF($A141="","",IF($Q141="N","",COUNTIFS($A$2:$A141,$A141,$Q$2:$Q141,"&lt;&gt;N")))</f>
        <v/>
      </c>
      <c r="M141" s="30" t="str">
        <f aca="false">IF(OR($A141="",$L141=""),"",IF(AND(config!$B$34="names_if_public",IFERROR(IF(INDEX(offices!$AF$2:$AF$61,MATCH($B141,offices!$A$2:$A$61,0))="","",INDEX(offices!$AF$2:$AF$61,MATCH($B141,offices!$A$2:$A$61,0))),"")="Y"),$K141,CHAR(64+$L141)))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C$2:$AC$61,MATCH($B141,offices!$A$2:$A$61,0))="","",INDEX(offices!$AC$2:$AC$61,MATCH($B141,offices!$A$2:$A$61,0))),"")&lt;&gt;"",ISNUMBER(SEARCH($J141,IFERROR(IF(INDEX(offices!$AC$2:$AC$61,MATCH($B141,offices!$A$2:$A$61,0))="","",INDEX(offices!$AC$2:$AC$61,MATCH($B141,offices!$A$2:$A$61,0))),"")))),"BRAND VETOED; ","")&amp;IF(ISNUMBER(SEARCH(IFERROR(IF(INDEX(campaigns!$BF$2:$BF$51,MATCH($A141,campaigns!$A$2:$A$51,0))="","",INDEX(campaigns!$BF$2:$BF$51,MATCH($A141,campaigns!$A$2:$A$51,0))),""),IFERROR(IF(INDEX(offices!$AB$2:$AB$61,MATCH($B141,offices!$A$2:$A$61,0))="","",INDEX(offices!$AB$2:$AB$61,MATCH($B141,offices!$A$2:$A$61,0))),""))),"","info: category not on the office's list; ")&amp;IF(IFERROR(IF(INDEX(offices!$AC$2:$AC$61,MATCH($B141,offices!$A$2:$A$61,0))="","",INDEX(offices!$AC$2:$AC$61,MATCH($B141,offices!$A$2:$A$61,0))),"")&lt;&gt;"","info: read the vetoes against the label; ",""))</f>
        <v/>
      </c>
      <c r="S141" s="30" t="str">
        <f aca="false">IF($A141="","",IF($G141&lt;&gt;"",$G141,IFERROR(IF(INDEX(offices!$AL$2:$AL$61,MATCH($B141,offices!$A$2:$A$61,0))="","",INDEX(offices!$AL$2:$AL$61,MATCH($B141,offices!$A$2:$A$61,0))),"")))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IF($B142="","",IFERROR(IF(INDEX(offices!$N$2:$N$61,MATCH($B142,offices!$A$2:$A$61,0))="","",INDEX(offices!$N$2:$N$61,MATCH($B142,offices!$A$2:$A$61,0))),""))</f>
        <v/>
      </c>
      <c r="L142" s="30" t="str">
        <f aca="false">IF($A142="","",IF($Q142="N","",COUNTIFS($A$2:$A142,$A142,$Q$2:$Q142,"&lt;&gt;N")))</f>
        <v/>
      </c>
      <c r="M142" s="30" t="str">
        <f aca="false">IF(OR($A142="",$L142=""),"",IF(AND(config!$B$34="names_if_public",IFERROR(IF(INDEX(offices!$AF$2:$AF$61,MATCH($B142,offices!$A$2:$A$61,0))="","",INDEX(offices!$AF$2:$AF$61,MATCH($B142,offices!$A$2:$A$61,0))),"")="Y"),$K142,CHAR(64+$L142)))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C$2:$AC$61,MATCH($B142,offices!$A$2:$A$61,0))="","",INDEX(offices!$AC$2:$AC$61,MATCH($B142,offices!$A$2:$A$61,0))),"")&lt;&gt;"",ISNUMBER(SEARCH($J142,IFERROR(IF(INDEX(offices!$AC$2:$AC$61,MATCH($B142,offices!$A$2:$A$61,0))="","",INDEX(offices!$AC$2:$AC$61,MATCH($B142,offices!$A$2:$A$61,0))),"")))),"BRAND VETOED; ","")&amp;IF(ISNUMBER(SEARCH(IFERROR(IF(INDEX(campaigns!$BF$2:$BF$51,MATCH($A142,campaigns!$A$2:$A$51,0))="","",INDEX(campaigns!$BF$2:$BF$51,MATCH($A142,campaigns!$A$2:$A$51,0))),""),IFERROR(IF(INDEX(offices!$AB$2:$AB$61,MATCH($B142,offices!$A$2:$A$61,0))="","",INDEX(offices!$AB$2:$AB$61,MATCH($B142,offices!$A$2:$A$61,0))),""))),"","info: category not on the office's list; ")&amp;IF(IFERROR(IF(INDEX(offices!$AC$2:$AC$61,MATCH($B142,offices!$A$2:$A$61,0))="","",INDEX(offices!$AC$2:$AC$61,MATCH($B142,offices!$A$2:$A$61,0))),"")&lt;&gt;"","info: read the vetoes against the label; ",""))</f>
        <v/>
      </c>
      <c r="S142" s="30" t="str">
        <f aca="false">IF($A142="","",IF($G142&lt;&gt;"",$G142,IFERROR(IF(INDEX(offices!$AL$2:$AL$61,MATCH($B142,offices!$A$2:$A$61,0))="","",INDEX(offices!$AL$2:$AL$61,MATCH($B142,offices!$A$2:$A$61,0))),"")))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IF($B143="","",IFERROR(IF(INDEX(offices!$N$2:$N$61,MATCH($B143,offices!$A$2:$A$61,0))="","",INDEX(offices!$N$2:$N$61,MATCH($B143,offices!$A$2:$A$61,0))),""))</f>
        <v/>
      </c>
      <c r="L143" s="30" t="str">
        <f aca="false">IF($A143="","",IF($Q143="N","",COUNTIFS($A$2:$A143,$A143,$Q$2:$Q143,"&lt;&gt;N")))</f>
        <v/>
      </c>
      <c r="M143" s="30" t="str">
        <f aca="false">IF(OR($A143="",$L143=""),"",IF(AND(config!$B$34="names_if_public",IFERROR(IF(INDEX(offices!$AF$2:$AF$61,MATCH($B143,offices!$A$2:$A$61,0))="","",INDEX(offices!$AF$2:$AF$61,MATCH($B143,offices!$A$2:$A$61,0))),"")="Y"),$K143,CHAR(64+$L143)))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C$2:$AC$61,MATCH($B143,offices!$A$2:$A$61,0))="","",INDEX(offices!$AC$2:$AC$61,MATCH($B143,offices!$A$2:$A$61,0))),"")&lt;&gt;"",ISNUMBER(SEARCH($J143,IFERROR(IF(INDEX(offices!$AC$2:$AC$61,MATCH($B143,offices!$A$2:$A$61,0))="","",INDEX(offices!$AC$2:$AC$61,MATCH($B143,offices!$A$2:$A$61,0))),"")))),"BRAND VETOED; ","")&amp;IF(ISNUMBER(SEARCH(IFERROR(IF(INDEX(campaigns!$BF$2:$BF$51,MATCH($A143,campaigns!$A$2:$A$51,0))="","",INDEX(campaigns!$BF$2:$BF$51,MATCH($A143,campaigns!$A$2:$A$51,0))),""),IFERROR(IF(INDEX(offices!$AB$2:$AB$61,MATCH($B143,offices!$A$2:$A$61,0))="","",INDEX(offices!$AB$2:$AB$61,MATCH($B143,offices!$A$2:$A$61,0))),""))),"","info: category not on the office's list; ")&amp;IF(IFERROR(IF(INDEX(offices!$AC$2:$AC$61,MATCH($B143,offices!$A$2:$A$61,0))="","",INDEX(offices!$AC$2:$AC$61,MATCH($B143,offices!$A$2:$A$61,0))),"")&lt;&gt;"","info: read the vetoes against the label; ",""))</f>
        <v/>
      </c>
      <c r="S143" s="30" t="str">
        <f aca="false">IF($A143="","",IF($G143&lt;&gt;"",$G143,IFERROR(IF(INDEX(offices!$AL$2:$AL$61,MATCH($B143,offices!$A$2:$A$61,0))="","",INDEX(offices!$AL$2:$AL$61,MATCH($B143,offices!$A$2:$A$61,0))),"")))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IF($B144="","",IFERROR(IF(INDEX(offices!$N$2:$N$61,MATCH($B144,offices!$A$2:$A$61,0))="","",INDEX(offices!$N$2:$N$61,MATCH($B144,offices!$A$2:$A$61,0))),""))</f>
        <v/>
      </c>
      <c r="L144" s="30" t="str">
        <f aca="false">IF($A144="","",IF($Q144="N","",COUNTIFS($A$2:$A144,$A144,$Q$2:$Q144,"&lt;&gt;N")))</f>
        <v/>
      </c>
      <c r="M144" s="30" t="str">
        <f aca="false">IF(OR($A144="",$L144=""),"",IF(AND(config!$B$34="names_if_public",IFERROR(IF(INDEX(offices!$AF$2:$AF$61,MATCH($B144,offices!$A$2:$A$61,0))="","",INDEX(offices!$AF$2:$AF$61,MATCH($B144,offices!$A$2:$A$61,0))),"")="Y"),$K144,CHAR(64+$L144)))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C$2:$AC$61,MATCH($B144,offices!$A$2:$A$61,0))="","",INDEX(offices!$AC$2:$AC$61,MATCH($B144,offices!$A$2:$A$61,0))),"")&lt;&gt;"",ISNUMBER(SEARCH($J144,IFERROR(IF(INDEX(offices!$AC$2:$AC$61,MATCH($B144,offices!$A$2:$A$61,0))="","",INDEX(offices!$AC$2:$AC$61,MATCH($B144,offices!$A$2:$A$61,0))),"")))),"BRAND VETOED; ","")&amp;IF(ISNUMBER(SEARCH(IFERROR(IF(INDEX(campaigns!$BF$2:$BF$51,MATCH($A144,campaigns!$A$2:$A$51,0))="","",INDEX(campaigns!$BF$2:$BF$51,MATCH($A144,campaigns!$A$2:$A$51,0))),""),IFERROR(IF(INDEX(offices!$AB$2:$AB$61,MATCH($B144,offices!$A$2:$A$61,0))="","",INDEX(offices!$AB$2:$AB$61,MATCH($B144,offices!$A$2:$A$61,0))),""))),"","info: category not on the office's list; ")&amp;IF(IFERROR(IF(INDEX(offices!$AC$2:$AC$61,MATCH($B144,offices!$A$2:$A$61,0))="","",INDEX(offices!$AC$2:$AC$61,MATCH($B144,offices!$A$2:$A$61,0))),"")&lt;&gt;"","info: read the vetoes against the label; ",""))</f>
        <v/>
      </c>
      <c r="S144" s="30" t="str">
        <f aca="false">IF($A144="","",IF($G144&lt;&gt;"",$G144,IFERROR(IF(INDEX(offices!$AL$2:$AL$61,MATCH($B144,offices!$A$2:$A$61,0))="","",INDEX(offices!$AL$2:$AL$61,MATCH($B144,offices!$A$2:$A$61,0))),"")))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IF($B145="","",IFERROR(IF(INDEX(offices!$N$2:$N$61,MATCH($B145,offices!$A$2:$A$61,0))="","",INDEX(offices!$N$2:$N$61,MATCH($B145,offices!$A$2:$A$61,0))),""))</f>
        <v/>
      </c>
      <c r="L145" s="30" t="str">
        <f aca="false">IF($A145="","",IF($Q145="N","",COUNTIFS($A$2:$A145,$A145,$Q$2:$Q145,"&lt;&gt;N")))</f>
        <v/>
      </c>
      <c r="M145" s="30" t="str">
        <f aca="false">IF(OR($A145="",$L145=""),"",IF(AND(config!$B$34="names_if_public",IFERROR(IF(INDEX(offices!$AF$2:$AF$61,MATCH($B145,offices!$A$2:$A$61,0))="","",INDEX(offices!$AF$2:$AF$61,MATCH($B145,offices!$A$2:$A$61,0))),"")="Y"),$K145,CHAR(64+$L145)))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C$2:$AC$61,MATCH($B145,offices!$A$2:$A$61,0))="","",INDEX(offices!$AC$2:$AC$61,MATCH($B145,offices!$A$2:$A$61,0))),"")&lt;&gt;"",ISNUMBER(SEARCH($J145,IFERROR(IF(INDEX(offices!$AC$2:$AC$61,MATCH($B145,offices!$A$2:$A$61,0))="","",INDEX(offices!$AC$2:$AC$61,MATCH($B145,offices!$A$2:$A$61,0))),"")))),"BRAND VETOED; ","")&amp;IF(ISNUMBER(SEARCH(IFERROR(IF(INDEX(campaigns!$BF$2:$BF$51,MATCH($A145,campaigns!$A$2:$A$51,0))="","",INDEX(campaigns!$BF$2:$BF$51,MATCH($A145,campaigns!$A$2:$A$51,0))),""),IFERROR(IF(INDEX(offices!$AB$2:$AB$61,MATCH($B145,offices!$A$2:$A$61,0))="","",INDEX(offices!$AB$2:$AB$61,MATCH($B145,offices!$A$2:$A$61,0))),""))),"","info: category not on the office's list; ")&amp;IF(IFERROR(IF(INDEX(offices!$AC$2:$AC$61,MATCH($B145,offices!$A$2:$A$61,0))="","",INDEX(offices!$AC$2:$AC$61,MATCH($B145,offices!$A$2:$A$61,0))),"")&lt;&gt;"","info: read the vetoes against the label; ",""))</f>
        <v/>
      </c>
      <c r="S145" s="30" t="str">
        <f aca="false">IF($A145="","",IF($G145&lt;&gt;"",$G145,IFERROR(IF(INDEX(offices!$AL$2:$AL$61,MATCH($B145,offices!$A$2:$A$61,0))="","",INDEX(offices!$AL$2:$AL$61,MATCH($B145,offices!$A$2:$A$61,0))),"")))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IF($B146="","",IFERROR(IF(INDEX(offices!$N$2:$N$61,MATCH($B146,offices!$A$2:$A$61,0))="","",INDEX(offices!$N$2:$N$61,MATCH($B146,offices!$A$2:$A$61,0))),""))</f>
        <v/>
      </c>
      <c r="L146" s="30" t="str">
        <f aca="false">IF($A146="","",IF($Q146="N","",COUNTIFS($A$2:$A146,$A146,$Q$2:$Q146,"&lt;&gt;N")))</f>
        <v/>
      </c>
      <c r="M146" s="30" t="str">
        <f aca="false">IF(OR($A146="",$L146=""),"",IF(AND(config!$B$34="names_if_public",IFERROR(IF(INDEX(offices!$AF$2:$AF$61,MATCH($B146,offices!$A$2:$A$61,0))="","",INDEX(offices!$AF$2:$AF$61,MATCH($B146,offices!$A$2:$A$61,0))),"")="Y"),$K146,CHAR(64+$L146)))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C$2:$AC$61,MATCH($B146,offices!$A$2:$A$61,0))="","",INDEX(offices!$AC$2:$AC$61,MATCH($B146,offices!$A$2:$A$61,0))),"")&lt;&gt;"",ISNUMBER(SEARCH($J146,IFERROR(IF(INDEX(offices!$AC$2:$AC$61,MATCH($B146,offices!$A$2:$A$61,0))="","",INDEX(offices!$AC$2:$AC$61,MATCH($B146,offices!$A$2:$A$61,0))),"")))),"BRAND VETOED; ","")&amp;IF(ISNUMBER(SEARCH(IFERROR(IF(INDEX(campaigns!$BF$2:$BF$51,MATCH($A146,campaigns!$A$2:$A$51,0))="","",INDEX(campaigns!$BF$2:$BF$51,MATCH($A146,campaigns!$A$2:$A$51,0))),""),IFERROR(IF(INDEX(offices!$AB$2:$AB$61,MATCH($B146,offices!$A$2:$A$61,0))="","",INDEX(offices!$AB$2:$AB$61,MATCH($B146,offices!$A$2:$A$61,0))),""))),"","info: category not on the office's list; ")&amp;IF(IFERROR(IF(INDEX(offices!$AC$2:$AC$61,MATCH($B146,offices!$A$2:$A$61,0))="","",INDEX(offices!$AC$2:$AC$61,MATCH($B146,offices!$A$2:$A$61,0))),"")&lt;&gt;"","info: read the vetoes against the label; ",""))</f>
        <v/>
      </c>
      <c r="S146" s="30" t="str">
        <f aca="false">IF($A146="","",IF($G146&lt;&gt;"",$G146,IFERROR(IF(INDEX(offices!$AL$2:$AL$61,MATCH($B146,offices!$A$2:$A$61,0))="","",INDEX(offices!$AL$2:$AL$61,MATCH($B146,offices!$A$2:$A$61,0))),"")))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IF($B147="","",IFERROR(IF(INDEX(offices!$N$2:$N$61,MATCH($B147,offices!$A$2:$A$61,0))="","",INDEX(offices!$N$2:$N$61,MATCH($B147,offices!$A$2:$A$61,0))),""))</f>
        <v/>
      </c>
      <c r="L147" s="30" t="str">
        <f aca="false">IF($A147="","",IF($Q147="N","",COUNTIFS($A$2:$A147,$A147,$Q$2:$Q147,"&lt;&gt;N")))</f>
        <v/>
      </c>
      <c r="M147" s="30" t="str">
        <f aca="false">IF(OR($A147="",$L147=""),"",IF(AND(config!$B$34="names_if_public",IFERROR(IF(INDEX(offices!$AF$2:$AF$61,MATCH($B147,offices!$A$2:$A$61,0))="","",INDEX(offices!$AF$2:$AF$61,MATCH($B147,offices!$A$2:$A$61,0))),"")="Y"),$K147,CHAR(64+$L147)))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C$2:$AC$61,MATCH($B147,offices!$A$2:$A$61,0))="","",INDEX(offices!$AC$2:$AC$61,MATCH($B147,offices!$A$2:$A$61,0))),"")&lt;&gt;"",ISNUMBER(SEARCH($J147,IFERROR(IF(INDEX(offices!$AC$2:$AC$61,MATCH($B147,offices!$A$2:$A$61,0))="","",INDEX(offices!$AC$2:$AC$61,MATCH($B147,offices!$A$2:$A$61,0))),"")))),"BRAND VETOED; ","")&amp;IF(ISNUMBER(SEARCH(IFERROR(IF(INDEX(campaigns!$BF$2:$BF$51,MATCH($A147,campaigns!$A$2:$A$51,0))="","",INDEX(campaigns!$BF$2:$BF$51,MATCH($A147,campaigns!$A$2:$A$51,0))),""),IFERROR(IF(INDEX(offices!$AB$2:$AB$61,MATCH($B147,offices!$A$2:$A$61,0))="","",INDEX(offices!$AB$2:$AB$61,MATCH($B147,offices!$A$2:$A$61,0))),""))),"","info: category not on the office's list; ")&amp;IF(IFERROR(IF(INDEX(offices!$AC$2:$AC$61,MATCH($B147,offices!$A$2:$A$61,0))="","",INDEX(offices!$AC$2:$AC$61,MATCH($B147,offices!$A$2:$A$61,0))),"")&lt;&gt;"","info: read the vetoes against the label; ",""))</f>
        <v/>
      </c>
      <c r="S147" s="30" t="str">
        <f aca="false">IF($A147="","",IF($G147&lt;&gt;"",$G147,IFERROR(IF(INDEX(offices!$AL$2:$AL$61,MATCH($B147,offices!$A$2:$A$61,0))="","",INDEX(offices!$AL$2:$AL$61,MATCH($B147,offices!$A$2:$A$61,0))),"")))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IF($B148="","",IFERROR(IF(INDEX(offices!$N$2:$N$61,MATCH($B148,offices!$A$2:$A$61,0))="","",INDEX(offices!$N$2:$N$61,MATCH($B148,offices!$A$2:$A$61,0))),""))</f>
        <v/>
      </c>
      <c r="L148" s="30" t="str">
        <f aca="false">IF($A148="","",IF($Q148="N","",COUNTIFS($A$2:$A148,$A148,$Q$2:$Q148,"&lt;&gt;N")))</f>
        <v/>
      </c>
      <c r="M148" s="30" t="str">
        <f aca="false">IF(OR($A148="",$L148=""),"",IF(AND(config!$B$34="names_if_public",IFERROR(IF(INDEX(offices!$AF$2:$AF$61,MATCH($B148,offices!$A$2:$A$61,0))="","",INDEX(offices!$AF$2:$AF$61,MATCH($B148,offices!$A$2:$A$61,0))),"")="Y"),$K148,CHAR(64+$L148)))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C$2:$AC$61,MATCH($B148,offices!$A$2:$A$61,0))="","",INDEX(offices!$AC$2:$AC$61,MATCH($B148,offices!$A$2:$A$61,0))),"")&lt;&gt;"",ISNUMBER(SEARCH($J148,IFERROR(IF(INDEX(offices!$AC$2:$AC$61,MATCH($B148,offices!$A$2:$A$61,0))="","",INDEX(offices!$AC$2:$AC$61,MATCH($B148,offices!$A$2:$A$61,0))),"")))),"BRAND VETOED; ","")&amp;IF(ISNUMBER(SEARCH(IFERROR(IF(INDEX(campaigns!$BF$2:$BF$51,MATCH($A148,campaigns!$A$2:$A$51,0))="","",INDEX(campaigns!$BF$2:$BF$51,MATCH($A148,campaigns!$A$2:$A$51,0))),""),IFERROR(IF(INDEX(offices!$AB$2:$AB$61,MATCH($B148,offices!$A$2:$A$61,0))="","",INDEX(offices!$AB$2:$AB$61,MATCH($B148,offices!$A$2:$A$61,0))),""))),"","info: category not on the office's list; ")&amp;IF(IFERROR(IF(INDEX(offices!$AC$2:$AC$61,MATCH($B148,offices!$A$2:$A$61,0))="","",INDEX(offices!$AC$2:$AC$61,MATCH($B148,offices!$A$2:$A$61,0))),"")&lt;&gt;"","info: read the vetoes against the label; ",""))</f>
        <v/>
      </c>
      <c r="S148" s="30" t="str">
        <f aca="false">IF($A148="","",IF($G148&lt;&gt;"",$G148,IFERROR(IF(INDEX(offices!$AL$2:$AL$61,MATCH($B148,offices!$A$2:$A$61,0))="","",INDEX(offices!$AL$2:$AL$61,MATCH($B148,offices!$A$2:$A$61,0))),"")))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IF($B149="","",IFERROR(IF(INDEX(offices!$N$2:$N$61,MATCH($B149,offices!$A$2:$A$61,0))="","",INDEX(offices!$N$2:$N$61,MATCH($B149,offices!$A$2:$A$61,0))),""))</f>
        <v/>
      </c>
      <c r="L149" s="30" t="str">
        <f aca="false">IF($A149="","",IF($Q149="N","",COUNTIFS($A$2:$A149,$A149,$Q$2:$Q149,"&lt;&gt;N")))</f>
        <v/>
      </c>
      <c r="M149" s="30" t="str">
        <f aca="false">IF(OR($A149="",$L149=""),"",IF(AND(config!$B$34="names_if_public",IFERROR(IF(INDEX(offices!$AF$2:$AF$61,MATCH($B149,offices!$A$2:$A$61,0))="","",INDEX(offices!$AF$2:$AF$61,MATCH($B149,offices!$A$2:$A$61,0))),"")="Y"),$K149,CHAR(64+$L149)))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C$2:$AC$61,MATCH($B149,offices!$A$2:$A$61,0))="","",INDEX(offices!$AC$2:$AC$61,MATCH($B149,offices!$A$2:$A$61,0))),"")&lt;&gt;"",ISNUMBER(SEARCH($J149,IFERROR(IF(INDEX(offices!$AC$2:$AC$61,MATCH($B149,offices!$A$2:$A$61,0))="","",INDEX(offices!$AC$2:$AC$61,MATCH($B149,offices!$A$2:$A$61,0))),"")))),"BRAND VETOED; ","")&amp;IF(ISNUMBER(SEARCH(IFERROR(IF(INDEX(campaigns!$BF$2:$BF$51,MATCH($A149,campaigns!$A$2:$A$51,0))="","",INDEX(campaigns!$BF$2:$BF$51,MATCH($A149,campaigns!$A$2:$A$51,0))),""),IFERROR(IF(INDEX(offices!$AB$2:$AB$61,MATCH($B149,offices!$A$2:$A$61,0))="","",INDEX(offices!$AB$2:$AB$61,MATCH($B149,offices!$A$2:$A$61,0))),""))),"","info: category not on the office's list; ")&amp;IF(IFERROR(IF(INDEX(offices!$AC$2:$AC$61,MATCH($B149,offices!$A$2:$A$61,0))="","",INDEX(offices!$AC$2:$AC$61,MATCH($B149,offices!$A$2:$A$61,0))),"")&lt;&gt;"","info: read the vetoes against the label; ",""))</f>
        <v/>
      </c>
      <c r="S149" s="30" t="str">
        <f aca="false">IF($A149="","",IF($G149&lt;&gt;"",$G149,IFERROR(IF(INDEX(offices!$AL$2:$AL$61,MATCH($B149,offices!$A$2:$A$61,0))="","",INDEX(offices!$AL$2:$AL$61,MATCH($B149,offices!$A$2:$A$61,0))),"")))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IF($B150="","",IFERROR(IF(INDEX(offices!$N$2:$N$61,MATCH($B150,offices!$A$2:$A$61,0))="","",INDEX(offices!$N$2:$N$61,MATCH($B150,offices!$A$2:$A$61,0))),""))</f>
        <v/>
      </c>
      <c r="L150" s="30" t="str">
        <f aca="false">IF($A150="","",IF($Q150="N","",COUNTIFS($A$2:$A150,$A150,$Q$2:$Q150,"&lt;&gt;N")))</f>
        <v/>
      </c>
      <c r="M150" s="30" t="str">
        <f aca="false">IF(OR($A150="",$L150=""),"",IF(AND(config!$B$34="names_if_public",IFERROR(IF(INDEX(offices!$AF$2:$AF$61,MATCH($B150,offices!$A$2:$A$61,0))="","",INDEX(offices!$AF$2:$AF$61,MATCH($B150,offices!$A$2:$A$61,0))),"")="Y"),$K150,CHAR(64+$L150)))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C$2:$AC$61,MATCH($B150,offices!$A$2:$A$61,0))="","",INDEX(offices!$AC$2:$AC$61,MATCH($B150,offices!$A$2:$A$61,0))),"")&lt;&gt;"",ISNUMBER(SEARCH($J150,IFERROR(IF(INDEX(offices!$AC$2:$AC$61,MATCH($B150,offices!$A$2:$A$61,0))="","",INDEX(offices!$AC$2:$AC$61,MATCH($B150,offices!$A$2:$A$61,0))),"")))),"BRAND VETOED; ","")&amp;IF(ISNUMBER(SEARCH(IFERROR(IF(INDEX(campaigns!$BF$2:$BF$51,MATCH($A150,campaigns!$A$2:$A$51,0))="","",INDEX(campaigns!$BF$2:$BF$51,MATCH($A150,campaigns!$A$2:$A$51,0))),""),IFERROR(IF(INDEX(offices!$AB$2:$AB$61,MATCH($B150,offices!$A$2:$A$61,0))="","",INDEX(offices!$AB$2:$AB$61,MATCH($B150,offices!$A$2:$A$61,0))),""))),"","info: category not on the office's list; ")&amp;IF(IFERROR(IF(INDEX(offices!$AC$2:$AC$61,MATCH($B150,offices!$A$2:$A$61,0))="","",INDEX(offices!$AC$2:$AC$61,MATCH($B150,offices!$A$2:$A$61,0))),"")&lt;&gt;"","info: read the vetoes against the label; ",""))</f>
        <v/>
      </c>
      <c r="S150" s="30" t="str">
        <f aca="false">IF($A150="","",IF($G150&lt;&gt;"",$G150,IFERROR(IF(INDEX(offices!$AL$2:$AL$61,MATCH($B150,offices!$A$2:$A$61,0))="","",INDEX(offices!$AL$2:$AL$61,MATCH($B150,offices!$A$2:$A$61,0))),"")))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IF($B151="","",IFERROR(IF(INDEX(offices!$N$2:$N$61,MATCH($B151,offices!$A$2:$A$61,0))="","",INDEX(offices!$N$2:$N$61,MATCH($B151,offices!$A$2:$A$61,0))),""))</f>
        <v/>
      </c>
      <c r="L151" s="30" t="str">
        <f aca="false">IF($A151="","",IF($Q151="N","",COUNTIFS($A$2:$A151,$A151,$Q$2:$Q151,"&lt;&gt;N")))</f>
        <v/>
      </c>
      <c r="M151" s="30" t="str">
        <f aca="false">IF(OR($A151="",$L151=""),"",IF(AND(config!$B$34="names_if_public",IFERROR(IF(INDEX(offices!$AF$2:$AF$61,MATCH($B151,offices!$A$2:$A$61,0))="","",INDEX(offices!$AF$2:$AF$61,MATCH($B151,offices!$A$2:$A$61,0))),"")="Y"),$K151,CHAR(64+$L151)))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C$2:$AC$61,MATCH($B151,offices!$A$2:$A$61,0))="","",INDEX(offices!$AC$2:$AC$61,MATCH($B151,offices!$A$2:$A$61,0))),"")&lt;&gt;"",ISNUMBER(SEARCH($J151,IFERROR(IF(INDEX(offices!$AC$2:$AC$61,MATCH($B151,offices!$A$2:$A$61,0))="","",INDEX(offices!$AC$2:$AC$61,MATCH($B151,offices!$A$2:$A$61,0))),"")))),"BRAND VETOED; ","")&amp;IF(ISNUMBER(SEARCH(IFERROR(IF(INDEX(campaigns!$BF$2:$BF$51,MATCH($A151,campaigns!$A$2:$A$51,0))="","",INDEX(campaigns!$BF$2:$BF$51,MATCH($A151,campaigns!$A$2:$A$51,0))),""),IFERROR(IF(INDEX(offices!$AB$2:$AB$61,MATCH($B151,offices!$A$2:$A$61,0))="","",INDEX(offices!$AB$2:$AB$61,MATCH($B151,offices!$A$2:$A$61,0))),""))),"","info: category not on the office's list; ")&amp;IF(IFERROR(IF(INDEX(offices!$AC$2:$AC$61,MATCH($B151,offices!$A$2:$A$61,0))="","",INDEX(offices!$AC$2:$AC$61,MATCH($B151,offices!$A$2:$A$61,0))),"")&lt;&gt;"","info: read the vetoes against the label; ",""))</f>
        <v/>
      </c>
      <c r="S151" s="30" t="str">
        <f aca="false">IF($A151="","",IF($G151&lt;&gt;"",$G151,IFERROR(IF(INDEX(offices!$AL$2:$AL$61,MATCH($B151,offices!$A$2:$A$61,0))="","",INDEX(offices!$AL$2:$AL$61,MATCH($B151,offices!$A$2:$A$61,0))),"")))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IF($B152="","",IFERROR(IF(INDEX(offices!$N$2:$N$61,MATCH($B152,offices!$A$2:$A$61,0))="","",INDEX(offices!$N$2:$N$61,MATCH($B152,offices!$A$2:$A$61,0))),""))</f>
        <v/>
      </c>
      <c r="L152" s="30" t="str">
        <f aca="false">IF($A152="","",IF($Q152="N","",COUNTIFS($A$2:$A152,$A152,$Q$2:$Q152,"&lt;&gt;N")))</f>
        <v/>
      </c>
      <c r="M152" s="30" t="str">
        <f aca="false">IF(OR($A152="",$L152=""),"",IF(AND(config!$B$34="names_if_public",IFERROR(IF(INDEX(offices!$AF$2:$AF$61,MATCH($B152,offices!$A$2:$A$61,0))="","",INDEX(offices!$AF$2:$AF$61,MATCH($B152,offices!$A$2:$A$61,0))),"")="Y"),$K152,CHAR(64+$L152)))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C$2:$AC$61,MATCH($B152,offices!$A$2:$A$61,0))="","",INDEX(offices!$AC$2:$AC$61,MATCH($B152,offices!$A$2:$A$61,0))),"")&lt;&gt;"",ISNUMBER(SEARCH($J152,IFERROR(IF(INDEX(offices!$AC$2:$AC$61,MATCH($B152,offices!$A$2:$A$61,0))="","",INDEX(offices!$AC$2:$AC$61,MATCH($B152,offices!$A$2:$A$61,0))),"")))),"BRAND VETOED; ","")&amp;IF(ISNUMBER(SEARCH(IFERROR(IF(INDEX(campaigns!$BF$2:$BF$51,MATCH($A152,campaigns!$A$2:$A$51,0))="","",INDEX(campaigns!$BF$2:$BF$51,MATCH($A152,campaigns!$A$2:$A$51,0))),""),IFERROR(IF(INDEX(offices!$AB$2:$AB$61,MATCH($B152,offices!$A$2:$A$61,0))="","",INDEX(offices!$AB$2:$AB$61,MATCH($B152,offices!$A$2:$A$61,0))),""))),"","info: category not on the office's list; ")&amp;IF(IFERROR(IF(INDEX(offices!$AC$2:$AC$61,MATCH($B152,offices!$A$2:$A$61,0))="","",INDEX(offices!$AC$2:$AC$61,MATCH($B152,offices!$A$2:$A$61,0))),"")&lt;&gt;"","info: read the vetoes against the label; ",""))</f>
        <v/>
      </c>
      <c r="S152" s="30" t="str">
        <f aca="false">IF($A152="","",IF($G152&lt;&gt;"",$G152,IFERROR(IF(INDEX(offices!$AL$2:$AL$61,MATCH($B152,offices!$A$2:$A$61,0))="","",INDEX(offices!$AL$2:$AL$61,MATCH($B152,offices!$A$2:$A$61,0))),"")))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IF($B153="","",IFERROR(IF(INDEX(offices!$N$2:$N$61,MATCH($B153,offices!$A$2:$A$61,0))="","",INDEX(offices!$N$2:$N$61,MATCH($B153,offices!$A$2:$A$61,0))),""))</f>
        <v/>
      </c>
      <c r="L153" s="30" t="str">
        <f aca="false">IF($A153="","",IF($Q153="N","",COUNTIFS($A$2:$A153,$A153,$Q$2:$Q153,"&lt;&gt;N")))</f>
        <v/>
      </c>
      <c r="M153" s="30" t="str">
        <f aca="false">IF(OR($A153="",$L153=""),"",IF(AND(config!$B$34="names_if_public",IFERROR(IF(INDEX(offices!$AF$2:$AF$61,MATCH($B153,offices!$A$2:$A$61,0))="","",INDEX(offices!$AF$2:$AF$61,MATCH($B153,offices!$A$2:$A$61,0))),"")="Y"),$K153,CHAR(64+$L153)))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C$2:$AC$61,MATCH($B153,offices!$A$2:$A$61,0))="","",INDEX(offices!$AC$2:$AC$61,MATCH($B153,offices!$A$2:$A$61,0))),"")&lt;&gt;"",ISNUMBER(SEARCH($J153,IFERROR(IF(INDEX(offices!$AC$2:$AC$61,MATCH($B153,offices!$A$2:$A$61,0))="","",INDEX(offices!$AC$2:$AC$61,MATCH($B153,offices!$A$2:$A$61,0))),"")))),"BRAND VETOED; ","")&amp;IF(ISNUMBER(SEARCH(IFERROR(IF(INDEX(campaigns!$BF$2:$BF$51,MATCH($A153,campaigns!$A$2:$A$51,0))="","",INDEX(campaigns!$BF$2:$BF$51,MATCH($A153,campaigns!$A$2:$A$51,0))),""),IFERROR(IF(INDEX(offices!$AB$2:$AB$61,MATCH($B153,offices!$A$2:$A$61,0))="","",INDEX(offices!$AB$2:$AB$61,MATCH($B153,offices!$A$2:$A$61,0))),""))),"","info: category not on the office's list; ")&amp;IF(IFERROR(IF(INDEX(offices!$AC$2:$AC$61,MATCH($B153,offices!$A$2:$A$61,0))="","",INDEX(offices!$AC$2:$AC$61,MATCH($B153,offices!$A$2:$A$61,0))),"")&lt;&gt;"","info: read the vetoes against the label; ",""))</f>
        <v/>
      </c>
      <c r="S153" s="30" t="str">
        <f aca="false">IF($A153="","",IF($G153&lt;&gt;"",$G153,IFERROR(IF(INDEX(offices!$AL$2:$AL$61,MATCH($B153,offices!$A$2:$A$61,0))="","",INDEX(offices!$AL$2:$AL$61,MATCH($B153,offices!$A$2:$A$61,0))),"")))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IF($B154="","",IFERROR(IF(INDEX(offices!$N$2:$N$61,MATCH($B154,offices!$A$2:$A$61,0))="","",INDEX(offices!$N$2:$N$61,MATCH($B154,offices!$A$2:$A$61,0))),""))</f>
        <v/>
      </c>
      <c r="L154" s="30" t="str">
        <f aca="false">IF($A154="","",IF($Q154="N","",COUNTIFS($A$2:$A154,$A154,$Q$2:$Q154,"&lt;&gt;N")))</f>
        <v/>
      </c>
      <c r="M154" s="30" t="str">
        <f aca="false">IF(OR($A154="",$L154=""),"",IF(AND(config!$B$34="names_if_public",IFERROR(IF(INDEX(offices!$AF$2:$AF$61,MATCH($B154,offices!$A$2:$A$61,0))="","",INDEX(offices!$AF$2:$AF$61,MATCH($B154,offices!$A$2:$A$61,0))),"")="Y"),$K154,CHAR(64+$L154)))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C$2:$AC$61,MATCH($B154,offices!$A$2:$A$61,0))="","",INDEX(offices!$AC$2:$AC$61,MATCH($B154,offices!$A$2:$A$61,0))),"")&lt;&gt;"",ISNUMBER(SEARCH($J154,IFERROR(IF(INDEX(offices!$AC$2:$AC$61,MATCH($B154,offices!$A$2:$A$61,0))="","",INDEX(offices!$AC$2:$AC$61,MATCH($B154,offices!$A$2:$A$61,0))),"")))),"BRAND VETOED; ","")&amp;IF(ISNUMBER(SEARCH(IFERROR(IF(INDEX(campaigns!$BF$2:$BF$51,MATCH($A154,campaigns!$A$2:$A$51,0))="","",INDEX(campaigns!$BF$2:$BF$51,MATCH($A154,campaigns!$A$2:$A$51,0))),""),IFERROR(IF(INDEX(offices!$AB$2:$AB$61,MATCH($B154,offices!$A$2:$A$61,0))="","",INDEX(offices!$AB$2:$AB$61,MATCH($B154,offices!$A$2:$A$61,0))),""))),"","info: category not on the office's list; ")&amp;IF(IFERROR(IF(INDEX(offices!$AC$2:$AC$61,MATCH($B154,offices!$A$2:$A$61,0))="","",INDEX(offices!$AC$2:$AC$61,MATCH($B154,offices!$A$2:$A$61,0))),"")&lt;&gt;"","info: read the vetoes against the label; ",""))</f>
        <v/>
      </c>
      <c r="S154" s="30" t="str">
        <f aca="false">IF($A154="","",IF($G154&lt;&gt;"",$G154,IFERROR(IF(INDEX(offices!$AL$2:$AL$61,MATCH($B154,offices!$A$2:$A$61,0))="","",INDEX(offices!$AL$2:$AL$61,MATCH($B154,offices!$A$2:$A$61,0))),"")))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IF($B155="","",IFERROR(IF(INDEX(offices!$N$2:$N$61,MATCH($B155,offices!$A$2:$A$61,0))="","",INDEX(offices!$N$2:$N$61,MATCH($B155,offices!$A$2:$A$61,0))),""))</f>
        <v/>
      </c>
      <c r="L155" s="30" t="str">
        <f aca="false">IF($A155="","",IF($Q155="N","",COUNTIFS($A$2:$A155,$A155,$Q$2:$Q155,"&lt;&gt;N")))</f>
        <v/>
      </c>
      <c r="M155" s="30" t="str">
        <f aca="false">IF(OR($A155="",$L155=""),"",IF(AND(config!$B$34="names_if_public",IFERROR(IF(INDEX(offices!$AF$2:$AF$61,MATCH($B155,offices!$A$2:$A$61,0))="","",INDEX(offices!$AF$2:$AF$61,MATCH($B155,offices!$A$2:$A$61,0))),"")="Y"),$K155,CHAR(64+$L155)))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C$2:$AC$61,MATCH($B155,offices!$A$2:$A$61,0))="","",INDEX(offices!$AC$2:$AC$61,MATCH($B155,offices!$A$2:$A$61,0))),"")&lt;&gt;"",ISNUMBER(SEARCH($J155,IFERROR(IF(INDEX(offices!$AC$2:$AC$61,MATCH($B155,offices!$A$2:$A$61,0))="","",INDEX(offices!$AC$2:$AC$61,MATCH($B155,offices!$A$2:$A$61,0))),"")))),"BRAND VETOED; ","")&amp;IF(ISNUMBER(SEARCH(IFERROR(IF(INDEX(campaigns!$BF$2:$BF$51,MATCH($A155,campaigns!$A$2:$A$51,0))="","",INDEX(campaigns!$BF$2:$BF$51,MATCH($A155,campaigns!$A$2:$A$51,0))),""),IFERROR(IF(INDEX(offices!$AB$2:$AB$61,MATCH($B155,offices!$A$2:$A$61,0))="","",INDEX(offices!$AB$2:$AB$61,MATCH($B155,offices!$A$2:$A$61,0))),""))),"","info: category not on the office's list; ")&amp;IF(IFERROR(IF(INDEX(offices!$AC$2:$AC$61,MATCH($B155,offices!$A$2:$A$61,0))="","",INDEX(offices!$AC$2:$AC$61,MATCH($B155,offices!$A$2:$A$61,0))),"")&lt;&gt;"","info: read the vetoes against the label; ",""))</f>
        <v/>
      </c>
      <c r="S155" s="30" t="str">
        <f aca="false">IF($A155="","",IF($G155&lt;&gt;"",$G155,IFERROR(IF(INDEX(offices!$AL$2:$AL$61,MATCH($B155,offices!$A$2:$A$61,0))="","",INDEX(offices!$AL$2:$AL$61,MATCH($B155,offices!$A$2:$A$61,0))),"")))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IF($B156="","",IFERROR(IF(INDEX(offices!$N$2:$N$61,MATCH($B156,offices!$A$2:$A$61,0))="","",INDEX(offices!$N$2:$N$61,MATCH($B156,offices!$A$2:$A$61,0))),""))</f>
        <v/>
      </c>
      <c r="L156" s="30" t="str">
        <f aca="false">IF($A156="","",IF($Q156="N","",COUNTIFS($A$2:$A156,$A156,$Q$2:$Q156,"&lt;&gt;N")))</f>
        <v/>
      </c>
      <c r="M156" s="30" t="str">
        <f aca="false">IF(OR($A156="",$L156=""),"",IF(AND(config!$B$34="names_if_public",IFERROR(IF(INDEX(offices!$AF$2:$AF$61,MATCH($B156,offices!$A$2:$A$61,0))="","",INDEX(offices!$AF$2:$AF$61,MATCH($B156,offices!$A$2:$A$61,0))),"")="Y"),$K156,CHAR(64+$L156)))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C$2:$AC$61,MATCH($B156,offices!$A$2:$A$61,0))="","",INDEX(offices!$AC$2:$AC$61,MATCH($B156,offices!$A$2:$A$61,0))),"")&lt;&gt;"",ISNUMBER(SEARCH($J156,IFERROR(IF(INDEX(offices!$AC$2:$AC$61,MATCH($B156,offices!$A$2:$A$61,0))="","",INDEX(offices!$AC$2:$AC$61,MATCH($B156,offices!$A$2:$A$61,0))),"")))),"BRAND VETOED; ","")&amp;IF(ISNUMBER(SEARCH(IFERROR(IF(INDEX(campaigns!$BF$2:$BF$51,MATCH($A156,campaigns!$A$2:$A$51,0))="","",INDEX(campaigns!$BF$2:$BF$51,MATCH($A156,campaigns!$A$2:$A$51,0))),""),IFERROR(IF(INDEX(offices!$AB$2:$AB$61,MATCH($B156,offices!$A$2:$A$61,0))="","",INDEX(offices!$AB$2:$AB$61,MATCH($B156,offices!$A$2:$A$61,0))),""))),"","info: category not on the office's list; ")&amp;IF(IFERROR(IF(INDEX(offices!$AC$2:$AC$61,MATCH($B156,offices!$A$2:$A$61,0))="","",INDEX(offices!$AC$2:$AC$61,MATCH($B156,offices!$A$2:$A$61,0))),"")&lt;&gt;"","info: read the vetoes against the label; ",""))</f>
        <v/>
      </c>
      <c r="S156" s="30" t="str">
        <f aca="false">IF($A156="","",IF($G156&lt;&gt;"",$G156,IFERROR(IF(INDEX(offices!$AL$2:$AL$61,MATCH($B156,offices!$A$2:$A$61,0))="","",INDEX(offices!$AL$2:$AL$61,MATCH($B156,offices!$A$2:$A$61,0))),"")))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IF($B157="","",IFERROR(IF(INDEX(offices!$N$2:$N$61,MATCH($B157,offices!$A$2:$A$61,0))="","",INDEX(offices!$N$2:$N$61,MATCH($B157,offices!$A$2:$A$61,0))),""))</f>
        <v/>
      </c>
      <c r="L157" s="30" t="str">
        <f aca="false">IF($A157="","",IF($Q157="N","",COUNTIFS($A$2:$A157,$A157,$Q$2:$Q157,"&lt;&gt;N")))</f>
        <v/>
      </c>
      <c r="M157" s="30" t="str">
        <f aca="false">IF(OR($A157="",$L157=""),"",IF(AND(config!$B$34="names_if_public",IFERROR(IF(INDEX(offices!$AF$2:$AF$61,MATCH($B157,offices!$A$2:$A$61,0))="","",INDEX(offices!$AF$2:$AF$61,MATCH($B157,offices!$A$2:$A$61,0))),"")="Y"),$K157,CHAR(64+$L157)))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C$2:$AC$61,MATCH($B157,offices!$A$2:$A$61,0))="","",INDEX(offices!$AC$2:$AC$61,MATCH($B157,offices!$A$2:$A$61,0))),"")&lt;&gt;"",ISNUMBER(SEARCH($J157,IFERROR(IF(INDEX(offices!$AC$2:$AC$61,MATCH($B157,offices!$A$2:$A$61,0))="","",INDEX(offices!$AC$2:$AC$61,MATCH($B157,offices!$A$2:$A$61,0))),"")))),"BRAND VETOED; ","")&amp;IF(ISNUMBER(SEARCH(IFERROR(IF(INDEX(campaigns!$BF$2:$BF$51,MATCH($A157,campaigns!$A$2:$A$51,0))="","",INDEX(campaigns!$BF$2:$BF$51,MATCH($A157,campaigns!$A$2:$A$51,0))),""),IFERROR(IF(INDEX(offices!$AB$2:$AB$61,MATCH($B157,offices!$A$2:$A$61,0))="","",INDEX(offices!$AB$2:$AB$61,MATCH($B157,offices!$A$2:$A$61,0))),""))),"","info: category not on the office's list; ")&amp;IF(IFERROR(IF(INDEX(offices!$AC$2:$AC$61,MATCH($B157,offices!$A$2:$A$61,0))="","",INDEX(offices!$AC$2:$AC$61,MATCH($B157,offices!$A$2:$A$61,0))),"")&lt;&gt;"","info: read the vetoes against the label; ",""))</f>
        <v/>
      </c>
      <c r="S157" s="30" t="str">
        <f aca="false">IF($A157="","",IF($G157&lt;&gt;"",$G157,IFERROR(IF(INDEX(offices!$AL$2:$AL$61,MATCH($B157,offices!$A$2:$A$61,0))="","",INDEX(offices!$AL$2:$AL$61,MATCH($B157,offices!$A$2:$A$61,0))),"")))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IF($B158="","",IFERROR(IF(INDEX(offices!$N$2:$N$61,MATCH($B158,offices!$A$2:$A$61,0))="","",INDEX(offices!$N$2:$N$61,MATCH($B158,offices!$A$2:$A$61,0))),""))</f>
        <v/>
      </c>
      <c r="L158" s="30" t="str">
        <f aca="false">IF($A158="","",IF($Q158="N","",COUNTIFS($A$2:$A158,$A158,$Q$2:$Q158,"&lt;&gt;N")))</f>
        <v/>
      </c>
      <c r="M158" s="30" t="str">
        <f aca="false">IF(OR($A158="",$L158=""),"",IF(AND(config!$B$34="names_if_public",IFERROR(IF(INDEX(offices!$AF$2:$AF$61,MATCH($B158,offices!$A$2:$A$61,0))="","",INDEX(offices!$AF$2:$AF$61,MATCH($B158,offices!$A$2:$A$61,0))),"")="Y"),$K158,CHAR(64+$L158)))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C$2:$AC$61,MATCH($B158,offices!$A$2:$A$61,0))="","",INDEX(offices!$AC$2:$AC$61,MATCH($B158,offices!$A$2:$A$61,0))),"")&lt;&gt;"",ISNUMBER(SEARCH($J158,IFERROR(IF(INDEX(offices!$AC$2:$AC$61,MATCH($B158,offices!$A$2:$A$61,0))="","",INDEX(offices!$AC$2:$AC$61,MATCH($B158,offices!$A$2:$A$61,0))),"")))),"BRAND VETOED; ","")&amp;IF(ISNUMBER(SEARCH(IFERROR(IF(INDEX(campaigns!$BF$2:$BF$51,MATCH($A158,campaigns!$A$2:$A$51,0))="","",INDEX(campaigns!$BF$2:$BF$51,MATCH($A158,campaigns!$A$2:$A$51,0))),""),IFERROR(IF(INDEX(offices!$AB$2:$AB$61,MATCH($B158,offices!$A$2:$A$61,0))="","",INDEX(offices!$AB$2:$AB$61,MATCH($B158,offices!$A$2:$A$61,0))),""))),"","info: category not on the office's list; ")&amp;IF(IFERROR(IF(INDEX(offices!$AC$2:$AC$61,MATCH($B158,offices!$A$2:$A$61,0))="","",INDEX(offices!$AC$2:$AC$61,MATCH($B158,offices!$A$2:$A$61,0))),"")&lt;&gt;"","info: read the vetoes against the label; ",""))</f>
        <v/>
      </c>
      <c r="S158" s="30" t="str">
        <f aca="false">IF($A158="","",IF($G158&lt;&gt;"",$G158,IFERROR(IF(INDEX(offices!$AL$2:$AL$61,MATCH($B158,offices!$A$2:$A$61,0))="","",INDEX(offices!$AL$2:$AL$61,MATCH($B158,offices!$A$2:$A$61,0))),"")))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IF($B159="","",IFERROR(IF(INDEX(offices!$N$2:$N$61,MATCH($B159,offices!$A$2:$A$61,0))="","",INDEX(offices!$N$2:$N$61,MATCH($B159,offices!$A$2:$A$61,0))),""))</f>
        <v/>
      </c>
      <c r="L159" s="30" t="str">
        <f aca="false">IF($A159="","",IF($Q159="N","",COUNTIFS($A$2:$A159,$A159,$Q$2:$Q159,"&lt;&gt;N")))</f>
        <v/>
      </c>
      <c r="M159" s="30" t="str">
        <f aca="false">IF(OR($A159="",$L159=""),"",IF(AND(config!$B$34="names_if_public",IFERROR(IF(INDEX(offices!$AF$2:$AF$61,MATCH($B159,offices!$A$2:$A$61,0))="","",INDEX(offices!$AF$2:$AF$61,MATCH($B159,offices!$A$2:$A$61,0))),"")="Y"),$K159,CHAR(64+$L159)))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C$2:$AC$61,MATCH($B159,offices!$A$2:$A$61,0))="","",INDEX(offices!$AC$2:$AC$61,MATCH($B159,offices!$A$2:$A$61,0))),"")&lt;&gt;"",ISNUMBER(SEARCH($J159,IFERROR(IF(INDEX(offices!$AC$2:$AC$61,MATCH($B159,offices!$A$2:$A$61,0))="","",INDEX(offices!$AC$2:$AC$61,MATCH($B159,offices!$A$2:$A$61,0))),"")))),"BRAND VETOED; ","")&amp;IF(ISNUMBER(SEARCH(IFERROR(IF(INDEX(campaigns!$BF$2:$BF$51,MATCH($A159,campaigns!$A$2:$A$51,0))="","",INDEX(campaigns!$BF$2:$BF$51,MATCH($A159,campaigns!$A$2:$A$51,0))),""),IFERROR(IF(INDEX(offices!$AB$2:$AB$61,MATCH($B159,offices!$A$2:$A$61,0))="","",INDEX(offices!$AB$2:$AB$61,MATCH($B159,offices!$A$2:$A$61,0))),""))),"","info: category not on the office's list; ")&amp;IF(IFERROR(IF(INDEX(offices!$AC$2:$AC$61,MATCH($B159,offices!$A$2:$A$61,0))="","",INDEX(offices!$AC$2:$AC$61,MATCH($B159,offices!$A$2:$A$61,0))),"")&lt;&gt;"","info: read the vetoes against the label; ",""))</f>
        <v/>
      </c>
      <c r="S159" s="30" t="str">
        <f aca="false">IF($A159="","",IF($G159&lt;&gt;"",$G159,IFERROR(IF(INDEX(offices!$AL$2:$AL$61,MATCH($B159,offices!$A$2:$A$61,0))="","",INDEX(offices!$AL$2:$AL$61,MATCH($B159,offices!$A$2:$A$61,0))),"")))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IF($B160="","",IFERROR(IF(INDEX(offices!$N$2:$N$61,MATCH($B160,offices!$A$2:$A$61,0))="","",INDEX(offices!$N$2:$N$61,MATCH($B160,offices!$A$2:$A$61,0))),""))</f>
        <v/>
      </c>
      <c r="L160" s="30" t="str">
        <f aca="false">IF($A160="","",IF($Q160="N","",COUNTIFS($A$2:$A160,$A160,$Q$2:$Q160,"&lt;&gt;N")))</f>
        <v/>
      </c>
      <c r="M160" s="30" t="str">
        <f aca="false">IF(OR($A160="",$L160=""),"",IF(AND(config!$B$34="names_if_public",IFERROR(IF(INDEX(offices!$AF$2:$AF$61,MATCH($B160,offices!$A$2:$A$61,0))="","",INDEX(offices!$AF$2:$AF$61,MATCH($B160,offices!$A$2:$A$61,0))),"")="Y"),$K160,CHAR(64+$L160)))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C$2:$AC$61,MATCH($B160,offices!$A$2:$A$61,0))="","",INDEX(offices!$AC$2:$AC$61,MATCH($B160,offices!$A$2:$A$61,0))),"")&lt;&gt;"",ISNUMBER(SEARCH($J160,IFERROR(IF(INDEX(offices!$AC$2:$AC$61,MATCH($B160,offices!$A$2:$A$61,0))="","",INDEX(offices!$AC$2:$AC$61,MATCH($B160,offices!$A$2:$A$61,0))),"")))),"BRAND VETOED; ","")&amp;IF(ISNUMBER(SEARCH(IFERROR(IF(INDEX(campaigns!$BF$2:$BF$51,MATCH($A160,campaigns!$A$2:$A$51,0))="","",INDEX(campaigns!$BF$2:$BF$51,MATCH($A160,campaigns!$A$2:$A$51,0))),""),IFERROR(IF(INDEX(offices!$AB$2:$AB$61,MATCH($B160,offices!$A$2:$A$61,0))="","",INDEX(offices!$AB$2:$AB$61,MATCH($B160,offices!$A$2:$A$61,0))),""))),"","info: category not on the office's list; ")&amp;IF(IFERROR(IF(INDEX(offices!$AC$2:$AC$61,MATCH($B160,offices!$A$2:$A$61,0))="","",INDEX(offices!$AC$2:$AC$61,MATCH($B160,offices!$A$2:$A$61,0))),"")&lt;&gt;"","info: read the vetoes against the label; ",""))</f>
        <v/>
      </c>
      <c r="S160" s="30" t="str">
        <f aca="false">IF($A160="","",IF($G160&lt;&gt;"",$G160,IFERROR(IF(INDEX(offices!$AL$2:$AL$61,MATCH($B160,offices!$A$2:$A$61,0))="","",INDEX(offices!$AL$2:$AL$61,MATCH($B160,offices!$A$2:$A$61,0))),"")))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IF($B161="","",IFERROR(IF(INDEX(offices!$N$2:$N$61,MATCH($B161,offices!$A$2:$A$61,0))="","",INDEX(offices!$N$2:$N$61,MATCH($B161,offices!$A$2:$A$61,0))),""))</f>
        <v/>
      </c>
      <c r="L161" s="30" t="str">
        <f aca="false">IF($A161="","",IF($Q161="N","",COUNTIFS($A$2:$A161,$A161,$Q$2:$Q161,"&lt;&gt;N")))</f>
        <v/>
      </c>
      <c r="M161" s="30" t="str">
        <f aca="false">IF(OR($A161="",$L161=""),"",IF(AND(config!$B$34="names_if_public",IFERROR(IF(INDEX(offices!$AF$2:$AF$61,MATCH($B161,offices!$A$2:$A$61,0))="","",INDEX(offices!$AF$2:$AF$61,MATCH($B161,offices!$A$2:$A$61,0))),"")="Y"),$K161,CHAR(64+$L161)))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C$2:$AC$61,MATCH($B161,offices!$A$2:$A$61,0))="","",INDEX(offices!$AC$2:$AC$61,MATCH($B161,offices!$A$2:$A$61,0))),"")&lt;&gt;"",ISNUMBER(SEARCH($J161,IFERROR(IF(INDEX(offices!$AC$2:$AC$61,MATCH($B161,offices!$A$2:$A$61,0))="","",INDEX(offices!$AC$2:$AC$61,MATCH($B161,offices!$A$2:$A$61,0))),"")))),"BRAND VETOED; ","")&amp;IF(ISNUMBER(SEARCH(IFERROR(IF(INDEX(campaigns!$BF$2:$BF$51,MATCH($A161,campaigns!$A$2:$A$51,0))="","",INDEX(campaigns!$BF$2:$BF$51,MATCH($A161,campaigns!$A$2:$A$51,0))),""),IFERROR(IF(INDEX(offices!$AB$2:$AB$61,MATCH($B161,offices!$A$2:$A$61,0))="","",INDEX(offices!$AB$2:$AB$61,MATCH($B161,offices!$A$2:$A$61,0))),""))),"","info: category not on the office's list; ")&amp;IF(IFERROR(IF(INDEX(offices!$AC$2:$AC$61,MATCH($B161,offices!$A$2:$A$61,0))="","",INDEX(offices!$AC$2:$AC$61,MATCH($B161,offices!$A$2:$A$61,0))),"")&lt;&gt;"","info: read the vetoes against the label; ",""))</f>
        <v/>
      </c>
      <c r="S161" s="30" t="str">
        <f aca="false">IF($A161="","",IF($G161&lt;&gt;"",$G161,IFERROR(IF(INDEX(offices!$AL$2:$AL$61,MATCH($B161,offices!$A$2:$A$61,0))="","",INDEX(offices!$AL$2:$AL$61,MATCH($B161,offices!$A$2:$A$61,0))),"")))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IF($B162="","",IFERROR(IF(INDEX(offices!$N$2:$N$61,MATCH($B162,offices!$A$2:$A$61,0))="","",INDEX(offices!$N$2:$N$61,MATCH($B162,offices!$A$2:$A$61,0))),""))</f>
        <v/>
      </c>
      <c r="L162" s="30" t="str">
        <f aca="false">IF($A162="","",IF($Q162="N","",COUNTIFS($A$2:$A162,$A162,$Q$2:$Q162,"&lt;&gt;N")))</f>
        <v/>
      </c>
      <c r="M162" s="30" t="str">
        <f aca="false">IF(OR($A162="",$L162=""),"",IF(AND(config!$B$34="names_if_public",IFERROR(IF(INDEX(offices!$AF$2:$AF$61,MATCH($B162,offices!$A$2:$A$61,0))="","",INDEX(offices!$AF$2:$AF$61,MATCH($B162,offices!$A$2:$A$61,0))),"")="Y"),$K162,CHAR(64+$L162)))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C$2:$AC$61,MATCH($B162,offices!$A$2:$A$61,0))="","",INDEX(offices!$AC$2:$AC$61,MATCH($B162,offices!$A$2:$A$61,0))),"")&lt;&gt;"",ISNUMBER(SEARCH($J162,IFERROR(IF(INDEX(offices!$AC$2:$AC$61,MATCH($B162,offices!$A$2:$A$61,0))="","",INDEX(offices!$AC$2:$AC$61,MATCH($B162,offices!$A$2:$A$61,0))),"")))),"BRAND VETOED; ","")&amp;IF(ISNUMBER(SEARCH(IFERROR(IF(INDEX(campaigns!$BF$2:$BF$51,MATCH($A162,campaigns!$A$2:$A$51,0))="","",INDEX(campaigns!$BF$2:$BF$51,MATCH($A162,campaigns!$A$2:$A$51,0))),""),IFERROR(IF(INDEX(offices!$AB$2:$AB$61,MATCH($B162,offices!$A$2:$A$61,0))="","",INDEX(offices!$AB$2:$AB$61,MATCH($B162,offices!$A$2:$A$61,0))),""))),"","info: category not on the office's list; ")&amp;IF(IFERROR(IF(INDEX(offices!$AC$2:$AC$61,MATCH($B162,offices!$A$2:$A$61,0))="","",INDEX(offices!$AC$2:$AC$61,MATCH($B162,offices!$A$2:$A$61,0))),"")&lt;&gt;"","info: read the vetoes against the label; ",""))</f>
        <v/>
      </c>
      <c r="S162" s="30" t="str">
        <f aca="false">IF($A162="","",IF($G162&lt;&gt;"",$G162,IFERROR(IF(INDEX(offices!$AL$2:$AL$61,MATCH($B162,offices!$A$2:$A$61,0))="","",INDEX(offices!$AL$2:$AL$61,MATCH($B162,offices!$A$2:$A$61,0))),"")))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IF($B163="","",IFERROR(IF(INDEX(offices!$N$2:$N$61,MATCH($B163,offices!$A$2:$A$61,0))="","",INDEX(offices!$N$2:$N$61,MATCH($B163,offices!$A$2:$A$61,0))),""))</f>
        <v/>
      </c>
      <c r="L163" s="30" t="str">
        <f aca="false">IF($A163="","",IF($Q163="N","",COUNTIFS($A$2:$A163,$A163,$Q$2:$Q163,"&lt;&gt;N")))</f>
        <v/>
      </c>
      <c r="M163" s="30" t="str">
        <f aca="false">IF(OR($A163="",$L163=""),"",IF(AND(config!$B$34="names_if_public",IFERROR(IF(INDEX(offices!$AF$2:$AF$61,MATCH($B163,offices!$A$2:$A$61,0))="","",INDEX(offices!$AF$2:$AF$61,MATCH($B163,offices!$A$2:$A$61,0))),"")="Y"),$K163,CHAR(64+$L163)))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C$2:$AC$61,MATCH($B163,offices!$A$2:$A$61,0))="","",INDEX(offices!$AC$2:$AC$61,MATCH($B163,offices!$A$2:$A$61,0))),"")&lt;&gt;"",ISNUMBER(SEARCH($J163,IFERROR(IF(INDEX(offices!$AC$2:$AC$61,MATCH($B163,offices!$A$2:$A$61,0))="","",INDEX(offices!$AC$2:$AC$61,MATCH($B163,offices!$A$2:$A$61,0))),"")))),"BRAND VETOED; ","")&amp;IF(ISNUMBER(SEARCH(IFERROR(IF(INDEX(campaigns!$BF$2:$BF$51,MATCH($A163,campaigns!$A$2:$A$51,0))="","",INDEX(campaigns!$BF$2:$BF$51,MATCH($A163,campaigns!$A$2:$A$51,0))),""),IFERROR(IF(INDEX(offices!$AB$2:$AB$61,MATCH($B163,offices!$A$2:$A$61,0))="","",INDEX(offices!$AB$2:$AB$61,MATCH($B163,offices!$A$2:$A$61,0))),""))),"","info: category not on the office's list; ")&amp;IF(IFERROR(IF(INDEX(offices!$AC$2:$AC$61,MATCH($B163,offices!$A$2:$A$61,0))="","",INDEX(offices!$AC$2:$AC$61,MATCH($B163,offices!$A$2:$A$61,0))),"")&lt;&gt;"","info: read the vetoes against the label; ",""))</f>
        <v/>
      </c>
      <c r="S163" s="30" t="str">
        <f aca="false">IF($A163="","",IF($G163&lt;&gt;"",$G163,IFERROR(IF(INDEX(offices!$AL$2:$AL$61,MATCH($B163,offices!$A$2:$A$61,0))="","",INDEX(offices!$AL$2:$AL$61,MATCH($B163,offices!$A$2:$A$61,0))),"")))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IF($B164="","",IFERROR(IF(INDEX(offices!$N$2:$N$61,MATCH($B164,offices!$A$2:$A$61,0))="","",INDEX(offices!$N$2:$N$61,MATCH($B164,offices!$A$2:$A$61,0))),""))</f>
        <v/>
      </c>
      <c r="L164" s="30" t="str">
        <f aca="false">IF($A164="","",IF($Q164="N","",COUNTIFS($A$2:$A164,$A164,$Q$2:$Q164,"&lt;&gt;N")))</f>
        <v/>
      </c>
      <c r="M164" s="30" t="str">
        <f aca="false">IF(OR($A164="",$L164=""),"",IF(AND(config!$B$34="names_if_public",IFERROR(IF(INDEX(offices!$AF$2:$AF$61,MATCH($B164,offices!$A$2:$A$61,0))="","",INDEX(offices!$AF$2:$AF$61,MATCH($B164,offices!$A$2:$A$61,0))),"")="Y"),$K164,CHAR(64+$L164)))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C$2:$AC$61,MATCH($B164,offices!$A$2:$A$61,0))="","",INDEX(offices!$AC$2:$AC$61,MATCH($B164,offices!$A$2:$A$61,0))),"")&lt;&gt;"",ISNUMBER(SEARCH($J164,IFERROR(IF(INDEX(offices!$AC$2:$AC$61,MATCH($B164,offices!$A$2:$A$61,0))="","",INDEX(offices!$AC$2:$AC$61,MATCH($B164,offices!$A$2:$A$61,0))),"")))),"BRAND VETOED; ","")&amp;IF(ISNUMBER(SEARCH(IFERROR(IF(INDEX(campaigns!$BF$2:$BF$51,MATCH($A164,campaigns!$A$2:$A$51,0))="","",INDEX(campaigns!$BF$2:$BF$51,MATCH($A164,campaigns!$A$2:$A$51,0))),""),IFERROR(IF(INDEX(offices!$AB$2:$AB$61,MATCH($B164,offices!$A$2:$A$61,0))="","",INDEX(offices!$AB$2:$AB$61,MATCH($B164,offices!$A$2:$A$61,0))),""))),"","info: category not on the office's list; ")&amp;IF(IFERROR(IF(INDEX(offices!$AC$2:$AC$61,MATCH($B164,offices!$A$2:$A$61,0))="","",INDEX(offices!$AC$2:$AC$61,MATCH($B164,offices!$A$2:$A$61,0))),"")&lt;&gt;"","info: read the vetoes against the label; ",""))</f>
        <v/>
      </c>
      <c r="S164" s="30" t="str">
        <f aca="false">IF($A164="","",IF($G164&lt;&gt;"",$G164,IFERROR(IF(INDEX(offices!$AL$2:$AL$61,MATCH($B164,offices!$A$2:$A$61,0))="","",INDEX(offices!$AL$2:$AL$61,MATCH($B164,offices!$A$2:$A$61,0))),"")))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IF($B165="","",IFERROR(IF(INDEX(offices!$N$2:$N$61,MATCH($B165,offices!$A$2:$A$61,0))="","",INDEX(offices!$N$2:$N$61,MATCH($B165,offices!$A$2:$A$61,0))),""))</f>
        <v/>
      </c>
      <c r="L165" s="30" t="str">
        <f aca="false">IF($A165="","",IF($Q165="N","",COUNTIFS($A$2:$A165,$A165,$Q$2:$Q165,"&lt;&gt;N")))</f>
        <v/>
      </c>
      <c r="M165" s="30" t="str">
        <f aca="false">IF(OR($A165="",$L165=""),"",IF(AND(config!$B$34="names_if_public",IFERROR(IF(INDEX(offices!$AF$2:$AF$61,MATCH($B165,offices!$A$2:$A$61,0))="","",INDEX(offices!$AF$2:$AF$61,MATCH($B165,offices!$A$2:$A$61,0))),"")="Y"),$K165,CHAR(64+$L165)))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C$2:$AC$61,MATCH($B165,offices!$A$2:$A$61,0))="","",INDEX(offices!$AC$2:$AC$61,MATCH($B165,offices!$A$2:$A$61,0))),"")&lt;&gt;"",ISNUMBER(SEARCH($J165,IFERROR(IF(INDEX(offices!$AC$2:$AC$61,MATCH($B165,offices!$A$2:$A$61,0))="","",INDEX(offices!$AC$2:$AC$61,MATCH($B165,offices!$A$2:$A$61,0))),"")))),"BRAND VETOED; ","")&amp;IF(ISNUMBER(SEARCH(IFERROR(IF(INDEX(campaigns!$BF$2:$BF$51,MATCH($A165,campaigns!$A$2:$A$51,0))="","",INDEX(campaigns!$BF$2:$BF$51,MATCH($A165,campaigns!$A$2:$A$51,0))),""),IFERROR(IF(INDEX(offices!$AB$2:$AB$61,MATCH($B165,offices!$A$2:$A$61,0))="","",INDEX(offices!$AB$2:$AB$61,MATCH($B165,offices!$A$2:$A$61,0))),""))),"","info: category not on the office's list; ")&amp;IF(IFERROR(IF(INDEX(offices!$AC$2:$AC$61,MATCH($B165,offices!$A$2:$A$61,0))="","",INDEX(offices!$AC$2:$AC$61,MATCH($B165,offices!$A$2:$A$61,0))),"")&lt;&gt;"","info: read the vetoes against the label; ",""))</f>
        <v/>
      </c>
      <c r="S165" s="30" t="str">
        <f aca="false">IF($A165="","",IF($G165&lt;&gt;"",$G165,IFERROR(IF(INDEX(offices!$AL$2:$AL$61,MATCH($B165,offices!$A$2:$A$61,0))="","",INDEX(offices!$AL$2:$AL$61,MATCH($B165,offices!$A$2:$A$61,0))),"")))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IF($B166="","",IFERROR(IF(INDEX(offices!$N$2:$N$61,MATCH($B166,offices!$A$2:$A$61,0))="","",INDEX(offices!$N$2:$N$61,MATCH($B166,offices!$A$2:$A$61,0))),""))</f>
        <v/>
      </c>
      <c r="L166" s="30" t="str">
        <f aca="false">IF($A166="","",IF($Q166="N","",COUNTIFS($A$2:$A166,$A166,$Q$2:$Q166,"&lt;&gt;N")))</f>
        <v/>
      </c>
      <c r="M166" s="30" t="str">
        <f aca="false">IF(OR($A166="",$L166=""),"",IF(AND(config!$B$34="names_if_public",IFERROR(IF(INDEX(offices!$AF$2:$AF$61,MATCH($B166,offices!$A$2:$A$61,0))="","",INDEX(offices!$AF$2:$AF$61,MATCH($B166,offices!$A$2:$A$61,0))),"")="Y"),$K166,CHAR(64+$L166)))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C$2:$AC$61,MATCH($B166,offices!$A$2:$A$61,0))="","",INDEX(offices!$AC$2:$AC$61,MATCH($B166,offices!$A$2:$A$61,0))),"")&lt;&gt;"",ISNUMBER(SEARCH($J166,IFERROR(IF(INDEX(offices!$AC$2:$AC$61,MATCH($B166,offices!$A$2:$A$61,0))="","",INDEX(offices!$AC$2:$AC$61,MATCH($B166,offices!$A$2:$A$61,0))),"")))),"BRAND VETOED; ","")&amp;IF(ISNUMBER(SEARCH(IFERROR(IF(INDEX(campaigns!$BF$2:$BF$51,MATCH($A166,campaigns!$A$2:$A$51,0))="","",INDEX(campaigns!$BF$2:$BF$51,MATCH($A166,campaigns!$A$2:$A$51,0))),""),IFERROR(IF(INDEX(offices!$AB$2:$AB$61,MATCH($B166,offices!$A$2:$A$61,0))="","",INDEX(offices!$AB$2:$AB$61,MATCH($B166,offices!$A$2:$A$61,0))),""))),"","info: category not on the office's list; ")&amp;IF(IFERROR(IF(INDEX(offices!$AC$2:$AC$61,MATCH($B166,offices!$A$2:$A$61,0))="","",INDEX(offices!$AC$2:$AC$61,MATCH($B166,offices!$A$2:$A$61,0))),"")&lt;&gt;"","info: read the vetoes against the label; ",""))</f>
        <v/>
      </c>
      <c r="S166" s="30" t="str">
        <f aca="false">IF($A166="","",IF($G166&lt;&gt;"",$G166,IFERROR(IF(INDEX(offices!$AL$2:$AL$61,MATCH($B166,offices!$A$2:$A$61,0))="","",INDEX(offices!$AL$2:$AL$61,MATCH($B166,offices!$A$2:$A$61,0))),"")))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IF($B167="","",IFERROR(IF(INDEX(offices!$N$2:$N$61,MATCH($B167,offices!$A$2:$A$61,0))="","",INDEX(offices!$N$2:$N$61,MATCH($B167,offices!$A$2:$A$61,0))),""))</f>
        <v/>
      </c>
      <c r="L167" s="30" t="str">
        <f aca="false">IF($A167="","",IF($Q167="N","",COUNTIFS($A$2:$A167,$A167,$Q$2:$Q167,"&lt;&gt;N")))</f>
        <v/>
      </c>
      <c r="M167" s="30" t="str">
        <f aca="false">IF(OR($A167="",$L167=""),"",IF(AND(config!$B$34="names_if_public",IFERROR(IF(INDEX(offices!$AF$2:$AF$61,MATCH($B167,offices!$A$2:$A$61,0))="","",INDEX(offices!$AF$2:$AF$61,MATCH($B167,offices!$A$2:$A$61,0))),"")="Y"),$K167,CHAR(64+$L167)))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C$2:$AC$61,MATCH($B167,offices!$A$2:$A$61,0))="","",INDEX(offices!$AC$2:$AC$61,MATCH($B167,offices!$A$2:$A$61,0))),"")&lt;&gt;"",ISNUMBER(SEARCH($J167,IFERROR(IF(INDEX(offices!$AC$2:$AC$61,MATCH($B167,offices!$A$2:$A$61,0))="","",INDEX(offices!$AC$2:$AC$61,MATCH($B167,offices!$A$2:$A$61,0))),"")))),"BRAND VETOED; ","")&amp;IF(ISNUMBER(SEARCH(IFERROR(IF(INDEX(campaigns!$BF$2:$BF$51,MATCH($A167,campaigns!$A$2:$A$51,0))="","",INDEX(campaigns!$BF$2:$BF$51,MATCH($A167,campaigns!$A$2:$A$51,0))),""),IFERROR(IF(INDEX(offices!$AB$2:$AB$61,MATCH($B167,offices!$A$2:$A$61,0))="","",INDEX(offices!$AB$2:$AB$61,MATCH($B167,offices!$A$2:$A$61,0))),""))),"","info: category not on the office's list; ")&amp;IF(IFERROR(IF(INDEX(offices!$AC$2:$AC$61,MATCH($B167,offices!$A$2:$A$61,0))="","",INDEX(offices!$AC$2:$AC$61,MATCH($B167,offices!$A$2:$A$61,0))),"")&lt;&gt;"","info: read the vetoes against the label; ",""))</f>
        <v/>
      </c>
      <c r="S167" s="30" t="str">
        <f aca="false">IF($A167="","",IF($G167&lt;&gt;"",$G167,IFERROR(IF(INDEX(offices!$AL$2:$AL$61,MATCH($B167,offices!$A$2:$A$61,0))="","",INDEX(offices!$AL$2:$AL$61,MATCH($B167,offices!$A$2:$A$61,0))),"")))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IF($B168="","",IFERROR(IF(INDEX(offices!$N$2:$N$61,MATCH($B168,offices!$A$2:$A$61,0))="","",INDEX(offices!$N$2:$N$61,MATCH($B168,offices!$A$2:$A$61,0))),""))</f>
        <v/>
      </c>
      <c r="L168" s="30" t="str">
        <f aca="false">IF($A168="","",IF($Q168="N","",COUNTIFS($A$2:$A168,$A168,$Q$2:$Q168,"&lt;&gt;N")))</f>
        <v/>
      </c>
      <c r="M168" s="30" t="str">
        <f aca="false">IF(OR($A168="",$L168=""),"",IF(AND(config!$B$34="names_if_public",IFERROR(IF(INDEX(offices!$AF$2:$AF$61,MATCH($B168,offices!$A$2:$A$61,0))="","",INDEX(offices!$AF$2:$AF$61,MATCH($B168,offices!$A$2:$A$61,0))),"")="Y"),$K168,CHAR(64+$L168)))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C$2:$AC$61,MATCH($B168,offices!$A$2:$A$61,0))="","",INDEX(offices!$AC$2:$AC$61,MATCH($B168,offices!$A$2:$A$61,0))),"")&lt;&gt;"",ISNUMBER(SEARCH($J168,IFERROR(IF(INDEX(offices!$AC$2:$AC$61,MATCH($B168,offices!$A$2:$A$61,0))="","",INDEX(offices!$AC$2:$AC$61,MATCH($B168,offices!$A$2:$A$61,0))),"")))),"BRAND VETOED; ","")&amp;IF(ISNUMBER(SEARCH(IFERROR(IF(INDEX(campaigns!$BF$2:$BF$51,MATCH($A168,campaigns!$A$2:$A$51,0))="","",INDEX(campaigns!$BF$2:$BF$51,MATCH($A168,campaigns!$A$2:$A$51,0))),""),IFERROR(IF(INDEX(offices!$AB$2:$AB$61,MATCH($B168,offices!$A$2:$A$61,0))="","",INDEX(offices!$AB$2:$AB$61,MATCH($B168,offices!$A$2:$A$61,0))),""))),"","info: category not on the office's list; ")&amp;IF(IFERROR(IF(INDEX(offices!$AC$2:$AC$61,MATCH($B168,offices!$A$2:$A$61,0))="","",INDEX(offices!$AC$2:$AC$61,MATCH($B168,offices!$A$2:$A$61,0))),"")&lt;&gt;"","info: read the vetoes against the label; ",""))</f>
        <v/>
      </c>
      <c r="S168" s="30" t="str">
        <f aca="false">IF($A168="","",IF($G168&lt;&gt;"",$G168,IFERROR(IF(INDEX(offices!$AL$2:$AL$61,MATCH($B168,offices!$A$2:$A$61,0))="","",INDEX(offices!$AL$2:$AL$61,MATCH($B168,offices!$A$2:$A$61,0))),"")))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IF($B169="","",IFERROR(IF(INDEX(offices!$N$2:$N$61,MATCH($B169,offices!$A$2:$A$61,0))="","",INDEX(offices!$N$2:$N$61,MATCH($B169,offices!$A$2:$A$61,0))),""))</f>
        <v/>
      </c>
      <c r="L169" s="30" t="str">
        <f aca="false">IF($A169="","",IF($Q169="N","",COUNTIFS($A$2:$A169,$A169,$Q$2:$Q169,"&lt;&gt;N")))</f>
        <v/>
      </c>
      <c r="M169" s="30" t="str">
        <f aca="false">IF(OR($A169="",$L169=""),"",IF(AND(config!$B$34="names_if_public",IFERROR(IF(INDEX(offices!$AF$2:$AF$61,MATCH($B169,offices!$A$2:$A$61,0))="","",INDEX(offices!$AF$2:$AF$61,MATCH($B169,offices!$A$2:$A$61,0))),"")="Y"),$K169,CHAR(64+$L169)))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C$2:$AC$61,MATCH($B169,offices!$A$2:$A$61,0))="","",INDEX(offices!$AC$2:$AC$61,MATCH($B169,offices!$A$2:$A$61,0))),"")&lt;&gt;"",ISNUMBER(SEARCH($J169,IFERROR(IF(INDEX(offices!$AC$2:$AC$61,MATCH($B169,offices!$A$2:$A$61,0))="","",INDEX(offices!$AC$2:$AC$61,MATCH($B169,offices!$A$2:$A$61,0))),"")))),"BRAND VETOED; ","")&amp;IF(ISNUMBER(SEARCH(IFERROR(IF(INDEX(campaigns!$BF$2:$BF$51,MATCH($A169,campaigns!$A$2:$A$51,0))="","",INDEX(campaigns!$BF$2:$BF$51,MATCH($A169,campaigns!$A$2:$A$51,0))),""),IFERROR(IF(INDEX(offices!$AB$2:$AB$61,MATCH($B169,offices!$A$2:$A$61,0))="","",INDEX(offices!$AB$2:$AB$61,MATCH($B169,offices!$A$2:$A$61,0))),""))),"","info: category not on the office's list; ")&amp;IF(IFERROR(IF(INDEX(offices!$AC$2:$AC$61,MATCH($B169,offices!$A$2:$A$61,0))="","",INDEX(offices!$AC$2:$AC$61,MATCH($B169,offices!$A$2:$A$61,0))),"")&lt;&gt;"","info: read the vetoes against the label; ",""))</f>
        <v/>
      </c>
      <c r="S169" s="30" t="str">
        <f aca="false">IF($A169="","",IF($G169&lt;&gt;"",$G169,IFERROR(IF(INDEX(offices!$AL$2:$AL$61,MATCH($B169,offices!$A$2:$A$61,0))="","",INDEX(offices!$AL$2:$AL$61,MATCH($B169,offices!$A$2:$A$61,0))),"")))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IF($B170="","",IFERROR(IF(INDEX(offices!$N$2:$N$61,MATCH($B170,offices!$A$2:$A$61,0))="","",INDEX(offices!$N$2:$N$61,MATCH($B170,offices!$A$2:$A$61,0))),""))</f>
        <v/>
      </c>
      <c r="L170" s="30" t="str">
        <f aca="false">IF($A170="","",IF($Q170="N","",COUNTIFS($A$2:$A170,$A170,$Q$2:$Q170,"&lt;&gt;N")))</f>
        <v/>
      </c>
      <c r="M170" s="30" t="str">
        <f aca="false">IF(OR($A170="",$L170=""),"",IF(AND(config!$B$34="names_if_public",IFERROR(IF(INDEX(offices!$AF$2:$AF$61,MATCH($B170,offices!$A$2:$A$61,0))="","",INDEX(offices!$AF$2:$AF$61,MATCH($B170,offices!$A$2:$A$61,0))),"")="Y"),$K170,CHAR(64+$L170)))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C$2:$AC$61,MATCH($B170,offices!$A$2:$A$61,0))="","",INDEX(offices!$AC$2:$AC$61,MATCH($B170,offices!$A$2:$A$61,0))),"")&lt;&gt;"",ISNUMBER(SEARCH($J170,IFERROR(IF(INDEX(offices!$AC$2:$AC$61,MATCH($B170,offices!$A$2:$A$61,0))="","",INDEX(offices!$AC$2:$AC$61,MATCH($B170,offices!$A$2:$A$61,0))),"")))),"BRAND VETOED; ","")&amp;IF(ISNUMBER(SEARCH(IFERROR(IF(INDEX(campaigns!$BF$2:$BF$51,MATCH($A170,campaigns!$A$2:$A$51,0))="","",INDEX(campaigns!$BF$2:$BF$51,MATCH($A170,campaigns!$A$2:$A$51,0))),""),IFERROR(IF(INDEX(offices!$AB$2:$AB$61,MATCH($B170,offices!$A$2:$A$61,0))="","",INDEX(offices!$AB$2:$AB$61,MATCH($B170,offices!$A$2:$A$61,0))),""))),"","info: category not on the office's list; ")&amp;IF(IFERROR(IF(INDEX(offices!$AC$2:$AC$61,MATCH($B170,offices!$A$2:$A$61,0))="","",INDEX(offices!$AC$2:$AC$61,MATCH($B170,offices!$A$2:$A$61,0))),"")&lt;&gt;"","info: read the vetoes against the label; ",""))</f>
        <v/>
      </c>
      <c r="S170" s="30" t="str">
        <f aca="false">IF($A170="","",IF($G170&lt;&gt;"",$G170,IFERROR(IF(INDEX(offices!$AL$2:$AL$61,MATCH($B170,offices!$A$2:$A$61,0))="","",INDEX(offices!$AL$2:$AL$61,MATCH($B170,offices!$A$2:$A$61,0))),"")))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IF($B171="","",IFERROR(IF(INDEX(offices!$N$2:$N$61,MATCH($B171,offices!$A$2:$A$61,0))="","",INDEX(offices!$N$2:$N$61,MATCH($B171,offices!$A$2:$A$61,0))),""))</f>
        <v/>
      </c>
      <c r="L171" s="30" t="str">
        <f aca="false">IF($A171="","",IF($Q171="N","",COUNTIFS($A$2:$A171,$A171,$Q$2:$Q171,"&lt;&gt;N")))</f>
        <v/>
      </c>
      <c r="M171" s="30" t="str">
        <f aca="false">IF(OR($A171="",$L171=""),"",IF(AND(config!$B$34="names_if_public",IFERROR(IF(INDEX(offices!$AF$2:$AF$61,MATCH($B171,offices!$A$2:$A$61,0))="","",INDEX(offices!$AF$2:$AF$61,MATCH($B171,offices!$A$2:$A$61,0))),"")="Y"),$K171,CHAR(64+$L171)))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C$2:$AC$61,MATCH($B171,offices!$A$2:$A$61,0))="","",INDEX(offices!$AC$2:$AC$61,MATCH($B171,offices!$A$2:$A$61,0))),"")&lt;&gt;"",ISNUMBER(SEARCH($J171,IFERROR(IF(INDEX(offices!$AC$2:$AC$61,MATCH($B171,offices!$A$2:$A$61,0))="","",INDEX(offices!$AC$2:$AC$61,MATCH($B171,offices!$A$2:$A$61,0))),"")))),"BRAND VETOED; ","")&amp;IF(ISNUMBER(SEARCH(IFERROR(IF(INDEX(campaigns!$BF$2:$BF$51,MATCH($A171,campaigns!$A$2:$A$51,0))="","",INDEX(campaigns!$BF$2:$BF$51,MATCH($A171,campaigns!$A$2:$A$51,0))),""),IFERROR(IF(INDEX(offices!$AB$2:$AB$61,MATCH($B171,offices!$A$2:$A$61,0))="","",INDEX(offices!$AB$2:$AB$61,MATCH($B171,offices!$A$2:$A$61,0))),""))),"","info: category not on the office's list; ")&amp;IF(IFERROR(IF(INDEX(offices!$AC$2:$AC$61,MATCH($B171,offices!$A$2:$A$61,0))="","",INDEX(offices!$AC$2:$AC$61,MATCH($B171,offices!$A$2:$A$61,0))),"")&lt;&gt;"","info: read the vetoes against the label; ",""))</f>
        <v/>
      </c>
      <c r="S171" s="30" t="str">
        <f aca="false">IF($A171="","",IF($G171&lt;&gt;"",$G171,IFERROR(IF(INDEX(offices!$AL$2:$AL$61,MATCH($B171,offices!$A$2:$A$61,0))="","",INDEX(offices!$AL$2:$AL$61,MATCH($B171,offices!$A$2:$A$61,0))),"")))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IF($B172="","",IFERROR(IF(INDEX(offices!$N$2:$N$61,MATCH($B172,offices!$A$2:$A$61,0))="","",INDEX(offices!$N$2:$N$61,MATCH($B172,offices!$A$2:$A$61,0))),""))</f>
        <v/>
      </c>
      <c r="L172" s="30" t="str">
        <f aca="false">IF($A172="","",IF($Q172="N","",COUNTIFS($A$2:$A172,$A172,$Q$2:$Q172,"&lt;&gt;N")))</f>
        <v/>
      </c>
      <c r="M172" s="30" t="str">
        <f aca="false">IF(OR($A172="",$L172=""),"",IF(AND(config!$B$34="names_if_public",IFERROR(IF(INDEX(offices!$AF$2:$AF$61,MATCH($B172,offices!$A$2:$A$61,0))="","",INDEX(offices!$AF$2:$AF$61,MATCH($B172,offices!$A$2:$A$61,0))),"")="Y"),$K172,CHAR(64+$L172)))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C$2:$AC$61,MATCH($B172,offices!$A$2:$A$61,0))="","",INDEX(offices!$AC$2:$AC$61,MATCH($B172,offices!$A$2:$A$61,0))),"")&lt;&gt;"",ISNUMBER(SEARCH($J172,IFERROR(IF(INDEX(offices!$AC$2:$AC$61,MATCH($B172,offices!$A$2:$A$61,0))="","",INDEX(offices!$AC$2:$AC$61,MATCH($B172,offices!$A$2:$A$61,0))),"")))),"BRAND VETOED; ","")&amp;IF(ISNUMBER(SEARCH(IFERROR(IF(INDEX(campaigns!$BF$2:$BF$51,MATCH($A172,campaigns!$A$2:$A$51,0))="","",INDEX(campaigns!$BF$2:$BF$51,MATCH($A172,campaigns!$A$2:$A$51,0))),""),IFERROR(IF(INDEX(offices!$AB$2:$AB$61,MATCH($B172,offices!$A$2:$A$61,0))="","",INDEX(offices!$AB$2:$AB$61,MATCH($B172,offices!$A$2:$A$61,0))),""))),"","info: category not on the office's list; ")&amp;IF(IFERROR(IF(INDEX(offices!$AC$2:$AC$61,MATCH($B172,offices!$A$2:$A$61,0))="","",INDEX(offices!$AC$2:$AC$61,MATCH($B172,offices!$A$2:$A$61,0))),"")&lt;&gt;"","info: read the vetoes against the label; ",""))</f>
        <v/>
      </c>
      <c r="S172" s="30" t="str">
        <f aca="false">IF($A172="","",IF($G172&lt;&gt;"",$G172,IFERROR(IF(INDEX(offices!$AL$2:$AL$61,MATCH($B172,offices!$A$2:$A$61,0))="","",INDEX(offices!$AL$2:$AL$61,MATCH($B172,offices!$A$2:$A$61,0))),"")))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IF($B173="","",IFERROR(IF(INDEX(offices!$N$2:$N$61,MATCH($B173,offices!$A$2:$A$61,0))="","",INDEX(offices!$N$2:$N$61,MATCH($B173,offices!$A$2:$A$61,0))),""))</f>
        <v/>
      </c>
      <c r="L173" s="30" t="str">
        <f aca="false">IF($A173="","",IF($Q173="N","",COUNTIFS($A$2:$A173,$A173,$Q$2:$Q173,"&lt;&gt;N")))</f>
        <v/>
      </c>
      <c r="M173" s="30" t="str">
        <f aca="false">IF(OR($A173="",$L173=""),"",IF(AND(config!$B$34="names_if_public",IFERROR(IF(INDEX(offices!$AF$2:$AF$61,MATCH($B173,offices!$A$2:$A$61,0))="","",INDEX(offices!$AF$2:$AF$61,MATCH($B173,offices!$A$2:$A$61,0))),"")="Y"),$K173,CHAR(64+$L173)))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C$2:$AC$61,MATCH($B173,offices!$A$2:$A$61,0))="","",INDEX(offices!$AC$2:$AC$61,MATCH($B173,offices!$A$2:$A$61,0))),"")&lt;&gt;"",ISNUMBER(SEARCH($J173,IFERROR(IF(INDEX(offices!$AC$2:$AC$61,MATCH($B173,offices!$A$2:$A$61,0))="","",INDEX(offices!$AC$2:$AC$61,MATCH($B173,offices!$A$2:$A$61,0))),"")))),"BRAND VETOED; ","")&amp;IF(ISNUMBER(SEARCH(IFERROR(IF(INDEX(campaigns!$BF$2:$BF$51,MATCH($A173,campaigns!$A$2:$A$51,0))="","",INDEX(campaigns!$BF$2:$BF$51,MATCH($A173,campaigns!$A$2:$A$51,0))),""),IFERROR(IF(INDEX(offices!$AB$2:$AB$61,MATCH($B173,offices!$A$2:$A$61,0))="","",INDEX(offices!$AB$2:$AB$61,MATCH($B173,offices!$A$2:$A$61,0))),""))),"","info: category not on the office's list; ")&amp;IF(IFERROR(IF(INDEX(offices!$AC$2:$AC$61,MATCH($B173,offices!$A$2:$A$61,0))="","",INDEX(offices!$AC$2:$AC$61,MATCH($B173,offices!$A$2:$A$61,0))),"")&lt;&gt;"","info: read the vetoes against the label; ",""))</f>
        <v/>
      </c>
      <c r="S173" s="30" t="str">
        <f aca="false">IF($A173="","",IF($G173&lt;&gt;"",$G173,IFERROR(IF(INDEX(offices!$AL$2:$AL$61,MATCH($B173,offices!$A$2:$A$61,0))="","",INDEX(offices!$AL$2:$AL$61,MATCH($B173,offices!$A$2:$A$61,0))),"")))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IF($B174="","",IFERROR(IF(INDEX(offices!$N$2:$N$61,MATCH($B174,offices!$A$2:$A$61,0))="","",INDEX(offices!$N$2:$N$61,MATCH($B174,offices!$A$2:$A$61,0))),""))</f>
        <v/>
      </c>
      <c r="L174" s="30" t="str">
        <f aca="false">IF($A174="","",IF($Q174="N","",COUNTIFS($A$2:$A174,$A174,$Q$2:$Q174,"&lt;&gt;N")))</f>
        <v/>
      </c>
      <c r="M174" s="30" t="str">
        <f aca="false">IF(OR($A174="",$L174=""),"",IF(AND(config!$B$34="names_if_public",IFERROR(IF(INDEX(offices!$AF$2:$AF$61,MATCH($B174,offices!$A$2:$A$61,0))="","",INDEX(offices!$AF$2:$AF$61,MATCH($B174,offices!$A$2:$A$61,0))),"")="Y"),$K174,CHAR(64+$L174)))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C$2:$AC$61,MATCH($B174,offices!$A$2:$A$61,0))="","",INDEX(offices!$AC$2:$AC$61,MATCH($B174,offices!$A$2:$A$61,0))),"")&lt;&gt;"",ISNUMBER(SEARCH($J174,IFERROR(IF(INDEX(offices!$AC$2:$AC$61,MATCH($B174,offices!$A$2:$A$61,0))="","",INDEX(offices!$AC$2:$AC$61,MATCH($B174,offices!$A$2:$A$61,0))),"")))),"BRAND VETOED; ","")&amp;IF(ISNUMBER(SEARCH(IFERROR(IF(INDEX(campaigns!$BF$2:$BF$51,MATCH($A174,campaigns!$A$2:$A$51,0))="","",INDEX(campaigns!$BF$2:$BF$51,MATCH($A174,campaigns!$A$2:$A$51,0))),""),IFERROR(IF(INDEX(offices!$AB$2:$AB$61,MATCH($B174,offices!$A$2:$A$61,0))="","",INDEX(offices!$AB$2:$AB$61,MATCH($B174,offices!$A$2:$A$61,0))),""))),"","info: category not on the office's list; ")&amp;IF(IFERROR(IF(INDEX(offices!$AC$2:$AC$61,MATCH($B174,offices!$A$2:$A$61,0))="","",INDEX(offices!$AC$2:$AC$61,MATCH($B174,offices!$A$2:$A$61,0))),"")&lt;&gt;"","info: read the vetoes against the label; ",""))</f>
        <v/>
      </c>
      <c r="S174" s="30" t="str">
        <f aca="false">IF($A174="","",IF($G174&lt;&gt;"",$G174,IFERROR(IF(INDEX(offices!$AL$2:$AL$61,MATCH($B174,offices!$A$2:$A$61,0))="","",INDEX(offices!$AL$2:$AL$61,MATCH($B174,offices!$A$2:$A$61,0))),"")))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IF($B175="","",IFERROR(IF(INDEX(offices!$N$2:$N$61,MATCH($B175,offices!$A$2:$A$61,0))="","",INDEX(offices!$N$2:$N$61,MATCH($B175,offices!$A$2:$A$61,0))),""))</f>
        <v/>
      </c>
      <c r="L175" s="30" t="str">
        <f aca="false">IF($A175="","",IF($Q175="N","",COUNTIFS($A$2:$A175,$A175,$Q$2:$Q175,"&lt;&gt;N")))</f>
        <v/>
      </c>
      <c r="M175" s="30" t="str">
        <f aca="false">IF(OR($A175="",$L175=""),"",IF(AND(config!$B$34="names_if_public",IFERROR(IF(INDEX(offices!$AF$2:$AF$61,MATCH($B175,offices!$A$2:$A$61,0))="","",INDEX(offices!$AF$2:$AF$61,MATCH($B175,offices!$A$2:$A$61,0))),"")="Y"),$K175,CHAR(64+$L175)))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C$2:$AC$61,MATCH($B175,offices!$A$2:$A$61,0))="","",INDEX(offices!$AC$2:$AC$61,MATCH($B175,offices!$A$2:$A$61,0))),"")&lt;&gt;"",ISNUMBER(SEARCH($J175,IFERROR(IF(INDEX(offices!$AC$2:$AC$61,MATCH($B175,offices!$A$2:$A$61,0))="","",INDEX(offices!$AC$2:$AC$61,MATCH($B175,offices!$A$2:$A$61,0))),"")))),"BRAND VETOED; ","")&amp;IF(ISNUMBER(SEARCH(IFERROR(IF(INDEX(campaigns!$BF$2:$BF$51,MATCH($A175,campaigns!$A$2:$A$51,0))="","",INDEX(campaigns!$BF$2:$BF$51,MATCH($A175,campaigns!$A$2:$A$51,0))),""),IFERROR(IF(INDEX(offices!$AB$2:$AB$61,MATCH($B175,offices!$A$2:$A$61,0))="","",INDEX(offices!$AB$2:$AB$61,MATCH($B175,offices!$A$2:$A$61,0))),""))),"","info: category not on the office's list; ")&amp;IF(IFERROR(IF(INDEX(offices!$AC$2:$AC$61,MATCH($B175,offices!$A$2:$A$61,0))="","",INDEX(offices!$AC$2:$AC$61,MATCH($B175,offices!$A$2:$A$61,0))),"")&lt;&gt;"","info: read the vetoes against the label; ",""))</f>
        <v/>
      </c>
      <c r="S175" s="30" t="str">
        <f aca="false">IF($A175="","",IF($G175&lt;&gt;"",$G175,IFERROR(IF(INDEX(offices!$AL$2:$AL$61,MATCH($B175,offices!$A$2:$A$61,0))="","",INDEX(offices!$AL$2:$AL$61,MATCH($B175,offices!$A$2:$A$61,0))),"")))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IF($B176="","",IFERROR(IF(INDEX(offices!$N$2:$N$61,MATCH($B176,offices!$A$2:$A$61,0))="","",INDEX(offices!$N$2:$N$61,MATCH($B176,offices!$A$2:$A$61,0))),""))</f>
        <v/>
      </c>
      <c r="L176" s="30" t="str">
        <f aca="false">IF($A176="","",IF($Q176="N","",COUNTIFS($A$2:$A176,$A176,$Q$2:$Q176,"&lt;&gt;N")))</f>
        <v/>
      </c>
      <c r="M176" s="30" t="str">
        <f aca="false">IF(OR($A176="",$L176=""),"",IF(AND(config!$B$34="names_if_public",IFERROR(IF(INDEX(offices!$AF$2:$AF$61,MATCH($B176,offices!$A$2:$A$61,0))="","",INDEX(offices!$AF$2:$AF$61,MATCH($B176,offices!$A$2:$A$61,0))),"")="Y"),$K176,CHAR(64+$L176)))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C$2:$AC$61,MATCH($B176,offices!$A$2:$A$61,0))="","",INDEX(offices!$AC$2:$AC$61,MATCH($B176,offices!$A$2:$A$61,0))),"")&lt;&gt;"",ISNUMBER(SEARCH($J176,IFERROR(IF(INDEX(offices!$AC$2:$AC$61,MATCH($B176,offices!$A$2:$A$61,0))="","",INDEX(offices!$AC$2:$AC$61,MATCH($B176,offices!$A$2:$A$61,0))),"")))),"BRAND VETOED; ","")&amp;IF(ISNUMBER(SEARCH(IFERROR(IF(INDEX(campaigns!$BF$2:$BF$51,MATCH($A176,campaigns!$A$2:$A$51,0))="","",INDEX(campaigns!$BF$2:$BF$51,MATCH($A176,campaigns!$A$2:$A$51,0))),""),IFERROR(IF(INDEX(offices!$AB$2:$AB$61,MATCH($B176,offices!$A$2:$A$61,0))="","",INDEX(offices!$AB$2:$AB$61,MATCH($B176,offices!$A$2:$A$61,0))),""))),"","info: category not on the office's list; ")&amp;IF(IFERROR(IF(INDEX(offices!$AC$2:$AC$61,MATCH($B176,offices!$A$2:$A$61,0))="","",INDEX(offices!$AC$2:$AC$61,MATCH($B176,offices!$A$2:$A$61,0))),"")&lt;&gt;"","info: read the vetoes against the label; ",""))</f>
        <v/>
      </c>
      <c r="S176" s="30" t="str">
        <f aca="false">IF($A176="","",IF($G176&lt;&gt;"",$G176,IFERROR(IF(INDEX(offices!$AL$2:$AL$61,MATCH($B176,offices!$A$2:$A$61,0))="","",INDEX(offices!$AL$2:$AL$61,MATCH($B176,offices!$A$2:$A$61,0))),"")))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IF($B177="","",IFERROR(IF(INDEX(offices!$N$2:$N$61,MATCH($B177,offices!$A$2:$A$61,0))="","",INDEX(offices!$N$2:$N$61,MATCH($B177,offices!$A$2:$A$61,0))),""))</f>
        <v/>
      </c>
      <c r="L177" s="30" t="str">
        <f aca="false">IF($A177="","",IF($Q177="N","",COUNTIFS($A$2:$A177,$A177,$Q$2:$Q177,"&lt;&gt;N")))</f>
        <v/>
      </c>
      <c r="M177" s="30" t="str">
        <f aca="false">IF(OR($A177="",$L177=""),"",IF(AND(config!$B$34="names_if_public",IFERROR(IF(INDEX(offices!$AF$2:$AF$61,MATCH($B177,offices!$A$2:$A$61,0))="","",INDEX(offices!$AF$2:$AF$61,MATCH($B177,offices!$A$2:$A$61,0))),"")="Y"),$K177,CHAR(64+$L177)))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C$2:$AC$61,MATCH($B177,offices!$A$2:$A$61,0))="","",INDEX(offices!$AC$2:$AC$61,MATCH($B177,offices!$A$2:$A$61,0))),"")&lt;&gt;"",ISNUMBER(SEARCH($J177,IFERROR(IF(INDEX(offices!$AC$2:$AC$61,MATCH($B177,offices!$A$2:$A$61,0))="","",INDEX(offices!$AC$2:$AC$61,MATCH($B177,offices!$A$2:$A$61,0))),"")))),"BRAND VETOED; ","")&amp;IF(ISNUMBER(SEARCH(IFERROR(IF(INDEX(campaigns!$BF$2:$BF$51,MATCH($A177,campaigns!$A$2:$A$51,0))="","",INDEX(campaigns!$BF$2:$BF$51,MATCH($A177,campaigns!$A$2:$A$51,0))),""),IFERROR(IF(INDEX(offices!$AB$2:$AB$61,MATCH($B177,offices!$A$2:$A$61,0))="","",INDEX(offices!$AB$2:$AB$61,MATCH($B177,offices!$A$2:$A$61,0))),""))),"","info: category not on the office's list; ")&amp;IF(IFERROR(IF(INDEX(offices!$AC$2:$AC$61,MATCH($B177,offices!$A$2:$A$61,0))="","",INDEX(offices!$AC$2:$AC$61,MATCH($B177,offices!$A$2:$A$61,0))),"")&lt;&gt;"","info: read the vetoes against the label; ",""))</f>
        <v/>
      </c>
      <c r="S177" s="30" t="str">
        <f aca="false">IF($A177="","",IF($G177&lt;&gt;"",$G177,IFERROR(IF(INDEX(offices!$AL$2:$AL$61,MATCH($B177,offices!$A$2:$A$61,0))="","",INDEX(offices!$AL$2:$AL$61,MATCH($B177,offices!$A$2:$A$61,0))),"")))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IF($B178="","",IFERROR(IF(INDEX(offices!$N$2:$N$61,MATCH($B178,offices!$A$2:$A$61,0))="","",INDEX(offices!$N$2:$N$61,MATCH($B178,offices!$A$2:$A$61,0))),""))</f>
        <v/>
      </c>
      <c r="L178" s="30" t="str">
        <f aca="false">IF($A178="","",IF($Q178="N","",COUNTIFS($A$2:$A178,$A178,$Q$2:$Q178,"&lt;&gt;N")))</f>
        <v/>
      </c>
      <c r="M178" s="30" t="str">
        <f aca="false">IF(OR($A178="",$L178=""),"",IF(AND(config!$B$34="names_if_public",IFERROR(IF(INDEX(offices!$AF$2:$AF$61,MATCH($B178,offices!$A$2:$A$61,0))="","",INDEX(offices!$AF$2:$AF$61,MATCH($B178,offices!$A$2:$A$61,0))),"")="Y"),$K178,CHAR(64+$L178)))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C$2:$AC$61,MATCH($B178,offices!$A$2:$A$61,0))="","",INDEX(offices!$AC$2:$AC$61,MATCH($B178,offices!$A$2:$A$61,0))),"")&lt;&gt;"",ISNUMBER(SEARCH($J178,IFERROR(IF(INDEX(offices!$AC$2:$AC$61,MATCH($B178,offices!$A$2:$A$61,0))="","",INDEX(offices!$AC$2:$AC$61,MATCH($B178,offices!$A$2:$A$61,0))),"")))),"BRAND VETOED; ","")&amp;IF(ISNUMBER(SEARCH(IFERROR(IF(INDEX(campaigns!$BF$2:$BF$51,MATCH($A178,campaigns!$A$2:$A$51,0))="","",INDEX(campaigns!$BF$2:$BF$51,MATCH($A178,campaigns!$A$2:$A$51,0))),""),IFERROR(IF(INDEX(offices!$AB$2:$AB$61,MATCH($B178,offices!$A$2:$A$61,0))="","",INDEX(offices!$AB$2:$AB$61,MATCH($B178,offices!$A$2:$A$61,0))),""))),"","info: category not on the office's list; ")&amp;IF(IFERROR(IF(INDEX(offices!$AC$2:$AC$61,MATCH($B178,offices!$A$2:$A$61,0))="","",INDEX(offices!$AC$2:$AC$61,MATCH($B178,offices!$A$2:$A$61,0))),"")&lt;&gt;"","info: read the vetoes against the label; ",""))</f>
        <v/>
      </c>
      <c r="S178" s="30" t="str">
        <f aca="false">IF($A178="","",IF($G178&lt;&gt;"",$G178,IFERROR(IF(INDEX(offices!$AL$2:$AL$61,MATCH($B178,offices!$A$2:$A$61,0))="","",INDEX(offices!$AL$2:$AL$61,MATCH($B178,offices!$A$2:$A$61,0))),"")))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IF($B179="","",IFERROR(IF(INDEX(offices!$N$2:$N$61,MATCH($B179,offices!$A$2:$A$61,0))="","",INDEX(offices!$N$2:$N$61,MATCH($B179,offices!$A$2:$A$61,0))),""))</f>
        <v/>
      </c>
      <c r="L179" s="30" t="str">
        <f aca="false">IF($A179="","",IF($Q179="N","",COUNTIFS($A$2:$A179,$A179,$Q$2:$Q179,"&lt;&gt;N")))</f>
        <v/>
      </c>
      <c r="M179" s="30" t="str">
        <f aca="false">IF(OR($A179="",$L179=""),"",IF(AND(config!$B$34="names_if_public",IFERROR(IF(INDEX(offices!$AF$2:$AF$61,MATCH($B179,offices!$A$2:$A$61,0))="","",INDEX(offices!$AF$2:$AF$61,MATCH($B179,offices!$A$2:$A$61,0))),"")="Y"),$K179,CHAR(64+$L179)))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C$2:$AC$61,MATCH($B179,offices!$A$2:$A$61,0))="","",INDEX(offices!$AC$2:$AC$61,MATCH($B179,offices!$A$2:$A$61,0))),"")&lt;&gt;"",ISNUMBER(SEARCH($J179,IFERROR(IF(INDEX(offices!$AC$2:$AC$61,MATCH($B179,offices!$A$2:$A$61,0))="","",INDEX(offices!$AC$2:$AC$61,MATCH($B179,offices!$A$2:$A$61,0))),"")))),"BRAND VETOED; ","")&amp;IF(ISNUMBER(SEARCH(IFERROR(IF(INDEX(campaigns!$BF$2:$BF$51,MATCH($A179,campaigns!$A$2:$A$51,0))="","",INDEX(campaigns!$BF$2:$BF$51,MATCH($A179,campaigns!$A$2:$A$51,0))),""),IFERROR(IF(INDEX(offices!$AB$2:$AB$61,MATCH($B179,offices!$A$2:$A$61,0))="","",INDEX(offices!$AB$2:$AB$61,MATCH($B179,offices!$A$2:$A$61,0))),""))),"","info: category not on the office's list; ")&amp;IF(IFERROR(IF(INDEX(offices!$AC$2:$AC$61,MATCH($B179,offices!$A$2:$A$61,0))="","",INDEX(offices!$AC$2:$AC$61,MATCH($B179,offices!$A$2:$A$61,0))),"")&lt;&gt;"","info: read the vetoes against the label; ",""))</f>
        <v/>
      </c>
      <c r="S179" s="30" t="str">
        <f aca="false">IF($A179="","",IF($G179&lt;&gt;"",$G179,IFERROR(IF(INDEX(offices!$AL$2:$AL$61,MATCH($B179,offices!$A$2:$A$61,0))="","",INDEX(offices!$AL$2:$AL$61,MATCH($B179,offices!$A$2:$A$61,0))),"")))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IF($B180="","",IFERROR(IF(INDEX(offices!$N$2:$N$61,MATCH($B180,offices!$A$2:$A$61,0))="","",INDEX(offices!$N$2:$N$61,MATCH($B180,offices!$A$2:$A$61,0))),""))</f>
        <v/>
      </c>
      <c r="L180" s="30" t="str">
        <f aca="false">IF($A180="","",IF($Q180="N","",COUNTIFS($A$2:$A180,$A180,$Q$2:$Q180,"&lt;&gt;N")))</f>
        <v/>
      </c>
      <c r="M180" s="30" t="str">
        <f aca="false">IF(OR($A180="",$L180=""),"",IF(AND(config!$B$34="names_if_public",IFERROR(IF(INDEX(offices!$AF$2:$AF$61,MATCH($B180,offices!$A$2:$A$61,0))="","",INDEX(offices!$AF$2:$AF$61,MATCH($B180,offices!$A$2:$A$61,0))),"")="Y"),$K180,CHAR(64+$L180)))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C$2:$AC$61,MATCH($B180,offices!$A$2:$A$61,0))="","",INDEX(offices!$AC$2:$AC$61,MATCH($B180,offices!$A$2:$A$61,0))),"")&lt;&gt;"",ISNUMBER(SEARCH($J180,IFERROR(IF(INDEX(offices!$AC$2:$AC$61,MATCH($B180,offices!$A$2:$A$61,0))="","",INDEX(offices!$AC$2:$AC$61,MATCH($B180,offices!$A$2:$A$61,0))),"")))),"BRAND VETOED; ","")&amp;IF(ISNUMBER(SEARCH(IFERROR(IF(INDEX(campaigns!$BF$2:$BF$51,MATCH($A180,campaigns!$A$2:$A$51,0))="","",INDEX(campaigns!$BF$2:$BF$51,MATCH($A180,campaigns!$A$2:$A$51,0))),""),IFERROR(IF(INDEX(offices!$AB$2:$AB$61,MATCH($B180,offices!$A$2:$A$61,0))="","",INDEX(offices!$AB$2:$AB$61,MATCH($B180,offices!$A$2:$A$61,0))),""))),"","info: category not on the office's list; ")&amp;IF(IFERROR(IF(INDEX(offices!$AC$2:$AC$61,MATCH($B180,offices!$A$2:$A$61,0))="","",INDEX(offices!$AC$2:$AC$61,MATCH($B180,offices!$A$2:$A$61,0))),"")&lt;&gt;"","info: read the vetoes against the label; ",""))</f>
        <v/>
      </c>
      <c r="S180" s="30" t="str">
        <f aca="false">IF($A180="","",IF($G180&lt;&gt;"",$G180,IFERROR(IF(INDEX(offices!$AL$2:$AL$61,MATCH($B180,offices!$A$2:$A$61,0))="","",INDEX(offices!$AL$2:$AL$61,MATCH($B180,offices!$A$2:$A$61,0))),"")))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IF($B181="","",IFERROR(IF(INDEX(offices!$N$2:$N$61,MATCH($B181,offices!$A$2:$A$61,0))="","",INDEX(offices!$N$2:$N$61,MATCH($B181,offices!$A$2:$A$61,0))),""))</f>
        <v/>
      </c>
      <c r="L181" s="30" t="str">
        <f aca="false">IF($A181="","",IF($Q181="N","",COUNTIFS($A$2:$A181,$A181,$Q$2:$Q181,"&lt;&gt;N")))</f>
        <v/>
      </c>
      <c r="M181" s="30" t="str">
        <f aca="false">IF(OR($A181="",$L181=""),"",IF(AND(config!$B$34="names_if_public",IFERROR(IF(INDEX(offices!$AF$2:$AF$61,MATCH($B181,offices!$A$2:$A$61,0))="","",INDEX(offices!$AF$2:$AF$61,MATCH($B181,offices!$A$2:$A$61,0))),"")="Y"),$K181,CHAR(64+$L181)))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C$2:$AC$61,MATCH($B181,offices!$A$2:$A$61,0))="","",INDEX(offices!$AC$2:$AC$61,MATCH($B181,offices!$A$2:$A$61,0))),"")&lt;&gt;"",ISNUMBER(SEARCH($J181,IFERROR(IF(INDEX(offices!$AC$2:$AC$61,MATCH($B181,offices!$A$2:$A$61,0))="","",INDEX(offices!$AC$2:$AC$61,MATCH($B181,offices!$A$2:$A$61,0))),"")))),"BRAND VETOED; ","")&amp;IF(ISNUMBER(SEARCH(IFERROR(IF(INDEX(campaigns!$BF$2:$BF$51,MATCH($A181,campaigns!$A$2:$A$51,0))="","",INDEX(campaigns!$BF$2:$BF$51,MATCH($A181,campaigns!$A$2:$A$51,0))),""),IFERROR(IF(INDEX(offices!$AB$2:$AB$61,MATCH($B181,offices!$A$2:$A$61,0))="","",INDEX(offices!$AB$2:$AB$61,MATCH($B181,offices!$A$2:$A$61,0))),""))),"","info: category not on the office's list; ")&amp;IF(IFERROR(IF(INDEX(offices!$AC$2:$AC$61,MATCH($B181,offices!$A$2:$A$61,0))="","",INDEX(offices!$AC$2:$AC$61,MATCH($B181,offices!$A$2:$A$61,0))),"")&lt;&gt;"","info: read the vetoes against the label; ",""))</f>
        <v/>
      </c>
      <c r="S181" s="30" t="str">
        <f aca="false">IF($A181="","",IF($G181&lt;&gt;"",$G181,IFERROR(IF(INDEX(offices!$AL$2:$AL$61,MATCH($B181,offices!$A$2:$A$61,0))="","",INDEX(offices!$AL$2:$AL$61,MATCH($B181,offices!$A$2:$A$61,0))),"")))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IF($B182="","",IFERROR(IF(INDEX(offices!$N$2:$N$61,MATCH($B182,offices!$A$2:$A$61,0))="","",INDEX(offices!$N$2:$N$61,MATCH($B182,offices!$A$2:$A$61,0))),""))</f>
        <v/>
      </c>
      <c r="L182" s="30" t="str">
        <f aca="false">IF($A182="","",IF($Q182="N","",COUNTIFS($A$2:$A182,$A182,$Q$2:$Q182,"&lt;&gt;N")))</f>
        <v/>
      </c>
      <c r="M182" s="30" t="str">
        <f aca="false">IF(OR($A182="",$L182=""),"",IF(AND(config!$B$34="names_if_public",IFERROR(IF(INDEX(offices!$AF$2:$AF$61,MATCH($B182,offices!$A$2:$A$61,0))="","",INDEX(offices!$AF$2:$AF$61,MATCH($B182,offices!$A$2:$A$61,0))),"")="Y"),$K182,CHAR(64+$L182)))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C$2:$AC$61,MATCH($B182,offices!$A$2:$A$61,0))="","",INDEX(offices!$AC$2:$AC$61,MATCH($B182,offices!$A$2:$A$61,0))),"")&lt;&gt;"",ISNUMBER(SEARCH($J182,IFERROR(IF(INDEX(offices!$AC$2:$AC$61,MATCH($B182,offices!$A$2:$A$61,0))="","",INDEX(offices!$AC$2:$AC$61,MATCH($B182,offices!$A$2:$A$61,0))),"")))),"BRAND VETOED; ","")&amp;IF(ISNUMBER(SEARCH(IFERROR(IF(INDEX(campaigns!$BF$2:$BF$51,MATCH($A182,campaigns!$A$2:$A$51,0))="","",INDEX(campaigns!$BF$2:$BF$51,MATCH($A182,campaigns!$A$2:$A$51,0))),""),IFERROR(IF(INDEX(offices!$AB$2:$AB$61,MATCH($B182,offices!$A$2:$A$61,0))="","",INDEX(offices!$AB$2:$AB$61,MATCH($B182,offices!$A$2:$A$61,0))),""))),"","info: category not on the office's list; ")&amp;IF(IFERROR(IF(INDEX(offices!$AC$2:$AC$61,MATCH($B182,offices!$A$2:$A$61,0))="","",INDEX(offices!$AC$2:$AC$61,MATCH($B182,offices!$A$2:$A$61,0))),"")&lt;&gt;"","info: read the vetoes against the label; ",""))</f>
        <v/>
      </c>
      <c r="S182" s="30" t="str">
        <f aca="false">IF($A182="","",IF($G182&lt;&gt;"",$G182,IFERROR(IF(INDEX(offices!$AL$2:$AL$61,MATCH($B182,offices!$A$2:$A$61,0))="","",INDEX(offices!$AL$2:$AL$61,MATCH($B182,offices!$A$2:$A$61,0))),"")))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IF($B183="","",IFERROR(IF(INDEX(offices!$N$2:$N$61,MATCH($B183,offices!$A$2:$A$61,0))="","",INDEX(offices!$N$2:$N$61,MATCH($B183,offices!$A$2:$A$61,0))),""))</f>
        <v/>
      </c>
      <c r="L183" s="30" t="str">
        <f aca="false">IF($A183="","",IF($Q183="N","",COUNTIFS($A$2:$A183,$A183,$Q$2:$Q183,"&lt;&gt;N")))</f>
        <v/>
      </c>
      <c r="M183" s="30" t="str">
        <f aca="false">IF(OR($A183="",$L183=""),"",IF(AND(config!$B$34="names_if_public",IFERROR(IF(INDEX(offices!$AF$2:$AF$61,MATCH($B183,offices!$A$2:$A$61,0))="","",INDEX(offices!$AF$2:$AF$61,MATCH($B183,offices!$A$2:$A$61,0))),"")="Y"),$K183,CHAR(64+$L183)))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C$2:$AC$61,MATCH($B183,offices!$A$2:$A$61,0))="","",INDEX(offices!$AC$2:$AC$61,MATCH($B183,offices!$A$2:$A$61,0))),"")&lt;&gt;"",ISNUMBER(SEARCH($J183,IFERROR(IF(INDEX(offices!$AC$2:$AC$61,MATCH($B183,offices!$A$2:$A$61,0))="","",INDEX(offices!$AC$2:$AC$61,MATCH($B183,offices!$A$2:$A$61,0))),"")))),"BRAND VETOED; ","")&amp;IF(ISNUMBER(SEARCH(IFERROR(IF(INDEX(campaigns!$BF$2:$BF$51,MATCH($A183,campaigns!$A$2:$A$51,0))="","",INDEX(campaigns!$BF$2:$BF$51,MATCH($A183,campaigns!$A$2:$A$51,0))),""),IFERROR(IF(INDEX(offices!$AB$2:$AB$61,MATCH($B183,offices!$A$2:$A$61,0))="","",INDEX(offices!$AB$2:$AB$61,MATCH($B183,offices!$A$2:$A$61,0))),""))),"","info: category not on the office's list; ")&amp;IF(IFERROR(IF(INDEX(offices!$AC$2:$AC$61,MATCH($B183,offices!$A$2:$A$61,0))="","",INDEX(offices!$AC$2:$AC$61,MATCH($B183,offices!$A$2:$A$61,0))),"")&lt;&gt;"","info: read the vetoes against the label; ",""))</f>
        <v/>
      </c>
      <c r="S183" s="30" t="str">
        <f aca="false">IF($A183="","",IF($G183&lt;&gt;"",$G183,IFERROR(IF(INDEX(offices!$AL$2:$AL$61,MATCH($B183,offices!$A$2:$A$61,0))="","",INDEX(offices!$AL$2:$AL$61,MATCH($B183,offices!$A$2:$A$61,0))),"")))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IF($B184="","",IFERROR(IF(INDEX(offices!$N$2:$N$61,MATCH($B184,offices!$A$2:$A$61,0))="","",INDEX(offices!$N$2:$N$61,MATCH($B184,offices!$A$2:$A$61,0))),""))</f>
        <v/>
      </c>
      <c r="L184" s="30" t="str">
        <f aca="false">IF($A184="","",IF($Q184="N","",COUNTIFS($A$2:$A184,$A184,$Q$2:$Q184,"&lt;&gt;N")))</f>
        <v/>
      </c>
      <c r="M184" s="30" t="str">
        <f aca="false">IF(OR($A184="",$L184=""),"",IF(AND(config!$B$34="names_if_public",IFERROR(IF(INDEX(offices!$AF$2:$AF$61,MATCH($B184,offices!$A$2:$A$61,0))="","",INDEX(offices!$AF$2:$AF$61,MATCH($B184,offices!$A$2:$A$61,0))),"")="Y"),$K184,CHAR(64+$L184)))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C$2:$AC$61,MATCH($B184,offices!$A$2:$A$61,0))="","",INDEX(offices!$AC$2:$AC$61,MATCH($B184,offices!$A$2:$A$61,0))),"")&lt;&gt;"",ISNUMBER(SEARCH($J184,IFERROR(IF(INDEX(offices!$AC$2:$AC$61,MATCH($B184,offices!$A$2:$A$61,0))="","",INDEX(offices!$AC$2:$AC$61,MATCH($B184,offices!$A$2:$A$61,0))),"")))),"BRAND VETOED; ","")&amp;IF(ISNUMBER(SEARCH(IFERROR(IF(INDEX(campaigns!$BF$2:$BF$51,MATCH($A184,campaigns!$A$2:$A$51,0))="","",INDEX(campaigns!$BF$2:$BF$51,MATCH($A184,campaigns!$A$2:$A$51,0))),""),IFERROR(IF(INDEX(offices!$AB$2:$AB$61,MATCH($B184,offices!$A$2:$A$61,0))="","",INDEX(offices!$AB$2:$AB$61,MATCH($B184,offices!$A$2:$A$61,0))),""))),"","info: category not on the office's list; ")&amp;IF(IFERROR(IF(INDEX(offices!$AC$2:$AC$61,MATCH($B184,offices!$A$2:$A$61,0))="","",INDEX(offices!$AC$2:$AC$61,MATCH($B184,offices!$A$2:$A$61,0))),"")&lt;&gt;"","info: read the vetoes against the label; ",""))</f>
        <v/>
      </c>
      <c r="S184" s="30" t="str">
        <f aca="false">IF($A184="","",IF($G184&lt;&gt;"",$G184,IFERROR(IF(INDEX(offices!$AL$2:$AL$61,MATCH($B184,offices!$A$2:$A$61,0))="","",INDEX(offices!$AL$2:$AL$61,MATCH($B184,offices!$A$2:$A$61,0))),"")))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IF($B185="","",IFERROR(IF(INDEX(offices!$N$2:$N$61,MATCH($B185,offices!$A$2:$A$61,0))="","",INDEX(offices!$N$2:$N$61,MATCH($B185,offices!$A$2:$A$61,0))),""))</f>
        <v/>
      </c>
      <c r="L185" s="30" t="str">
        <f aca="false">IF($A185="","",IF($Q185="N","",COUNTIFS($A$2:$A185,$A185,$Q$2:$Q185,"&lt;&gt;N")))</f>
        <v/>
      </c>
      <c r="M185" s="30" t="str">
        <f aca="false">IF(OR($A185="",$L185=""),"",IF(AND(config!$B$34="names_if_public",IFERROR(IF(INDEX(offices!$AF$2:$AF$61,MATCH($B185,offices!$A$2:$A$61,0))="","",INDEX(offices!$AF$2:$AF$61,MATCH($B185,offices!$A$2:$A$61,0))),"")="Y"),$K185,CHAR(64+$L185)))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C$2:$AC$61,MATCH($B185,offices!$A$2:$A$61,0))="","",INDEX(offices!$AC$2:$AC$61,MATCH($B185,offices!$A$2:$A$61,0))),"")&lt;&gt;"",ISNUMBER(SEARCH($J185,IFERROR(IF(INDEX(offices!$AC$2:$AC$61,MATCH($B185,offices!$A$2:$A$61,0))="","",INDEX(offices!$AC$2:$AC$61,MATCH($B185,offices!$A$2:$A$61,0))),"")))),"BRAND VETOED; ","")&amp;IF(ISNUMBER(SEARCH(IFERROR(IF(INDEX(campaigns!$BF$2:$BF$51,MATCH($A185,campaigns!$A$2:$A$51,0))="","",INDEX(campaigns!$BF$2:$BF$51,MATCH($A185,campaigns!$A$2:$A$51,0))),""),IFERROR(IF(INDEX(offices!$AB$2:$AB$61,MATCH($B185,offices!$A$2:$A$61,0))="","",INDEX(offices!$AB$2:$AB$61,MATCH($B185,offices!$A$2:$A$61,0))),""))),"","info: category not on the office's list; ")&amp;IF(IFERROR(IF(INDEX(offices!$AC$2:$AC$61,MATCH($B185,offices!$A$2:$A$61,0))="","",INDEX(offices!$AC$2:$AC$61,MATCH($B185,offices!$A$2:$A$61,0))),"")&lt;&gt;"","info: read the vetoes against the label; ",""))</f>
        <v/>
      </c>
      <c r="S185" s="30" t="str">
        <f aca="false">IF($A185="","",IF($G185&lt;&gt;"",$G185,IFERROR(IF(INDEX(offices!$AL$2:$AL$61,MATCH($B185,offices!$A$2:$A$61,0))="","",INDEX(offices!$AL$2:$AL$61,MATCH($B185,offices!$A$2:$A$61,0))),"")))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IF($B186="","",IFERROR(IF(INDEX(offices!$N$2:$N$61,MATCH($B186,offices!$A$2:$A$61,0))="","",INDEX(offices!$N$2:$N$61,MATCH($B186,offices!$A$2:$A$61,0))),""))</f>
        <v/>
      </c>
      <c r="L186" s="30" t="str">
        <f aca="false">IF($A186="","",IF($Q186="N","",COUNTIFS($A$2:$A186,$A186,$Q$2:$Q186,"&lt;&gt;N")))</f>
        <v/>
      </c>
      <c r="M186" s="30" t="str">
        <f aca="false">IF(OR($A186="",$L186=""),"",IF(AND(config!$B$34="names_if_public",IFERROR(IF(INDEX(offices!$AF$2:$AF$61,MATCH($B186,offices!$A$2:$A$61,0))="","",INDEX(offices!$AF$2:$AF$61,MATCH($B186,offices!$A$2:$A$61,0))),"")="Y"),$K186,CHAR(64+$L186)))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C$2:$AC$61,MATCH($B186,offices!$A$2:$A$61,0))="","",INDEX(offices!$AC$2:$AC$61,MATCH($B186,offices!$A$2:$A$61,0))),"")&lt;&gt;"",ISNUMBER(SEARCH($J186,IFERROR(IF(INDEX(offices!$AC$2:$AC$61,MATCH($B186,offices!$A$2:$A$61,0))="","",INDEX(offices!$AC$2:$AC$61,MATCH($B186,offices!$A$2:$A$61,0))),"")))),"BRAND VETOED; ","")&amp;IF(ISNUMBER(SEARCH(IFERROR(IF(INDEX(campaigns!$BF$2:$BF$51,MATCH($A186,campaigns!$A$2:$A$51,0))="","",INDEX(campaigns!$BF$2:$BF$51,MATCH($A186,campaigns!$A$2:$A$51,0))),""),IFERROR(IF(INDEX(offices!$AB$2:$AB$61,MATCH($B186,offices!$A$2:$A$61,0))="","",INDEX(offices!$AB$2:$AB$61,MATCH($B186,offices!$A$2:$A$61,0))),""))),"","info: category not on the office's list; ")&amp;IF(IFERROR(IF(INDEX(offices!$AC$2:$AC$61,MATCH($B186,offices!$A$2:$A$61,0))="","",INDEX(offices!$AC$2:$AC$61,MATCH($B186,offices!$A$2:$A$61,0))),"")&lt;&gt;"","info: read the vetoes against the label; ",""))</f>
        <v/>
      </c>
      <c r="S186" s="30" t="str">
        <f aca="false">IF($A186="","",IF($G186&lt;&gt;"",$G186,IFERROR(IF(INDEX(offices!$AL$2:$AL$61,MATCH($B186,offices!$A$2:$A$61,0))="","",INDEX(offices!$AL$2:$AL$61,MATCH($B186,offices!$A$2:$A$61,0))),"")))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IF($B187="","",IFERROR(IF(INDEX(offices!$N$2:$N$61,MATCH($B187,offices!$A$2:$A$61,0))="","",INDEX(offices!$N$2:$N$61,MATCH($B187,offices!$A$2:$A$61,0))),""))</f>
        <v/>
      </c>
      <c r="L187" s="30" t="str">
        <f aca="false">IF($A187="","",IF($Q187="N","",COUNTIFS($A$2:$A187,$A187,$Q$2:$Q187,"&lt;&gt;N")))</f>
        <v/>
      </c>
      <c r="M187" s="30" t="str">
        <f aca="false">IF(OR($A187="",$L187=""),"",IF(AND(config!$B$34="names_if_public",IFERROR(IF(INDEX(offices!$AF$2:$AF$61,MATCH($B187,offices!$A$2:$A$61,0))="","",INDEX(offices!$AF$2:$AF$61,MATCH($B187,offices!$A$2:$A$61,0))),"")="Y"),$K187,CHAR(64+$L187)))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C$2:$AC$61,MATCH($B187,offices!$A$2:$A$61,0))="","",INDEX(offices!$AC$2:$AC$61,MATCH($B187,offices!$A$2:$A$61,0))),"")&lt;&gt;"",ISNUMBER(SEARCH($J187,IFERROR(IF(INDEX(offices!$AC$2:$AC$61,MATCH($B187,offices!$A$2:$A$61,0))="","",INDEX(offices!$AC$2:$AC$61,MATCH($B187,offices!$A$2:$A$61,0))),"")))),"BRAND VETOED; ","")&amp;IF(ISNUMBER(SEARCH(IFERROR(IF(INDEX(campaigns!$BF$2:$BF$51,MATCH($A187,campaigns!$A$2:$A$51,0))="","",INDEX(campaigns!$BF$2:$BF$51,MATCH($A187,campaigns!$A$2:$A$51,0))),""),IFERROR(IF(INDEX(offices!$AB$2:$AB$61,MATCH($B187,offices!$A$2:$A$61,0))="","",INDEX(offices!$AB$2:$AB$61,MATCH($B187,offices!$A$2:$A$61,0))),""))),"","info: category not on the office's list; ")&amp;IF(IFERROR(IF(INDEX(offices!$AC$2:$AC$61,MATCH($B187,offices!$A$2:$A$61,0))="","",INDEX(offices!$AC$2:$AC$61,MATCH($B187,offices!$A$2:$A$61,0))),"")&lt;&gt;"","info: read the vetoes against the label; ",""))</f>
        <v/>
      </c>
      <c r="S187" s="30" t="str">
        <f aca="false">IF($A187="","",IF($G187&lt;&gt;"",$G187,IFERROR(IF(INDEX(offices!$AL$2:$AL$61,MATCH($B187,offices!$A$2:$A$61,0))="","",INDEX(offices!$AL$2:$AL$61,MATCH($B187,offices!$A$2:$A$61,0))),"")))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IF($B188="","",IFERROR(IF(INDEX(offices!$N$2:$N$61,MATCH($B188,offices!$A$2:$A$61,0))="","",INDEX(offices!$N$2:$N$61,MATCH($B188,offices!$A$2:$A$61,0))),""))</f>
        <v/>
      </c>
      <c r="L188" s="30" t="str">
        <f aca="false">IF($A188="","",IF($Q188="N","",COUNTIFS($A$2:$A188,$A188,$Q$2:$Q188,"&lt;&gt;N")))</f>
        <v/>
      </c>
      <c r="M188" s="30" t="str">
        <f aca="false">IF(OR($A188="",$L188=""),"",IF(AND(config!$B$34="names_if_public",IFERROR(IF(INDEX(offices!$AF$2:$AF$61,MATCH($B188,offices!$A$2:$A$61,0))="","",INDEX(offices!$AF$2:$AF$61,MATCH($B188,offices!$A$2:$A$61,0))),"")="Y"),$K188,CHAR(64+$L188)))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C$2:$AC$61,MATCH($B188,offices!$A$2:$A$61,0))="","",INDEX(offices!$AC$2:$AC$61,MATCH($B188,offices!$A$2:$A$61,0))),"")&lt;&gt;"",ISNUMBER(SEARCH($J188,IFERROR(IF(INDEX(offices!$AC$2:$AC$61,MATCH($B188,offices!$A$2:$A$61,0))="","",INDEX(offices!$AC$2:$AC$61,MATCH($B188,offices!$A$2:$A$61,0))),"")))),"BRAND VETOED; ","")&amp;IF(ISNUMBER(SEARCH(IFERROR(IF(INDEX(campaigns!$BF$2:$BF$51,MATCH($A188,campaigns!$A$2:$A$51,0))="","",INDEX(campaigns!$BF$2:$BF$51,MATCH($A188,campaigns!$A$2:$A$51,0))),""),IFERROR(IF(INDEX(offices!$AB$2:$AB$61,MATCH($B188,offices!$A$2:$A$61,0))="","",INDEX(offices!$AB$2:$AB$61,MATCH($B188,offices!$A$2:$A$61,0))),""))),"","info: category not on the office's list; ")&amp;IF(IFERROR(IF(INDEX(offices!$AC$2:$AC$61,MATCH($B188,offices!$A$2:$A$61,0))="","",INDEX(offices!$AC$2:$AC$61,MATCH($B188,offices!$A$2:$A$61,0))),"")&lt;&gt;"","info: read the vetoes against the label; ",""))</f>
        <v/>
      </c>
      <c r="S188" s="30" t="str">
        <f aca="false">IF($A188="","",IF($G188&lt;&gt;"",$G188,IFERROR(IF(INDEX(offices!$AL$2:$AL$61,MATCH($B188,offices!$A$2:$A$61,0))="","",INDEX(offices!$AL$2:$AL$61,MATCH($B188,offices!$A$2:$A$61,0))),"")))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IF($B189="","",IFERROR(IF(INDEX(offices!$N$2:$N$61,MATCH($B189,offices!$A$2:$A$61,0))="","",INDEX(offices!$N$2:$N$61,MATCH($B189,offices!$A$2:$A$61,0))),""))</f>
        <v/>
      </c>
      <c r="L189" s="30" t="str">
        <f aca="false">IF($A189="","",IF($Q189="N","",COUNTIFS($A$2:$A189,$A189,$Q$2:$Q189,"&lt;&gt;N")))</f>
        <v/>
      </c>
      <c r="M189" s="30" t="str">
        <f aca="false">IF(OR($A189="",$L189=""),"",IF(AND(config!$B$34="names_if_public",IFERROR(IF(INDEX(offices!$AF$2:$AF$61,MATCH($B189,offices!$A$2:$A$61,0))="","",INDEX(offices!$AF$2:$AF$61,MATCH($B189,offices!$A$2:$A$61,0))),"")="Y"),$K189,CHAR(64+$L189)))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C$2:$AC$61,MATCH($B189,offices!$A$2:$A$61,0))="","",INDEX(offices!$AC$2:$AC$61,MATCH($B189,offices!$A$2:$A$61,0))),"")&lt;&gt;"",ISNUMBER(SEARCH($J189,IFERROR(IF(INDEX(offices!$AC$2:$AC$61,MATCH($B189,offices!$A$2:$A$61,0))="","",INDEX(offices!$AC$2:$AC$61,MATCH($B189,offices!$A$2:$A$61,0))),"")))),"BRAND VETOED; ","")&amp;IF(ISNUMBER(SEARCH(IFERROR(IF(INDEX(campaigns!$BF$2:$BF$51,MATCH($A189,campaigns!$A$2:$A$51,0))="","",INDEX(campaigns!$BF$2:$BF$51,MATCH($A189,campaigns!$A$2:$A$51,0))),""),IFERROR(IF(INDEX(offices!$AB$2:$AB$61,MATCH($B189,offices!$A$2:$A$61,0))="","",INDEX(offices!$AB$2:$AB$61,MATCH($B189,offices!$A$2:$A$61,0))),""))),"","info: category not on the office's list; ")&amp;IF(IFERROR(IF(INDEX(offices!$AC$2:$AC$61,MATCH($B189,offices!$A$2:$A$61,0))="","",INDEX(offices!$AC$2:$AC$61,MATCH($B189,offices!$A$2:$A$61,0))),"")&lt;&gt;"","info: read the vetoes against the label; ",""))</f>
        <v/>
      </c>
      <c r="S189" s="30" t="str">
        <f aca="false">IF($A189="","",IF($G189&lt;&gt;"",$G189,IFERROR(IF(INDEX(offices!$AL$2:$AL$61,MATCH($B189,offices!$A$2:$A$61,0))="","",INDEX(offices!$AL$2:$AL$61,MATCH($B189,offices!$A$2:$A$61,0))),"")))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IF($B190="","",IFERROR(IF(INDEX(offices!$N$2:$N$61,MATCH($B190,offices!$A$2:$A$61,0))="","",INDEX(offices!$N$2:$N$61,MATCH($B190,offices!$A$2:$A$61,0))),""))</f>
        <v/>
      </c>
      <c r="L190" s="30" t="str">
        <f aca="false">IF($A190="","",IF($Q190="N","",COUNTIFS($A$2:$A190,$A190,$Q$2:$Q190,"&lt;&gt;N")))</f>
        <v/>
      </c>
      <c r="M190" s="30" t="str">
        <f aca="false">IF(OR($A190="",$L190=""),"",IF(AND(config!$B$34="names_if_public",IFERROR(IF(INDEX(offices!$AF$2:$AF$61,MATCH($B190,offices!$A$2:$A$61,0))="","",INDEX(offices!$AF$2:$AF$61,MATCH($B190,offices!$A$2:$A$61,0))),"")="Y"),$K190,CHAR(64+$L190)))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C$2:$AC$61,MATCH($B190,offices!$A$2:$A$61,0))="","",INDEX(offices!$AC$2:$AC$61,MATCH($B190,offices!$A$2:$A$61,0))),"")&lt;&gt;"",ISNUMBER(SEARCH($J190,IFERROR(IF(INDEX(offices!$AC$2:$AC$61,MATCH($B190,offices!$A$2:$A$61,0))="","",INDEX(offices!$AC$2:$AC$61,MATCH($B190,offices!$A$2:$A$61,0))),"")))),"BRAND VETOED; ","")&amp;IF(ISNUMBER(SEARCH(IFERROR(IF(INDEX(campaigns!$BF$2:$BF$51,MATCH($A190,campaigns!$A$2:$A$51,0))="","",INDEX(campaigns!$BF$2:$BF$51,MATCH($A190,campaigns!$A$2:$A$51,0))),""),IFERROR(IF(INDEX(offices!$AB$2:$AB$61,MATCH($B190,offices!$A$2:$A$61,0))="","",INDEX(offices!$AB$2:$AB$61,MATCH($B190,offices!$A$2:$A$61,0))),""))),"","info: category not on the office's list; ")&amp;IF(IFERROR(IF(INDEX(offices!$AC$2:$AC$61,MATCH($B190,offices!$A$2:$A$61,0))="","",INDEX(offices!$AC$2:$AC$61,MATCH($B190,offices!$A$2:$A$61,0))),"")&lt;&gt;"","info: read the vetoes against the label; ",""))</f>
        <v/>
      </c>
      <c r="S190" s="30" t="str">
        <f aca="false">IF($A190="","",IF($G190&lt;&gt;"",$G190,IFERROR(IF(INDEX(offices!$AL$2:$AL$61,MATCH($B190,offices!$A$2:$A$61,0))="","",INDEX(offices!$AL$2:$AL$61,MATCH($B190,offices!$A$2:$A$61,0))),"")))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IF($B191="","",IFERROR(IF(INDEX(offices!$N$2:$N$61,MATCH($B191,offices!$A$2:$A$61,0))="","",INDEX(offices!$N$2:$N$61,MATCH($B191,offices!$A$2:$A$61,0))),""))</f>
        <v/>
      </c>
      <c r="L191" s="30" t="str">
        <f aca="false">IF($A191="","",IF($Q191="N","",COUNTIFS($A$2:$A191,$A191,$Q$2:$Q191,"&lt;&gt;N")))</f>
        <v/>
      </c>
      <c r="M191" s="30" t="str">
        <f aca="false">IF(OR($A191="",$L191=""),"",IF(AND(config!$B$34="names_if_public",IFERROR(IF(INDEX(offices!$AF$2:$AF$61,MATCH($B191,offices!$A$2:$A$61,0))="","",INDEX(offices!$AF$2:$AF$61,MATCH($B191,offices!$A$2:$A$61,0))),"")="Y"),$K191,CHAR(64+$L191)))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C$2:$AC$61,MATCH($B191,offices!$A$2:$A$61,0))="","",INDEX(offices!$AC$2:$AC$61,MATCH($B191,offices!$A$2:$A$61,0))),"")&lt;&gt;"",ISNUMBER(SEARCH($J191,IFERROR(IF(INDEX(offices!$AC$2:$AC$61,MATCH($B191,offices!$A$2:$A$61,0))="","",INDEX(offices!$AC$2:$AC$61,MATCH($B191,offices!$A$2:$A$61,0))),"")))),"BRAND VETOED; ","")&amp;IF(ISNUMBER(SEARCH(IFERROR(IF(INDEX(campaigns!$BF$2:$BF$51,MATCH($A191,campaigns!$A$2:$A$51,0))="","",INDEX(campaigns!$BF$2:$BF$51,MATCH($A191,campaigns!$A$2:$A$51,0))),""),IFERROR(IF(INDEX(offices!$AB$2:$AB$61,MATCH($B191,offices!$A$2:$A$61,0))="","",INDEX(offices!$AB$2:$AB$61,MATCH($B191,offices!$A$2:$A$61,0))),""))),"","info: category not on the office's list; ")&amp;IF(IFERROR(IF(INDEX(offices!$AC$2:$AC$61,MATCH($B191,offices!$A$2:$A$61,0))="","",INDEX(offices!$AC$2:$AC$61,MATCH($B191,offices!$A$2:$A$61,0))),"")&lt;&gt;"","info: read the vetoes against the label; ",""))</f>
        <v/>
      </c>
      <c r="S191" s="30" t="str">
        <f aca="false">IF($A191="","",IF($G191&lt;&gt;"",$G191,IFERROR(IF(INDEX(offices!$AL$2:$AL$61,MATCH($B191,offices!$A$2:$A$61,0))="","",INDEX(offices!$AL$2:$AL$61,MATCH($B191,offices!$A$2:$A$61,0))),"")))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IF($B192="","",IFERROR(IF(INDEX(offices!$N$2:$N$61,MATCH($B192,offices!$A$2:$A$61,0))="","",INDEX(offices!$N$2:$N$61,MATCH($B192,offices!$A$2:$A$61,0))),""))</f>
        <v/>
      </c>
      <c r="L192" s="30" t="str">
        <f aca="false">IF($A192="","",IF($Q192="N","",COUNTIFS($A$2:$A192,$A192,$Q$2:$Q192,"&lt;&gt;N")))</f>
        <v/>
      </c>
      <c r="M192" s="30" t="str">
        <f aca="false">IF(OR($A192="",$L192=""),"",IF(AND(config!$B$34="names_if_public",IFERROR(IF(INDEX(offices!$AF$2:$AF$61,MATCH($B192,offices!$A$2:$A$61,0))="","",INDEX(offices!$AF$2:$AF$61,MATCH($B192,offices!$A$2:$A$61,0))),"")="Y"),$K192,CHAR(64+$L192)))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C$2:$AC$61,MATCH($B192,offices!$A$2:$A$61,0))="","",INDEX(offices!$AC$2:$AC$61,MATCH($B192,offices!$A$2:$A$61,0))),"")&lt;&gt;"",ISNUMBER(SEARCH($J192,IFERROR(IF(INDEX(offices!$AC$2:$AC$61,MATCH($B192,offices!$A$2:$A$61,0))="","",INDEX(offices!$AC$2:$AC$61,MATCH($B192,offices!$A$2:$A$61,0))),"")))),"BRAND VETOED; ","")&amp;IF(ISNUMBER(SEARCH(IFERROR(IF(INDEX(campaigns!$BF$2:$BF$51,MATCH($A192,campaigns!$A$2:$A$51,0))="","",INDEX(campaigns!$BF$2:$BF$51,MATCH($A192,campaigns!$A$2:$A$51,0))),""),IFERROR(IF(INDEX(offices!$AB$2:$AB$61,MATCH($B192,offices!$A$2:$A$61,0))="","",INDEX(offices!$AB$2:$AB$61,MATCH($B192,offices!$A$2:$A$61,0))),""))),"","info: category not on the office's list; ")&amp;IF(IFERROR(IF(INDEX(offices!$AC$2:$AC$61,MATCH($B192,offices!$A$2:$A$61,0))="","",INDEX(offices!$AC$2:$AC$61,MATCH($B192,offices!$A$2:$A$61,0))),"")&lt;&gt;"","info: read the vetoes against the label; ",""))</f>
        <v/>
      </c>
      <c r="S192" s="30" t="str">
        <f aca="false">IF($A192="","",IF($G192&lt;&gt;"",$G192,IFERROR(IF(INDEX(offices!$AL$2:$AL$61,MATCH($B192,offices!$A$2:$A$61,0))="","",INDEX(offices!$AL$2:$AL$61,MATCH($B192,offices!$A$2:$A$61,0))),"")))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IF($B193="","",IFERROR(IF(INDEX(offices!$N$2:$N$61,MATCH($B193,offices!$A$2:$A$61,0))="","",INDEX(offices!$N$2:$N$61,MATCH($B193,offices!$A$2:$A$61,0))),""))</f>
        <v/>
      </c>
      <c r="L193" s="30" t="str">
        <f aca="false">IF($A193="","",IF($Q193="N","",COUNTIFS($A$2:$A193,$A193,$Q$2:$Q193,"&lt;&gt;N")))</f>
        <v/>
      </c>
      <c r="M193" s="30" t="str">
        <f aca="false">IF(OR($A193="",$L193=""),"",IF(AND(config!$B$34="names_if_public",IFERROR(IF(INDEX(offices!$AF$2:$AF$61,MATCH($B193,offices!$A$2:$A$61,0))="","",INDEX(offices!$AF$2:$AF$61,MATCH($B193,offices!$A$2:$A$61,0))),"")="Y"),$K193,CHAR(64+$L193)))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C$2:$AC$61,MATCH($B193,offices!$A$2:$A$61,0))="","",INDEX(offices!$AC$2:$AC$61,MATCH($B193,offices!$A$2:$A$61,0))),"")&lt;&gt;"",ISNUMBER(SEARCH($J193,IFERROR(IF(INDEX(offices!$AC$2:$AC$61,MATCH($B193,offices!$A$2:$A$61,0))="","",INDEX(offices!$AC$2:$AC$61,MATCH($B193,offices!$A$2:$A$61,0))),"")))),"BRAND VETOED; ","")&amp;IF(ISNUMBER(SEARCH(IFERROR(IF(INDEX(campaigns!$BF$2:$BF$51,MATCH($A193,campaigns!$A$2:$A$51,0))="","",INDEX(campaigns!$BF$2:$BF$51,MATCH($A193,campaigns!$A$2:$A$51,0))),""),IFERROR(IF(INDEX(offices!$AB$2:$AB$61,MATCH($B193,offices!$A$2:$A$61,0))="","",INDEX(offices!$AB$2:$AB$61,MATCH($B193,offices!$A$2:$A$61,0))),""))),"","info: category not on the office's list; ")&amp;IF(IFERROR(IF(INDEX(offices!$AC$2:$AC$61,MATCH($B193,offices!$A$2:$A$61,0))="","",INDEX(offices!$AC$2:$AC$61,MATCH($B193,offices!$A$2:$A$61,0))),"")&lt;&gt;"","info: read the vetoes against the label; ",""))</f>
        <v/>
      </c>
      <c r="S193" s="30" t="str">
        <f aca="false">IF($A193="","",IF($G193&lt;&gt;"",$G193,IFERROR(IF(INDEX(offices!$AL$2:$AL$61,MATCH($B193,offices!$A$2:$A$61,0))="","",INDEX(offices!$AL$2:$AL$61,MATCH($B193,offices!$A$2:$A$61,0))),"")))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IF($B194="","",IFERROR(IF(INDEX(offices!$N$2:$N$61,MATCH($B194,offices!$A$2:$A$61,0))="","",INDEX(offices!$N$2:$N$61,MATCH($B194,offices!$A$2:$A$61,0))),""))</f>
        <v/>
      </c>
      <c r="L194" s="30" t="str">
        <f aca="false">IF($A194="","",IF($Q194="N","",COUNTIFS($A$2:$A194,$A194,$Q$2:$Q194,"&lt;&gt;N")))</f>
        <v/>
      </c>
      <c r="M194" s="30" t="str">
        <f aca="false">IF(OR($A194="",$L194=""),"",IF(AND(config!$B$34="names_if_public",IFERROR(IF(INDEX(offices!$AF$2:$AF$61,MATCH($B194,offices!$A$2:$A$61,0))="","",INDEX(offices!$AF$2:$AF$61,MATCH($B194,offices!$A$2:$A$61,0))),"")="Y"),$K194,CHAR(64+$L194)))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C$2:$AC$61,MATCH($B194,offices!$A$2:$A$61,0))="","",INDEX(offices!$AC$2:$AC$61,MATCH($B194,offices!$A$2:$A$61,0))),"")&lt;&gt;"",ISNUMBER(SEARCH($J194,IFERROR(IF(INDEX(offices!$AC$2:$AC$61,MATCH($B194,offices!$A$2:$A$61,0))="","",INDEX(offices!$AC$2:$AC$61,MATCH($B194,offices!$A$2:$A$61,0))),"")))),"BRAND VETOED; ","")&amp;IF(ISNUMBER(SEARCH(IFERROR(IF(INDEX(campaigns!$BF$2:$BF$51,MATCH($A194,campaigns!$A$2:$A$51,0))="","",INDEX(campaigns!$BF$2:$BF$51,MATCH($A194,campaigns!$A$2:$A$51,0))),""),IFERROR(IF(INDEX(offices!$AB$2:$AB$61,MATCH($B194,offices!$A$2:$A$61,0))="","",INDEX(offices!$AB$2:$AB$61,MATCH($B194,offices!$A$2:$A$61,0))),""))),"","info: category not on the office's list; ")&amp;IF(IFERROR(IF(INDEX(offices!$AC$2:$AC$61,MATCH($B194,offices!$A$2:$A$61,0))="","",INDEX(offices!$AC$2:$AC$61,MATCH($B194,offices!$A$2:$A$61,0))),"")&lt;&gt;"","info: read the vetoes against the label; ",""))</f>
        <v/>
      </c>
      <c r="S194" s="30" t="str">
        <f aca="false">IF($A194="","",IF($G194&lt;&gt;"",$G194,IFERROR(IF(INDEX(offices!$AL$2:$AL$61,MATCH($B194,offices!$A$2:$A$61,0))="","",INDEX(offices!$AL$2:$AL$61,MATCH($B194,offices!$A$2:$A$61,0))),"")))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IF($B195="","",IFERROR(IF(INDEX(offices!$N$2:$N$61,MATCH($B195,offices!$A$2:$A$61,0))="","",INDEX(offices!$N$2:$N$61,MATCH($B195,offices!$A$2:$A$61,0))),""))</f>
        <v/>
      </c>
      <c r="L195" s="30" t="str">
        <f aca="false">IF($A195="","",IF($Q195="N","",COUNTIFS($A$2:$A195,$A195,$Q$2:$Q195,"&lt;&gt;N")))</f>
        <v/>
      </c>
      <c r="M195" s="30" t="str">
        <f aca="false">IF(OR($A195="",$L195=""),"",IF(AND(config!$B$34="names_if_public",IFERROR(IF(INDEX(offices!$AF$2:$AF$61,MATCH($B195,offices!$A$2:$A$61,0))="","",INDEX(offices!$AF$2:$AF$61,MATCH($B195,offices!$A$2:$A$61,0))),"")="Y"),$K195,CHAR(64+$L195)))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C$2:$AC$61,MATCH($B195,offices!$A$2:$A$61,0))="","",INDEX(offices!$AC$2:$AC$61,MATCH($B195,offices!$A$2:$A$61,0))),"")&lt;&gt;"",ISNUMBER(SEARCH($J195,IFERROR(IF(INDEX(offices!$AC$2:$AC$61,MATCH($B195,offices!$A$2:$A$61,0))="","",INDEX(offices!$AC$2:$AC$61,MATCH($B195,offices!$A$2:$A$61,0))),"")))),"BRAND VETOED; ","")&amp;IF(ISNUMBER(SEARCH(IFERROR(IF(INDEX(campaigns!$BF$2:$BF$51,MATCH($A195,campaigns!$A$2:$A$51,0))="","",INDEX(campaigns!$BF$2:$BF$51,MATCH($A195,campaigns!$A$2:$A$51,0))),""),IFERROR(IF(INDEX(offices!$AB$2:$AB$61,MATCH($B195,offices!$A$2:$A$61,0))="","",INDEX(offices!$AB$2:$AB$61,MATCH($B195,offices!$A$2:$A$61,0))),""))),"","info: category not on the office's list; ")&amp;IF(IFERROR(IF(INDEX(offices!$AC$2:$AC$61,MATCH($B195,offices!$A$2:$A$61,0))="","",INDEX(offices!$AC$2:$AC$61,MATCH($B195,offices!$A$2:$A$61,0))),"")&lt;&gt;"","info: read the vetoes against the label; ",""))</f>
        <v/>
      </c>
      <c r="S195" s="30" t="str">
        <f aca="false">IF($A195="","",IF($G195&lt;&gt;"",$G195,IFERROR(IF(INDEX(offices!$AL$2:$AL$61,MATCH($B195,offices!$A$2:$A$61,0))="","",INDEX(offices!$AL$2:$AL$61,MATCH($B195,offices!$A$2:$A$61,0))),"")))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IF($B196="","",IFERROR(IF(INDEX(offices!$N$2:$N$61,MATCH($B196,offices!$A$2:$A$61,0))="","",INDEX(offices!$N$2:$N$61,MATCH($B196,offices!$A$2:$A$61,0))),""))</f>
        <v/>
      </c>
      <c r="L196" s="30" t="str">
        <f aca="false">IF($A196="","",IF($Q196="N","",COUNTIFS($A$2:$A196,$A196,$Q$2:$Q196,"&lt;&gt;N")))</f>
        <v/>
      </c>
      <c r="M196" s="30" t="str">
        <f aca="false">IF(OR($A196="",$L196=""),"",IF(AND(config!$B$34="names_if_public",IFERROR(IF(INDEX(offices!$AF$2:$AF$61,MATCH($B196,offices!$A$2:$A$61,0))="","",INDEX(offices!$AF$2:$AF$61,MATCH($B196,offices!$A$2:$A$61,0))),"")="Y"),$K196,CHAR(64+$L196)))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C$2:$AC$61,MATCH($B196,offices!$A$2:$A$61,0))="","",INDEX(offices!$AC$2:$AC$61,MATCH($B196,offices!$A$2:$A$61,0))),"")&lt;&gt;"",ISNUMBER(SEARCH($J196,IFERROR(IF(INDEX(offices!$AC$2:$AC$61,MATCH($B196,offices!$A$2:$A$61,0))="","",INDEX(offices!$AC$2:$AC$61,MATCH($B196,offices!$A$2:$A$61,0))),"")))),"BRAND VETOED; ","")&amp;IF(ISNUMBER(SEARCH(IFERROR(IF(INDEX(campaigns!$BF$2:$BF$51,MATCH($A196,campaigns!$A$2:$A$51,0))="","",INDEX(campaigns!$BF$2:$BF$51,MATCH($A196,campaigns!$A$2:$A$51,0))),""),IFERROR(IF(INDEX(offices!$AB$2:$AB$61,MATCH($B196,offices!$A$2:$A$61,0))="","",INDEX(offices!$AB$2:$AB$61,MATCH($B196,offices!$A$2:$A$61,0))),""))),"","info: category not on the office's list; ")&amp;IF(IFERROR(IF(INDEX(offices!$AC$2:$AC$61,MATCH($B196,offices!$A$2:$A$61,0))="","",INDEX(offices!$AC$2:$AC$61,MATCH($B196,offices!$A$2:$A$61,0))),"")&lt;&gt;"","info: read the vetoes against the label; ",""))</f>
        <v/>
      </c>
      <c r="S196" s="30" t="str">
        <f aca="false">IF($A196="","",IF($G196&lt;&gt;"",$G196,IFERROR(IF(INDEX(offices!$AL$2:$AL$61,MATCH($B196,offices!$A$2:$A$61,0))="","",INDEX(offices!$AL$2:$AL$61,MATCH($B196,offices!$A$2:$A$61,0))),"")))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IF($B197="","",IFERROR(IF(INDEX(offices!$N$2:$N$61,MATCH($B197,offices!$A$2:$A$61,0))="","",INDEX(offices!$N$2:$N$61,MATCH($B197,offices!$A$2:$A$61,0))),""))</f>
        <v/>
      </c>
      <c r="L197" s="30" t="str">
        <f aca="false">IF($A197="","",IF($Q197="N","",COUNTIFS($A$2:$A197,$A197,$Q$2:$Q197,"&lt;&gt;N")))</f>
        <v/>
      </c>
      <c r="M197" s="30" t="str">
        <f aca="false">IF(OR($A197="",$L197=""),"",IF(AND(config!$B$34="names_if_public",IFERROR(IF(INDEX(offices!$AF$2:$AF$61,MATCH($B197,offices!$A$2:$A$61,0))="","",INDEX(offices!$AF$2:$AF$61,MATCH($B197,offices!$A$2:$A$61,0))),"")="Y"),$K197,CHAR(64+$L197)))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C$2:$AC$61,MATCH($B197,offices!$A$2:$A$61,0))="","",INDEX(offices!$AC$2:$AC$61,MATCH($B197,offices!$A$2:$A$61,0))),"")&lt;&gt;"",ISNUMBER(SEARCH($J197,IFERROR(IF(INDEX(offices!$AC$2:$AC$61,MATCH($B197,offices!$A$2:$A$61,0))="","",INDEX(offices!$AC$2:$AC$61,MATCH($B197,offices!$A$2:$A$61,0))),"")))),"BRAND VETOED; ","")&amp;IF(ISNUMBER(SEARCH(IFERROR(IF(INDEX(campaigns!$BF$2:$BF$51,MATCH($A197,campaigns!$A$2:$A$51,0))="","",INDEX(campaigns!$BF$2:$BF$51,MATCH($A197,campaigns!$A$2:$A$51,0))),""),IFERROR(IF(INDEX(offices!$AB$2:$AB$61,MATCH($B197,offices!$A$2:$A$61,0))="","",INDEX(offices!$AB$2:$AB$61,MATCH($B197,offices!$A$2:$A$61,0))),""))),"","info: category not on the office's list; ")&amp;IF(IFERROR(IF(INDEX(offices!$AC$2:$AC$61,MATCH($B197,offices!$A$2:$A$61,0))="","",INDEX(offices!$AC$2:$AC$61,MATCH($B197,offices!$A$2:$A$61,0))),"")&lt;&gt;"","info: read the vetoes against the label; ",""))</f>
        <v/>
      </c>
      <c r="S197" s="30" t="str">
        <f aca="false">IF($A197="","",IF($G197&lt;&gt;"",$G197,IFERROR(IF(INDEX(offices!$AL$2:$AL$61,MATCH($B197,offices!$A$2:$A$61,0))="","",INDEX(offices!$AL$2:$AL$61,MATCH($B197,offices!$A$2:$A$61,0))),"")))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IF($B198="","",IFERROR(IF(INDEX(offices!$N$2:$N$61,MATCH($B198,offices!$A$2:$A$61,0))="","",INDEX(offices!$N$2:$N$61,MATCH($B198,offices!$A$2:$A$61,0))),""))</f>
        <v/>
      </c>
      <c r="L198" s="30" t="str">
        <f aca="false">IF($A198="","",IF($Q198="N","",COUNTIFS($A$2:$A198,$A198,$Q$2:$Q198,"&lt;&gt;N")))</f>
        <v/>
      </c>
      <c r="M198" s="30" t="str">
        <f aca="false">IF(OR($A198="",$L198=""),"",IF(AND(config!$B$34="names_if_public",IFERROR(IF(INDEX(offices!$AF$2:$AF$61,MATCH($B198,offices!$A$2:$A$61,0))="","",INDEX(offices!$AF$2:$AF$61,MATCH($B198,offices!$A$2:$A$61,0))),"")="Y"),$K198,CHAR(64+$L198)))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C$2:$AC$61,MATCH($B198,offices!$A$2:$A$61,0))="","",INDEX(offices!$AC$2:$AC$61,MATCH($B198,offices!$A$2:$A$61,0))),"")&lt;&gt;"",ISNUMBER(SEARCH($J198,IFERROR(IF(INDEX(offices!$AC$2:$AC$61,MATCH($B198,offices!$A$2:$A$61,0))="","",INDEX(offices!$AC$2:$AC$61,MATCH($B198,offices!$A$2:$A$61,0))),"")))),"BRAND VETOED; ","")&amp;IF(ISNUMBER(SEARCH(IFERROR(IF(INDEX(campaigns!$BF$2:$BF$51,MATCH($A198,campaigns!$A$2:$A$51,0))="","",INDEX(campaigns!$BF$2:$BF$51,MATCH($A198,campaigns!$A$2:$A$51,0))),""),IFERROR(IF(INDEX(offices!$AB$2:$AB$61,MATCH($B198,offices!$A$2:$A$61,0))="","",INDEX(offices!$AB$2:$AB$61,MATCH($B198,offices!$A$2:$A$61,0))),""))),"","info: category not on the office's list; ")&amp;IF(IFERROR(IF(INDEX(offices!$AC$2:$AC$61,MATCH($B198,offices!$A$2:$A$61,0))="","",INDEX(offices!$AC$2:$AC$61,MATCH($B198,offices!$A$2:$A$61,0))),"")&lt;&gt;"","info: read the vetoes against the label; ",""))</f>
        <v/>
      </c>
      <c r="S198" s="30" t="str">
        <f aca="false">IF($A198="","",IF($G198&lt;&gt;"",$G198,IFERROR(IF(INDEX(offices!$AL$2:$AL$61,MATCH($B198,offices!$A$2:$A$61,0))="","",INDEX(offices!$AL$2:$AL$61,MATCH($B198,offices!$A$2:$A$61,0))),"")))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IF($B199="","",IFERROR(IF(INDEX(offices!$N$2:$N$61,MATCH($B199,offices!$A$2:$A$61,0))="","",INDEX(offices!$N$2:$N$61,MATCH($B199,offices!$A$2:$A$61,0))),""))</f>
        <v/>
      </c>
      <c r="L199" s="30" t="str">
        <f aca="false">IF($A199="","",IF($Q199="N","",COUNTIFS($A$2:$A199,$A199,$Q$2:$Q199,"&lt;&gt;N")))</f>
        <v/>
      </c>
      <c r="M199" s="30" t="str">
        <f aca="false">IF(OR($A199="",$L199=""),"",IF(AND(config!$B$34="names_if_public",IFERROR(IF(INDEX(offices!$AF$2:$AF$61,MATCH($B199,offices!$A$2:$A$61,0))="","",INDEX(offices!$AF$2:$AF$61,MATCH($B199,offices!$A$2:$A$61,0))),"")="Y"),$K199,CHAR(64+$L199)))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C$2:$AC$61,MATCH($B199,offices!$A$2:$A$61,0))="","",INDEX(offices!$AC$2:$AC$61,MATCH($B199,offices!$A$2:$A$61,0))),"")&lt;&gt;"",ISNUMBER(SEARCH($J199,IFERROR(IF(INDEX(offices!$AC$2:$AC$61,MATCH($B199,offices!$A$2:$A$61,0))="","",INDEX(offices!$AC$2:$AC$61,MATCH($B199,offices!$A$2:$A$61,0))),"")))),"BRAND VETOED; ","")&amp;IF(ISNUMBER(SEARCH(IFERROR(IF(INDEX(campaigns!$BF$2:$BF$51,MATCH($A199,campaigns!$A$2:$A$51,0))="","",INDEX(campaigns!$BF$2:$BF$51,MATCH($A199,campaigns!$A$2:$A$51,0))),""),IFERROR(IF(INDEX(offices!$AB$2:$AB$61,MATCH($B199,offices!$A$2:$A$61,0))="","",INDEX(offices!$AB$2:$AB$61,MATCH($B199,offices!$A$2:$A$61,0))),""))),"","info: category not on the office's list; ")&amp;IF(IFERROR(IF(INDEX(offices!$AC$2:$AC$61,MATCH($B199,offices!$A$2:$A$61,0))="","",INDEX(offices!$AC$2:$AC$61,MATCH($B199,offices!$A$2:$A$61,0))),"")&lt;&gt;"","info: read the vetoes against the label; ",""))</f>
        <v/>
      </c>
      <c r="S199" s="30" t="str">
        <f aca="false">IF($A199="","",IF($G199&lt;&gt;"",$G199,IFERROR(IF(INDEX(offices!$AL$2:$AL$61,MATCH($B199,offices!$A$2:$A$61,0))="","",INDEX(offices!$AL$2:$AL$61,MATCH($B199,offices!$A$2:$A$61,0))),"")))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IF($B200="","",IFERROR(IF(INDEX(offices!$N$2:$N$61,MATCH($B200,offices!$A$2:$A$61,0))="","",INDEX(offices!$N$2:$N$61,MATCH($B200,offices!$A$2:$A$61,0))),""))</f>
        <v/>
      </c>
      <c r="L200" s="30" t="str">
        <f aca="false">IF($A200="","",IF($Q200="N","",COUNTIFS($A$2:$A200,$A200,$Q$2:$Q200,"&lt;&gt;N")))</f>
        <v/>
      </c>
      <c r="M200" s="30" t="str">
        <f aca="false">IF(OR($A200="",$L200=""),"",IF(AND(config!$B$34="names_if_public",IFERROR(IF(INDEX(offices!$AF$2:$AF$61,MATCH($B200,offices!$A$2:$A$61,0))="","",INDEX(offices!$AF$2:$AF$61,MATCH($B200,offices!$A$2:$A$61,0))),"")="Y"),$K200,CHAR(64+$L200)))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C$2:$AC$61,MATCH($B200,offices!$A$2:$A$61,0))="","",INDEX(offices!$AC$2:$AC$61,MATCH($B200,offices!$A$2:$A$61,0))),"")&lt;&gt;"",ISNUMBER(SEARCH($J200,IFERROR(IF(INDEX(offices!$AC$2:$AC$61,MATCH($B200,offices!$A$2:$A$61,0))="","",INDEX(offices!$AC$2:$AC$61,MATCH($B200,offices!$A$2:$A$61,0))),"")))),"BRAND VETOED; ","")&amp;IF(ISNUMBER(SEARCH(IFERROR(IF(INDEX(campaigns!$BF$2:$BF$51,MATCH($A200,campaigns!$A$2:$A$51,0))="","",INDEX(campaigns!$BF$2:$BF$51,MATCH($A200,campaigns!$A$2:$A$51,0))),""),IFERROR(IF(INDEX(offices!$AB$2:$AB$61,MATCH($B200,offices!$A$2:$A$61,0))="","",INDEX(offices!$AB$2:$AB$61,MATCH($B200,offices!$A$2:$A$61,0))),""))),"","info: category not on the office's list; ")&amp;IF(IFERROR(IF(INDEX(offices!$AC$2:$AC$61,MATCH($B200,offices!$A$2:$A$61,0))="","",INDEX(offices!$AC$2:$AC$61,MATCH($B200,offices!$A$2:$A$61,0))),"")&lt;&gt;"","info: read the vetoes against the label; ",""))</f>
        <v/>
      </c>
      <c r="S200" s="30" t="str">
        <f aca="false">IF($A200="","",IF($G200&lt;&gt;"",$G200,IFERROR(IF(INDEX(offices!$AL$2:$AL$61,MATCH($B200,offices!$A$2:$A$61,0))="","",INDEX(offices!$AL$2:$AL$61,MATCH($B200,offices!$A$2:$A$61,0))),"")))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IF($B201="","",IFERROR(IF(INDEX(offices!$N$2:$N$61,MATCH($B201,offices!$A$2:$A$61,0))="","",INDEX(offices!$N$2:$N$61,MATCH($B201,offices!$A$2:$A$61,0))),""))</f>
        <v/>
      </c>
      <c r="L201" s="30" t="str">
        <f aca="false">IF($A201="","",IF($Q201="N","",COUNTIFS($A$2:$A201,$A201,$Q$2:$Q201,"&lt;&gt;N")))</f>
        <v/>
      </c>
      <c r="M201" s="30" t="str">
        <f aca="false">IF(OR($A201="",$L201=""),"",IF(AND(config!$B$34="names_if_public",IFERROR(IF(INDEX(offices!$AF$2:$AF$61,MATCH($B201,offices!$A$2:$A$61,0))="","",INDEX(offices!$AF$2:$AF$61,MATCH($B201,offices!$A$2:$A$61,0))),"")="Y"),$K201,CHAR(64+$L201)))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C$2:$AC$61,MATCH($B201,offices!$A$2:$A$61,0))="","",INDEX(offices!$AC$2:$AC$61,MATCH($B201,offices!$A$2:$A$61,0))),"")&lt;&gt;"",ISNUMBER(SEARCH($J201,IFERROR(IF(INDEX(offices!$AC$2:$AC$61,MATCH($B201,offices!$A$2:$A$61,0))="","",INDEX(offices!$AC$2:$AC$61,MATCH($B201,offices!$A$2:$A$61,0))),"")))),"BRAND VETOED; ","")&amp;IF(ISNUMBER(SEARCH(IFERROR(IF(INDEX(campaigns!$BF$2:$BF$51,MATCH($A201,campaigns!$A$2:$A$51,0))="","",INDEX(campaigns!$BF$2:$BF$51,MATCH($A201,campaigns!$A$2:$A$51,0))),""),IFERROR(IF(INDEX(offices!$AB$2:$AB$61,MATCH($B201,offices!$A$2:$A$61,0))="","",INDEX(offices!$AB$2:$AB$61,MATCH($B201,offices!$A$2:$A$61,0))),""))),"","info: category not on the office's list; ")&amp;IF(IFERROR(IF(INDEX(offices!$AC$2:$AC$61,MATCH($B201,offices!$A$2:$A$61,0))="","",INDEX(offices!$AC$2:$AC$61,MATCH($B201,offices!$A$2:$A$61,0))),"")&lt;&gt;"","info: read the vetoes against the label; ",""))</f>
        <v/>
      </c>
      <c r="S201" s="30" t="str">
        <f aca="false">IF($A201="","",IF($G201&lt;&gt;"",$G201,IFERROR(IF(INDEX(offices!$AL$2:$AL$61,MATCH($B201,offices!$A$2:$A$61,0))="","",INDEX(offices!$AL$2:$AL$61,MATCH($B201,offices!$A$2:$A$61,0))),"")))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IF($B202="","",IFERROR(IF(INDEX(offices!$N$2:$N$61,MATCH($B202,offices!$A$2:$A$61,0))="","",INDEX(offices!$N$2:$N$61,MATCH($B202,offices!$A$2:$A$61,0))),""))</f>
        <v/>
      </c>
      <c r="L202" s="30" t="str">
        <f aca="false">IF($A202="","",IF($Q202="N","",COUNTIFS($A$2:$A202,$A202,$Q$2:$Q202,"&lt;&gt;N")))</f>
        <v/>
      </c>
      <c r="M202" s="30" t="str">
        <f aca="false">IF(OR($A202="",$L202=""),"",IF(AND(config!$B$34="names_if_public",IFERROR(IF(INDEX(offices!$AF$2:$AF$61,MATCH($B202,offices!$A$2:$A$61,0))="","",INDEX(offices!$AF$2:$AF$61,MATCH($B202,offices!$A$2:$A$61,0))),"")="Y"),$K202,CHAR(64+$L202)))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C$2:$AC$61,MATCH($B202,offices!$A$2:$A$61,0))="","",INDEX(offices!$AC$2:$AC$61,MATCH($B202,offices!$A$2:$A$61,0))),"")&lt;&gt;"",ISNUMBER(SEARCH($J202,IFERROR(IF(INDEX(offices!$AC$2:$AC$61,MATCH($B202,offices!$A$2:$A$61,0))="","",INDEX(offices!$AC$2:$AC$61,MATCH($B202,offices!$A$2:$A$61,0))),"")))),"BRAND VETOED; ","")&amp;IF(ISNUMBER(SEARCH(IFERROR(IF(INDEX(campaigns!$BF$2:$BF$51,MATCH($A202,campaigns!$A$2:$A$51,0))="","",INDEX(campaigns!$BF$2:$BF$51,MATCH($A202,campaigns!$A$2:$A$51,0))),""),IFERROR(IF(INDEX(offices!$AB$2:$AB$61,MATCH($B202,offices!$A$2:$A$61,0))="","",INDEX(offices!$AB$2:$AB$61,MATCH($B202,offices!$A$2:$A$61,0))),""))),"","info: category not on the office's list; ")&amp;IF(IFERROR(IF(INDEX(offices!$AC$2:$AC$61,MATCH($B202,offices!$A$2:$A$61,0))="","",INDEX(offices!$AC$2:$AC$61,MATCH($B202,offices!$A$2:$A$61,0))),"")&lt;&gt;"","info: read the vetoes against the label; ",""))</f>
        <v/>
      </c>
      <c r="S202" s="30" t="str">
        <f aca="false">IF($A202="","",IF($G202&lt;&gt;"",$G202,IFERROR(IF(INDEX(offices!$AL$2:$AL$61,MATCH($B202,offices!$A$2:$A$61,0))="","",INDEX(offices!$AL$2:$AL$61,MATCH($B202,offices!$A$2:$A$61,0))),"")))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IF($B203="","",IFERROR(IF(INDEX(offices!$N$2:$N$61,MATCH($B203,offices!$A$2:$A$61,0))="","",INDEX(offices!$N$2:$N$61,MATCH($B203,offices!$A$2:$A$61,0))),""))</f>
        <v/>
      </c>
      <c r="L203" s="30" t="str">
        <f aca="false">IF($A203="","",IF($Q203="N","",COUNTIFS($A$2:$A203,$A203,$Q$2:$Q203,"&lt;&gt;N")))</f>
        <v/>
      </c>
      <c r="M203" s="30" t="str">
        <f aca="false">IF(OR($A203="",$L203=""),"",IF(AND(config!$B$34="names_if_public",IFERROR(IF(INDEX(offices!$AF$2:$AF$61,MATCH($B203,offices!$A$2:$A$61,0))="","",INDEX(offices!$AF$2:$AF$61,MATCH($B203,offices!$A$2:$A$61,0))),"")="Y"),$K203,CHAR(64+$L203)))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C$2:$AC$61,MATCH($B203,offices!$A$2:$A$61,0))="","",INDEX(offices!$AC$2:$AC$61,MATCH($B203,offices!$A$2:$A$61,0))),"")&lt;&gt;"",ISNUMBER(SEARCH($J203,IFERROR(IF(INDEX(offices!$AC$2:$AC$61,MATCH($B203,offices!$A$2:$A$61,0))="","",INDEX(offices!$AC$2:$AC$61,MATCH($B203,offices!$A$2:$A$61,0))),"")))),"BRAND VETOED; ","")&amp;IF(ISNUMBER(SEARCH(IFERROR(IF(INDEX(campaigns!$BF$2:$BF$51,MATCH($A203,campaigns!$A$2:$A$51,0))="","",INDEX(campaigns!$BF$2:$BF$51,MATCH($A203,campaigns!$A$2:$A$51,0))),""),IFERROR(IF(INDEX(offices!$AB$2:$AB$61,MATCH($B203,offices!$A$2:$A$61,0))="","",INDEX(offices!$AB$2:$AB$61,MATCH($B203,offices!$A$2:$A$61,0))),""))),"","info: category not on the office's list; ")&amp;IF(IFERROR(IF(INDEX(offices!$AC$2:$AC$61,MATCH($B203,offices!$A$2:$A$61,0))="","",INDEX(offices!$AC$2:$AC$61,MATCH($B203,offices!$A$2:$A$61,0))),"")&lt;&gt;"","info: read the vetoes against the label; ",""))</f>
        <v/>
      </c>
      <c r="S203" s="30" t="str">
        <f aca="false">IF($A203="","",IF($G203&lt;&gt;"",$G203,IFERROR(IF(INDEX(offices!$AL$2:$AL$61,MATCH($B203,offices!$A$2:$A$61,0))="","",INDEX(offices!$AL$2:$AL$61,MATCH($B203,offices!$A$2:$A$61,0))),"")))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IF($B204="","",IFERROR(IF(INDEX(offices!$N$2:$N$61,MATCH($B204,offices!$A$2:$A$61,0))="","",INDEX(offices!$N$2:$N$61,MATCH($B204,offices!$A$2:$A$61,0))),""))</f>
        <v/>
      </c>
      <c r="L204" s="30" t="str">
        <f aca="false">IF($A204="","",IF($Q204="N","",COUNTIFS($A$2:$A204,$A204,$Q$2:$Q204,"&lt;&gt;N")))</f>
        <v/>
      </c>
      <c r="M204" s="30" t="str">
        <f aca="false">IF(OR($A204="",$L204=""),"",IF(AND(config!$B$34="names_if_public",IFERROR(IF(INDEX(offices!$AF$2:$AF$61,MATCH($B204,offices!$A$2:$A$61,0))="","",INDEX(offices!$AF$2:$AF$61,MATCH($B204,offices!$A$2:$A$61,0))),"")="Y"),$K204,CHAR(64+$L204)))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C$2:$AC$61,MATCH($B204,offices!$A$2:$A$61,0))="","",INDEX(offices!$AC$2:$AC$61,MATCH($B204,offices!$A$2:$A$61,0))),"")&lt;&gt;"",ISNUMBER(SEARCH($J204,IFERROR(IF(INDEX(offices!$AC$2:$AC$61,MATCH($B204,offices!$A$2:$A$61,0))="","",INDEX(offices!$AC$2:$AC$61,MATCH($B204,offices!$A$2:$A$61,0))),"")))),"BRAND VETOED; ","")&amp;IF(ISNUMBER(SEARCH(IFERROR(IF(INDEX(campaigns!$BF$2:$BF$51,MATCH($A204,campaigns!$A$2:$A$51,0))="","",INDEX(campaigns!$BF$2:$BF$51,MATCH($A204,campaigns!$A$2:$A$51,0))),""),IFERROR(IF(INDEX(offices!$AB$2:$AB$61,MATCH($B204,offices!$A$2:$A$61,0))="","",INDEX(offices!$AB$2:$AB$61,MATCH($B204,offices!$A$2:$A$61,0))),""))),"","info: category not on the office's list; ")&amp;IF(IFERROR(IF(INDEX(offices!$AC$2:$AC$61,MATCH($B204,offices!$A$2:$A$61,0))="","",INDEX(offices!$AC$2:$AC$61,MATCH($B204,offices!$A$2:$A$61,0))),"")&lt;&gt;"","info: read the vetoes against the label; ",""))</f>
        <v/>
      </c>
      <c r="S204" s="30" t="str">
        <f aca="false">IF($A204="","",IF($G204&lt;&gt;"",$G204,IFERROR(IF(INDEX(offices!$AL$2:$AL$61,MATCH($B204,offices!$A$2:$A$61,0))="","",INDEX(offices!$AL$2:$AL$61,MATCH($B204,offices!$A$2:$A$61,0))),"")))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IF($B205="","",IFERROR(IF(INDEX(offices!$N$2:$N$61,MATCH($B205,offices!$A$2:$A$61,0))="","",INDEX(offices!$N$2:$N$61,MATCH($B205,offices!$A$2:$A$61,0))),""))</f>
        <v/>
      </c>
      <c r="L205" s="30" t="str">
        <f aca="false">IF($A205="","",IF($Q205="N","",COUNTIFS($A$2:$A205,$A205,$Q$2:$Q205,"&lt;&gt;N")))</f>
        <v/>
      </c>
      <c r="M205" s="30" t="str">
        <f aca="false">IF(OR($A205="",$L205=""),"",IF(AND(config!$B$34="names_if_public",IFERROR(IF(INDEX(offices!$AF$2:$AF$61,MATCH($B205,offices!$A$2:$A$61,0))="","",INDEX(offices!$AF$2:$AF$61,MATCH($B205,offices!$A$2:$A$61,0))),"")="Y"),$K205,CHAR(64+$L205)))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C$2:$AC$61,MATCH($B205,offices!$A$2:$A$61,0))="","",INDEX(offices!$AC$2:$AC$61,MATCH($B205,offices!$A$2:$A$61,0))),"")&lt;&gt;"",ISNUMBER(SEARCH($J205,IFERROR(IF(INDEX(offices!$AC$2:$AC$61,MATCH($B205,offices!$A$2:$A$61,0))="","",INDEX(offices!$AC$2:$AC$61,MATCH($B205,offices!$A$2:$A$61,0))),"")))),"BRAND VETOED; ","")&amp;IF(ISNUMBER(SEARCH(IFERROR(IF(INDEX(campaigns!$BF$2:$BF$51,MATCH($A205,campaigns!$A$2:$A$51,0))="","",INDEX(campaigns!$BF$2:$BF$51,MATCH($A205,campaigns!$A$2:$A$51,0))),""),IFERROR(IF(INDEX(offices!$AB$2:$AB$61,MATCH($B205,offices!$A$2:$A$61,0))="","",INDEX(offices!$AB$2:$AB$61,MATCH($B205,offices!$A$2:$A$61,0))),""))),"","info: category not on the office's list; ")&amp;IF(IFERROR(IF(INDEX(offices!$AC$2:$AC$61,MATCH($B205,offices!$A$2:$A$61,0))="","",INDEX(offices!$AC$2:$AC$61,MATCH($B205,offices!$A$2:$A$61,0))),"")&lt;&gt;"","info: read the vetoes against the label; ",""))</f>
        <v/>
      </c>
      <c r="S205" s="30" t="str">
        <f aca="false">IF($A205="","",IF($G205&lt;&gt;"",$G205,IFERROR(IF(INDEX(offices!$AL$2:$AL$61,MATCH($B205,offices!$A$2:$A$61,0))="","",INDEX(offices!$AL$2:$AL$61,MATCH($B205,offices!$A$2:$A$61,0))),"")))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IF($B206="","",IFERROR(IF(INDEX(offices!$N$2:$N$61,MATCH($B206,offices!$A$2:$A$61,0))="","",INDEX(offices!$N$2:$N$61,MATCH($B206,offices!$A$2:$A$61,0))),""))</f>
        <v/>
      </c>
      <c r="L206" s="30" t="str">
        <f aca="false">IF($A206="","",IF($Q206="N","",COUNTIFS($A$2:$A206,$A206,$Q$2:$Q206,"&lt;&gt;N")))</f>
        <v/>
      </c>
      <c r="M206" s="30" t="str">
        <f aca="false">IF(OR($A206="",$L206=""),"",IF(AND(config!$B$34="names_if_public",IFERROR(IF(INDEX(offices!$AF$2:$AF$61,MATCH($B206,offices!$A$2:$A$61,0))="","",INDEX(offices!$AF$2:$AF$61,MATCH($B206,offices!$A$2:$A$61,0))),"")="Y"),$K206,CHAR(64+$L206)))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C$2:$AC$61,MATCH($B206,offices!$A$2:$A$61,0))="","",INDEX(offices!$AC$2:$AC$61,MATCH($B206,offices!$A$2:$A$61,0))),"")&lt;&gt;"",ISNUMBER(SEARCH($J206,IFERROR(IF(INDEX(offices!$AC$2:$AC$61,MATCH($B206,offices!$A$2:$A$61,0))="","",INDEX(offices!$AC$2:$AC$61,MATCH($B206,offices!$A$2:$A$61,0))),"")))),"BRAND VETOED; ","")&amp;IF(ISNUMBER(SEARCH(IFERROR(IF(INDEX(campaigns!$BF$2:$BF$51,MATCH($A206,campaigns!$A$2:$A$51,0))="","",INDEX(campaigns!$BF$2:$BF$51,MATCH($A206,campaigns!$A$2:$A$51,0))),""),IFERROR(IF(INDEX(offices!$AB$2:$AB$61,MATCH($B206,offices!$A$2:$A$61,0))="","",INDEX(offices!$AB$2:$AB$61,MATCH($B206,offices!$A$2:$A$61,0))),""))),"","info: category not on the office's list; ")&amp;IF(IFERROR(IF(INDEX(offices!$AC$2:$AC$61,MATCH($B206,offices!$A$2:$A$61,0))="","",INDEX(offices!$AC$2:$AC$61,MATCH($B206,offices!$A$2:$A$61,0))),"")&lt;&gt;"","info: read the vetoes against the label; ",""))</f>
        <v/>
      </c>
      <c r="S206" s="30" t="str">
        <f aca="false">IF($A206="","",IF($G206&lt;&gt;"",$G206,IFERROR(IF(INDEX(offices!$AL$2:$AL$61,MATCH($B206,offices!$A$2:$A$61,0))="","",INDEX(offices!$AL$2:$AL$61,MATCH($B206,offices!$A$2:$A$61,0))),"")))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IF($B207="","",IFERROR(IF(INDEX(offices!$N$2:$N$61,MATCH($B207,offices!$A$2:$A$61,0))="","",INDEX(offices!$N$2:$N$61,MATCH($B207,offices!$A$2:$A$61,0))),""))</f>
        <v/>
      </c>
      <c r="L207" s="30" t="str">
        <f aca="false">IF($A207="","",IF($Q207="N","",COUNTIFS($A$2:$A207,$A207,$Q$2:$Q207,"&lt;&gt;N")))</f>
        <v/>
      </c>
      <c r="M207" s="30" t="str">
        <f aca="false">IF(OR($A207="",$L207=""),"",IF(AND(config!$B$34="names_if_public",IFERROR(IF(INDEX(offices!$AF$2:$AF$61,MATCH($B207,offices!$A$2:$A$61,0))="","",INDEX(offices!$AF$2:$AF$61,MATCH($B207,offices!$A$2:$A$61,0))),"")="Y"),$K207,CHAR(64+$L207)))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C$2:$AC$61,MATCH($B207,offices!$A$2:$A$61,0))="","",INDEX(offices!$AC$2:$AC$61,MATCH($B207,offices!$A$2:$A$61,0))),"")&lt;&gt;"",ISNUMBER(SEARCH($J207,IFERROR(IF(INDEX(offices!$AC$2:$AC$61,MATCH($B207,offices!$A$2:$A$61,0))="","",INDEX(offices!$AC$2:$AC$61,MATCH($B207,offices!$A$2:$A$61,0))),"")))),"BRAND VETOED; ","")&amp;IF(ISNUMBER(SEARCH(IFERROR(IF(INDEX(campaigns!$BF$2:$BF$51,MATCH($A207,campaigns!$A$2:$A$51,0))="","",INDEX(campaigns!$BF$2:$BF$51,MATCH($A207,campaigns!$A$2:$A$51,0))),""),IFERROR(IF(INDEX(offices!$AB$2:$AB$61,MATCH($B207,offices!$A$2:$A$61,0))="","",INDEX(offices!$AB$2:$AB$61,MATCH($B207,offices!$A$2:$A$61,0))),""))),"","info: category not on the office's list; ")&amp;IF(IFERROR(IF(INDEX(offices!$AC$2:$AC$61,MATCH($B207,offices!$A$2:$A$61,0))="","",INDEX(offices!$AC$2:$AC$61,MATCH($B207,offices!$A$2:$A$61,0))),"")&lt;&gt;"","info: read the vetoes against the label; ",""))</f>
        <v/>
      </c>
      <c r="S207" s="30" t="str">
        <f aca="false">IF($A207="","",IF($G207&lt;&gt;"",$G207,IFERROR(IF(INDEX(offices!$AL$2:$AL$61,MATCH($B207,offices!$A$2:$A$61,0))="","",INDEX(offices!$AL$2:$AL$61,MATCH($B207,offices!$A$2:$A$61,0))),"")))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IF($B208="","",IFERROR(IF(INDEX(offices!$N$2:$N$61,MATCH($B208,offices!$A$2:$A$61,0))="","",INDEX(offices!$N$2:$N$61,MATCH($B208,offices!$A$2:$A$61,0))),""))</f>
        <v/>
      </c>
      <c r="L208" s="30" t="str">
        <f aca="false">IF($A208="","",IF($Q208="N","",COUNTIFS($A$2:$A208,$A208,$Q$2:$Q208,"&lt;&gt;N")))</f>
        <v/>
      </c>
      <c r="M208" s="30" t="str">
        <f aca="false">IF(OR($A208="",$L208=""),"",IF(AND(config!$B$34="names_if_public",IFERROR(IF(INDEX(offices!$AF$2:$AF$61,MATCH($B208,offices!$A$2:$A$61,0))="","",INDEX(offices!$AF$2:$AF$61,MATCH($B208,offices!$A$2:$A$61,0))),"")="Y"),$K208,CHAR(64+$L208)))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C$2:$AC$61,MATCH($B208,offices!$A$2:$A$61,0))="","",INDEX(offices!$AC$2:$AC$61,MATCH($B208,offices!$A$2:$A$61,0))),"")&lt;&gt;"",ISNUMBER(SEARCH($J208,IFERROR(IF(INDEX(offices!$AC$2:$AC$61,MATCH($B208,offices!$A$2:$A$61,0))="","",INDEX(offices!$AC$2:$AC$61,MATCH($B208,offices!$A$2:$A$61,0))),"")))),"BRAND VETOED; ","")&amp;IF(ISNUMBER(SEARCH(IFERROR(IF(INDEX(campaigns!$BF$2:$BF$51,MATCH($A208,campaigns!$A$2:$A$51,0))="","",INDEX(campaigns!$BF$2:$BF$51,MATCH($A208,campaigns!$A$2:$A$51,0))),""),IFERROR(IF(INDEX(offices!$AB$2:$AB$61,MATCH($B208,offices!$A$2:$A$61,0))="","",INDEX(offices!$AB$2:$AB$61,MATCH($B208,offices!$A$2:$A$61,0))),""))),"","info: category not on the office's list; ")&amp;IF(IFERROR(IF(INDEX(offices!$AC$2:$AC$61,MATCH($B208,offices!$A$2:$A$61,0))="","",INDEX(offices!$AC$2:$AC$61,MATCH($B208,offices!$A$2:$A$61,0))),"")&lt;&gt;"","info: read the vetoes against the label; ",""))</f>
        <v/>
      </c>
      <c r="S208" s="30" t="str">
        <f aca="false">IF($A208="","",IF($G208&lt;&gt;"",$G208,IFERROR(IF(INDEX(offices!$AL$2:$AL$61,MATCH($B208,offices!$A$2:$A$61,0))="","",INDEX(offices!$AL$2:$AL$61,MATCH($B208,offices!$A$2:$A$61,0))),"")))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IF($B209="","",IFERROR(IF(INDEX(offices!$N$2:$N$61,MATCH($B209,offices!$A$2:$A$61,0))="","",INDEX(offices!$N$2:$N$61,MATCH($B209,offices!$A$2:$A$61,0))),""))</f>
        <v/>
      </c>
      <c r="L209" s="30" t="str">
        <f aca="false">IF($A209="","",IF($Q209="N","",COUNTIFS($A$2:$A209,$A209,$Q$2:$Q209,"&lt;&gt;N")))</f>
        <v/>
      </c>
      <c r="M209" s="30" t="str">
        <f aca="false">IF(OR($A209="",$L209=""),"",IF(AND(config!$B$34="names_if_public",IFERROR(IF(INDEX(offices!$AF$2:$AF$61,MATCH($B209,offices!$A$2:$A$61,0))="","",INDEX(offices!$AF$2:$AF$61,MATCH($B209,offices!$A$2:$A$61,0))),"")="Y"),$K209,CHAR(64+$L209)))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C$2:$AC$61,MATCH($B209,offices!$A$2:$A$61,0))="","",INDEX(offices!$AC$2:$AC$61,MATCH($B209,offices!$A$2:$A$61,0))),"")&lt;&gt;"",ISNUMBER(SEARCH($J209,IFERROR(IF(INDEX(offices!$AC$2:$AC$61,MATCH($B209,offices!$A$2:$A$61,0))="","",INDEX(offices!$AC$2:$AC$61,MATCH($B209,offices!$A$2:$A$61,0))),"")))),"BRAND VETOED; ","")&amp;IF(ISNUMBER(SEARCH(IFERROR(IF(INDEX(campaigns!$BF$2:$BF$51,MATCH($A209,campaigns!$A$2:$A$51,0))="","",INDEX(campaigns!$BF$2:$BF$51,MATCH($A209,campaigns!$A$2:$A$51,0))),""),IFERROR(IF(INDEX(offices!$AB$2:$AB$61,MATCH($B209,offices!$A$2:$A$61,0))="","",INDEX(offices!$AB$2:$AB$61,MATCH($B209,offices!$A$2:$A$61,0))),""))),"","info: category not on the office's list; ")&amp;IF(IFERROR(IF(INDEX(offices!$AC$2:$AC$61,MATCH($B209,offices!$A$2:$A$61,0))="","",INDEX(offices!$AC$2:$AC$61,MATCH($B209,offices!$A$2:$A$61,0))),"")&lt;&gt;"","info: read the vetoes against the label; ",""))</f>
        <v/>
      </c>
      <c r="S209" s="30" t="str">
        <f aca="false">IF($A209="","",IF($G209&lt;&gt;"",$G209,IFERROR(IF(INDEX(offices!$AL$2:$AL$61,MATCH($B209,offices!$A$2:$A$61,0))="","",INDEX(offices!$AL$2:$AL$61,MATCH($B209,offices!$A$2:$A$61,0))),"")))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IF($B210="","",IFERROR(IF(INDEX(offices!$N$2:$N$61,MATCH($B210,offices!$A$2:$A$61,0))="","",INDEX(offices!$N$2:$N$61,MATCH($B210,offices!$A$2:$A$61,0))),""))</f>
        <v/>
      </c>
      <c r="L210" s="30" t="str">
        <f aca="false">IF($A210="","",IF($Q210="N","",COUNTIFS($A$2:$A210,$A210,$Q$2:$Q210,"&lt;&gt;N")))</f>
        <v/>
      </c>
      <c r="M210" s="30" t="str">
        <f aca="false">IF(OR($A210="",$L210=""),"",IF(AND(config!$B$34="names_if_public",IFERROR(IF(INDEX(offices!$AF$2:$AF$61,MATCH($B210,offices!$A$2:$A$61,0))="","",INDEX(offices!$AF$2:$AF$61,MATCH($B210,offices!$A$2:$A$61,0))),"")="Y"),$K210,CHAR(64+$L210)))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C$2:$AC$61,MATCH($B210,offices!$A$2:$A$61,0))="","",INDEX(offices!$AC$2:$AC$61,MATCH($B210,offices!$A$2:$A$61,0))),"")&lt;&gt;"",ISNUMBER(SEARCH($J210,IFERROR(IF(INDEX(offices!$AC$2:$AC$61,MATCH($B210,offices!$A$2:$A$61,0))="","",INDEX(offices!$AC$2:$AC$61,MATCH($B210,offices!$A$2:$A$61,0))),"")))),"BRAND VETOED; ","")&amp;IF(ISNUMBER(SEARCH(IFERROR(IF(INDEX(campaigns!$BF$2:$BF$51,MATCH($A210,campaigns!$A$2:$A$51,0))="","",INDEX(campaigns!$BF$2:$BF$51,MATCH($A210,campaigns!$A$2:$A$51,0))),""),IFERROR(IF(INDEX(offices!$AB$2:$AB$61,MATCH($B210,offices!$A$2:$A$61,0))="","",INDEX(offices!$AB$2:$AB$61,MATCH($B210,offices!$A$2:$A$61,0))),""))),"","info: category not on the office's list; ")&amp;IF(IFERROR(IF(INDEX(offices!$AC$2:$AC$61,MATCH($B210,offices!$A$2:$A$61,0))="","",INDEX(offices!$AC$2:$AC$61,MATCH($B210,offices!$A$2:$A$61,0))),"")&lt;&gt;"","info: read the vetoes against the label; ",""))</f>
        <v/>
      </c>
      <c r="S210" s="30" t="str">
        <f aca="false">IF($A210="","",IF($G210&lt;&gt;"",$G210,IFERROR(IF(INDEX(offices!$AL$2:$AL$61,MATCH($B210,offices!$A$2:$A$61,0))="","",INDEX(offices!$AL$2:$AL$61,MATCH($B210,offices!$A$2:$A$61,0))),"")))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IF($B211="","",IFERROR(IF(INDEX(offices!$N$2:$N$61,MATCH($B211,offices!$A$2:$A$61,0))="","",INDEX(offices!$N$2:$N$61,MATCH($B211,offices!$A$2:$A$61,0))),""))</f>
        <v/>
      </c>
      <c r="L211" s="30" t="str">
        <f aca="false">IF($A211="","",IF($Q211="N","",COUNTIFS($A$2:$A211,$A211,$Q$2:$Q211,"&lt;&gt;N")))</f>
        <v/>
      </c>
      <c r="M211" s="30" t="str">
        <f aca="false">IF(OR($A211="",$L211=""),"",IF(AND(config!$B$34="names_if_public",IFERROR(IF(INDEX(offices!$AF$2:$AF$61,MATCH($B211,offices!$A$2:$A$61,0))="","",INDEX(offices!$AF$2:$AF$61,MATCH($B211,offices!$A$2:$A$61,0))),"")="Y"),$K211,CHAR(64+$L211)))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C$2:$AC$61,MATCH($B211,offices!$A$2:$A$61,0))="","",INDEX(offices!$AC$2:$AC$61,MATCH($B211,offices!$A$2:$A$61,0))),"")&lt;&gt;"",ISNUMBER(SEARCH($J211,IFERROR(IF(INDEX(offices!$AC$2:$AC$61,MATCH($B211,offices!$A$2:$A$61,0))="","",INDEX(offices!$AC$2:$AC$61,MATCH($B211,offices!$A$2:$A$61,0))),"")))),"BRAND VETOED; ","")&amp;IF(ISNUMBER(SEARCH(IFERROR(IF(INDEX(campaigns!$BF$2:$BF$51,MATCH($A211,campaigns!$A$2:$A$51,0))="","",INDEX(campaigns!$BF$2:$BF$51,MATCH($A211,campaigns!$A$2:$A$51,0))),""),IFERROR(IF(INDEX(offices!$AB$2:$AB$61,MATCH($B211,offices!$A$2:$A$61,0))="","",INDEX(offices!$AB$2:$AB$61,MATCH($B211,offices!$A$2:$A$61,0))),""))),"","info: category not on the office's list; ")&amp;IF(IFERROR(IF(INDEX(offices!$AC$2:$AC$61,MATCH($B211,offices!$A$2:$A$61,0))="","",INDEX(offices!$AC$2:$AC$61,MATCH($B211,offices!$A$2:$A$61,0))),"")&lt;&gt;"","info: read the vetoes against the label; ",""))</f>
        <v/>
      </c>
      <c r="S211" s="30" t="str">
        <f aca="false">IF($A211="","",IF($G211&lt;&gt;"",$G211,IFERROR(IF(INDEX(offices!$AL$2:$AL$61,MATCH($B211,offices!$A$2:$A$61,0))="","",INDEX(offices!$AL$2:$AL$61,MATCH($B211,offices!$A$2:$A$61,0))),"")))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IF($B212="","",IFERROR(IF(INDEX(offices!$N$2:$N$61,MATCH($B212,offices!$A$2:$A$61,0))="","",INDEX(offices!$N$2:$N$61,MATCH($B212,offices!$A$2:$A$61,0))),""))</f>
        <v/>
      </c>
      <c r="L212" s="30" t="str">
        <f aca="false">IF($A212="","",IF($Q212="N","",COUNTIFS($A$2:$A212,$A212,$Q$2:$Q212,"&lt;&gt;N")))</f>
        <v/>
      </c>
      <c r="M212" s="30" t="str">
        <f aca="false">IF(OR($A212="",$L212=""),"",IF(AND(config!$B$34="names_if_public",IFERROR(IF(INDEX(offices!$AF$2:$AF$61,MATCH($B212,offices!$A$2:$A$61,0))="","",INDEX(offices!$AF$2:$AF$61,MATCH($B212,offices!$A$2:$A$61,0))),"")="Y"),$K212,CHAR(64+$L212)))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C$2:$AC$61,MATCH($B212,offices!$A$2:$A$61,0))="","",INDEX(offices!$AC$2:$AC$61,MATCH($B212,offices!$A$2:$A$61,0))),"")&lt;&gt;"",ISNUMBER(SEARCH($J212,IFERROR(IF(INDEX(offices!$AC$2:$AC$61,MATCH($B212,offices!$A$2:$A$61,0))="","",INDEX(offices!$AC$2:$AC$61,MATCH($B212,offices!$A$2:$A$61,0))),"")))),"BRAND VETOED; ","")&amp;IF(ISNUMBER(SEARCH(IFERROR(IF(INDEX(campaigns!$BF$2:$BF$51,MATCH($A212,campaigns!$A$2:$A$51,0))="","",INDEX(campaigns!$BF$2:$BF$51,MATCH($A212,campaigns!$A$2:$A$51,0))),""),IFERROR(IF(INDEX(offices!$AB$2:$AB$61,MATCH($B212,offices!$A$2:$A$61,0))="","",INDEX(offices!$AB$2:$AB$61,MATCH($B212,offices!$A$2:$A$61,0))),""))),"","info: category not on the office's list; ")&amp;IF(IFERROR(IF(INDEX(offices!$AC$2:$AC$61,MATCH($B212,offices!$A$2:$A$61,0))="","",INDEX(offices!$AC$2:$AC$61,MATCH($B212,offices!$A$2:$A$61,0))),"")&lt;&gt;"","info: read the vetoes against the label; ",""))</f>
        <v/>
      </c>
      <c r="S212" s="30" t="str">
        <f aca="false">IF($A212="","",IF($G212&lt;&gt;"",$G212,IFERROR(IF(INDEX(offices!$AL$2:$AL$61,MATCH($B212,offices!$A$2:$A$61,0))="","",INDEX(offices!$AL$2:$AL$61,MATCH($B212,offices!$A$2:$A$61,0))),"")))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IF($B213="","",IFERROR(IF(INDEX(offices!$N$2:$N$61,MATCH($B213,offices!$A$2:$A$61,0))="","",INDEX(offices!$N$2:$N$61,MATCH($B213,offices!$A$2:$A$61,0))),""))</f>
        <v/>
      </c>
      <c r="L213" s="30" t="str">
        <f aca="false">IF($A213="","",IF($Q213="N","",COUNTIFS($A$2:$A213,$A213,$Q$2:$Q213,"&lt;&gt;N")))</f>
        <v/>
      </c>
      <c r="M213" s="30" t="str">
        <f aca="false">IF(OR($A213="",$L213=""),"",IF(AND(config!$B$34="names_if_public",IFERROR(IF(INDEX(offices!$AF$2:$AF$61,MATCH($B213,offices!$A$2:$A$61,0))="","",INDEX(offices!$AF$2:$AF$61,MATCH($B213,offices!$A$2:$A$61,0))),"")="Y"),$K213,CHAR(64+$L213)))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C$2:$AC$61,MATCH($B213,offices!$A$2:$A$61,0))="","",INDEX(offices!$AC$2:$AC$61,MATCH($B213,offices!$A$2:$A$61,0))),"")&lt;&gt;"",ISNUMBER(SEARCH($J213,IFERROR(IF(INDEX(offices!$AC$2:$AC$61,MATCH($B213,offices!$A$2:$A$61,0))="","",INDEX(offices!$AC$2:$AC$61,MATCH($B213,offices!$A$2:$A$61,0))),"")))),"BRAND VETOED; ","")&amp;IF(ISNUMBER(SEARCH(IFERROR(IF(INDEX(campaigns!$BF$2:$BF$51,MATCH($A213,campaigns!$A$2:$A$51,0))="","",INDEX(campaigns!$BF$2:$BF$51,MATCH($A213,campaigns!$A$2:$A$51,0))),""),IFERROR(IF(INDEX(offices!$AB$2:$AB$61,MATCH($B213,offices!$A$2:$A$61,0))="","",INDEX(offices!$AB$2:$AB$61,MATCH($B213,offices!$A$2:$A$61,0))),""))),"","info: category not on the office's list; ")&amp;IF(IFERROR(IF(INDEX(offices!$AC$2:$AC$61,MATCH($B213,offices!$A$2:$A$61,0))="","",INDEX(offices!$AC$2:$AC$61,MATCH($B213,offices!$A$2:$A$61,0))),"")&lt;&gt;"","info: read the vetoes against the label; ",""))</f>
        <v/>
      </c>
      <c r="S213" s="30" t="str">
        <f aca="false">IF($A213="","",IF($G213&lt;&gt;"",$G213,IFERROR(IF(INDEX(offices!$AL$2:$AL$61,MATCH($B213,offices!$A$2:$A$61,0))="","",INDEX(offices!$AL$2:$AL$61,MATCH($B213,offices!$A$2:$A$61,0))),"")))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IF($B214="","",IFERROR(IF(INDEX(offices!$N$2:$N$61,MATCH($B214,offices!$A$2:$A$61,0))="","",INDEX(offices!$N$2:$N$61,MATCH($B214,offices!$A$2:$A$61,0))),""))</f>
        <v/>
      </c>
      <c r="L214" s="30" t="str">
        <f aca="false">IF($A214="","",IF($Q214="N","",COUNTIFS($A$2:$A214,$A214,$Q$2:$Q214,"&lt;&gt;N")))</f>
        <v/>
      </c>
      <c r="M214" s="30" t="str">
        <f aca="false">IF(OR($A214="",$L214=""),"",IF(AND(config!$B$34="names_if_public",IFERROR(IF(INDEX(offices!$AF$2:$AF$61,MATCH($B214,offices!$A$2:$A$61,0))="","",INDEX(offices!$AF$2:$AF$61,MATCH($B214,offices!$A$2:$A$61,0))),"")="Y"),$K214,CHAR(64+$L214)))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C$2:$AC$61,MATCH($B214,offices!$A$2:$A$61,0))="","",INDEX(offices!$AC$2:$AC$61,MATCH($B214,offices!$A$2:$A$61,0))),"")&lt;&gt;"",ISNUMBER(SEARCH($J214,IFERROR(IF(INDEX(offices!$AC$2:$AC$61,MATCH($B214,offices!$A$2:$A$61,0))="","",INDEX(offices!$AC$2:$AC$61,MATCH($B214,offices!$A$2:$A$61,0))),"")))),"BRAND VETOED; ","")&amp;IF(ISNUMBER(SEARCH(IFERROR(IF(INDEX(campaigns!$BF$2:$BF$51,MATCH($A214,campaigns!$A$2:$A$51,0))="","",INDEX(campaigns!$BF$2:$BF$51,MATCH($A214,campaigns!$A$2:$A$51,0))),""),IFERROR(IF(INDEX(offices!$AB$2:$AB$61,MATCH($B214,offices!$A$2:$A$61,0))="","",INDEX(offices!$AB$2:$AB$61,MATCH($B214,offices!$A$2:$A$61,0))),""))),"","info: category not on the office's list; ")&amp;IF(IFERROR(IF(INDEX(offices!$AC$2:$AC$61,MATCH($B214,offices!$A$2:$A$61,0))="","",INDEX(offices!$AC$2:$AC$61,MATCH($B214,offices!$A$2:$A$61,0))),"")&lt;&gt;"","info: read the vetoes against the label; ",""))</f>
        <v/>
      </c>
      <c r="S214" s="30" t="str">
        <f aca="false">IF($A214="","",IF($G214&lt;&gt;"",$G214,IFERROR(IF(INDEX(offices!$AL$2:$AL$61,MATCH($B214,offices!$A$2:$A$61,0))="","",INDEX(offices!$AL$2:$AL$61,MATCH($B214,offices!$A$2:$A$61,0))),"")))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IF($B215="","",IFERROR(IF(INDEX(offices!$N$2:$N$61,MATCH($B215,offices!$A$2:$A$61,0))="","",INDEX(offices!$N$2:$N$61,MATCH($B215,offices!$A$2:$A$61,0))),""))</f>
        <v/>
      </c>
      <c r="L215" s="30" t="str">
        <f aca="false">IF($A215="","",IF($Q215="N","",COUNTIFS($A$2:$A215,$A215,$Q$2:$Q215,"&lt;&gt;N")))</f>
        <v/>
      </c>
      <c r="M215" s="30" t="str">
        <f aca="false">IF(OR($A215="",$L215=""),"",IF(AND(config!$B$34="names_if_public",IFERROR(IF(INDEX(offices!$AF$2:$AF$61,MATCH($B215,offices!$A$2:$A$61,0))="","",INDEX(offices!$AF$2:$AF$61,MATCH($B215,offices!$A$2:$A$61,0))),"")="Y"),$K215,CHAR(64+$L215)))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C$2:$AC$61,MATCH($B215,offices!$A$2:$A$61,0))="","",INDEX(offices!$AC$2:$AC$61,MATCH($B215,offices!$A$2:$A$61,0))),"")&lt;&gt;"",ISNUMBER(SEARCH($J215,IFERROR(IF(INDEX(offices!$AC$2:$AC$61,MATCH($B215,offices!$A$2:$A$61,0))="","",INDEX(offices!$AC$2:$AC$61,MATCH($B215,offices!$A$2:$A$61,0))),"")))),"BRAND VETOED; ","")&amp;IF(ISNUMBER(SEARCH(IFERROR(IF(INDEX(campaigns!$BF$2:$BF$51,MATCH($A215,campaigns!$A$2:$A$51,0))="","",INDEX(campaigns!$BF$2:$BF$51,MATCH($A215,campaigns!$A$2:$A$51,0))),""),IFERROR(IF(INDEX(offices!$AB$2:$AB$61,MATCH($B215,offices!$A$2:$A$61,0))="","",INDEX(offices!$AB$2:$AB$61,MATCH($B215,offices!$A$2:$A$61,0))),""))),"","info: category not on the office's list; ")&amp;IF(IFERROR(IF(INDEX(offices!$AC$2:$AC$61,MATCH($B215,offices!$A$2:$A$61,0))="","",INDEX(offices!$AC$2:$AC$61,MATCH($B215,offices!$A$2:$A$61,0))),"")&lt;&gt;"","info: read the vetoes against the label; ",""))</f>
        <v/>
      </c>
      <c r="S215" s="30" t="str">
        <f aca="false">IF($A215="","",IF($G215&lt;&gt;"",$G215,IFERROR(IF(INDEX(offices!$AL$2:$AL$61,MATCH($B215,offices!$A$2:$A$61,0))="","",INDEX(offices!$AL$2:$AL$61,MATCH($B215,offices!$A$2:$A$61,0))),"")))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IF($B216="","",IFERROR(IF(INDEX(offices!$N$2:$N$61,MATCH($B216,offices!$A$2:$A$61,0))="","",INDEX(offices!$N$2:$N$61,MATCH($B216,offices!$A$2:$A$61,0))),""))</f>
        <v/>
      </c>
      <c r="L216" s="30" t="str">
        <f aca="false">IF($A216="","",IF($Q216="N","",COUNTIFS($A$2:$A216,$A216,$Q$2:$Q216,"&lt;&gt;N")))</f>
        <v/>
      </c>
      <c r="M216" s="30" t="str">
        <f aca="false">IF(OR($A216="",$L216=""),"",IF(AND(config!$B$34="names_if_public",IFERROR(IF(INDEX(offices!$AF$2:$AF$61,MATCH($B216,offices!$A$2:$A$61,0))="","",INDEX(offices!$AF$2:$AF$61,MATCH($B216,offices!$A$2:$A$61,0))),"")="Y"),$K216,CHAR(64+$L216)))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C$2:$AC$61,MATCH($B216,offices!$A$2:$A$61,0))="","",INDEX(offices!$AC$2:$AC$61,MATCH($B216,offices!$A$2:$A$61,0))),"")&lt;&gt;"",ISNUMBER(SEARCH($J216,IFERROR(IF(INDEX(offices!$AC$2:$AC$61,MATCH($B216,offices!$A$2:$A$61,0))="","",INDEX(offices!$AC$2:$AC$61,MATCH($B216,offices!$A$2:$A$61,0))),"")))),"BRAND VETOED; ","")&amp;IF(ISNUMBER(SEARCH(IFERROR(IF(INDEX(campaigns!$BF$2:$BF$51,MATCH($A216,campaigns!$A$2:$A$51,0))="","",INDEX(campaigns!$BF$2:$BF$51,MATCH($A216,campaigns!$A$2:$A$51,0))),""),IFERROR(IF(INDEX(offices!$AB$2:$AB$61,MATCH($B216,offices!$A$2:$A$61,0))="","",INDEX(offices!$AB$2:$AB$61,MATCH($B216,offices!$A$2:$A$61,0))),""))),"","info: category not on the office's list; ")&amp;IF(IFERROR(IF(INDEX(offices!$AC$2:$AC$61,MATCH($B216,offices!$A$2:$A$61,0))="","",INDEX(offices!$AC$2:$AC$61,MATCH($B216,offices!$A$2:$A$61,0))),"")&lt;&gt;"","info: read the vetoes against the label; ",""))</f>
        <v/>
      </c>
      <c r="S216" s="30" t="str">
        <f aca="false">IF($A216="","",IF($G216&lt;&gt;"",$G216,IFERROR(IF(INDEX(offices!$AL$2:$AL$61,MATCH($B216,offices!$A$2:$A$61,0))="","",INDEX(offices!$AL$2:$AL$61,MATCH($B216,offices!$A$2:$A$61,0))),"")))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IF($B217="","",IFERROR(IF(INDEX(offices!$N$2:$N$61,MATCH($B217,offices!$A$2:$A$61,0))="","",INDEX(offices!$N$2:$N$61,MATCH($B217,offices!$A$2:$A$61,0))),""))</f>
        <v/>
      </c>
      <c r="L217" s="30" t="str">
        <f aca="false">IF($A217="","",IF($Q217="N","",COUNTIFS($A$2:$A217,$A217,$Q$2:$Q217,"&lt;&gt;N")))</f>
        <v/>
      </c>
      <c r="M217" s="30" t="str">
        <f aca="false">IF(OR($A217="",$L217=""),"",IF(AND(config!$B$34="names_if_public",IFERROR(IF(INDEX(offices!$AF$2:$AF$61,MATCH($B217,offices!$A$2:$A$61,0))="","",INDEX(offices!$AF$2:$AF$61,MATCH($B217,offices!$A$2:$A$61,0))),"")="Y"),$K217,CHAR(64+$L217)))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C$2:$AC$61,MATCH($B217,offices!$A$2:$A$61,0))="","",INDEX(offices!$AC$2:$AC$61,MATCH($B217,offices!$A$2:$A$61,0))),"")&lt;&gt;"",ISNUMBER(SEARCH($J217,IFERROR(IF(INDEX(offices!$AC$2:$AC$61,MATCH($B217,offices!$A$2:$A$61,0))="","",INDEX(offices!$AC$2:$AC$61,MATCH($B217,offices!$A$2:$A$61,0))),"")))),"BRAND VETOED; ","")&amp;IF(ISNUMBER(SEARCH(IFERROR(IF(INDEX(campaigns!$BF$2:$BF$51,MATCH($A217,campaigns!$A$2:$A$51,0))="","",INDEX(campaigns!$BF$2:$BF$51,MATCH($A217,campaigns!$A$2:$A$51,0))),""),IFERROR(IF(INDEX(offices!$AB$2:$AB$61,MATCH($B217,offices!$A$2:$A$61,0))="","",INDEX(offices!$AB$2:$AB$61,MATCH($B217,offices!$A$2:$A$61,0))),""))),"","info: category not on the office's list; ")&amp;IF(IFERROR(IF(INDEX(offices!$AC$2:$AC$61,MATCH($B217,offices!$A$2:$A$61,0))="","",INDEX(offices!$AC$2:$AC$61,MATCH($B217,offices!$A$2:$A$61,0))),"")&lt;&gt;"","info: read the vetoes against the label; ",""))</f>
        <v/>
      </c>
      <c r="S217" s="30" t="str">
        <f aca="false">IF($A217="","",IF($G217&lt;&gt;"",$G217,IFERROR(IF(INDEX(offices!$AL$2:$AL$61,MATCH($B217,offices!$A$2:$A$61,0))="","",INDEX(offices!$AL$2:$AL$61,MATCH($B217,offices!$A$2:$A$61,0))),"")))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IF($B218="","",IFERROR(IF(INDEX(offices!$N$2:$N$61,MATCH($B218,offices!$A$2:$A$61,0))="","",INDEX(offices!$N$2:$N$61,MATCH($B218,offices!$A$2:$A$61,0))),""))</f>
        <v/>
      </c>
      <c r="L218" s="30" t="str">
        <f aca="false">IF($A218="","",IF($Q218="N","",COUNTIFS($A$2:$A218,$A218,$Q$2:$Q218,"&lt;&gt;N")))</f>
        <v/>
      </c>
      <c r="M218" s="30" t="str">
        <f aca="false">IF(OR($A218="",$L218=""),"",IF(AND(config!$B$34="names_if_public",IFERROR(IF(INDEX(offices!$AF$2:$AF$61,MATCH($B218,offices!$A$2:$A$61,0))="","",INDEX(offices!$AF$2:$AF$61,MATCH($B218,offices!$A$2:$A$61,0))),"")="Y"),$K218,CHAR(64+$L218)))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C$2:$AC$61,MATCH($B218,offices!$A$2:$A$61,0))="","",INDEX(offices!$AC$2:$AC$61,MATCH($B218,offices!$A$2:$A$61,0))),"")&lt;&gt;"",ISNUMBER(SEARCH($J218,IFERROR(IF(INDEX(offices!$AC$2:$AC$61,MATCH($B218,offices!$A$2:$A$61,0))="","",INDEX(offices!$AC$2:$AC$61,MATCH($B218,offices!$A$2:$A$61,0))),"")))),"BRAND VETOED; ","")&amp;IF(ISNUMBER(SEARCH(IFERROR(IF(INDEX(campaigns!$BF$2:$BF$51,MATCH($A218,campaigns!$A$2:$A$51,0))="","",INDEX(campaigns!$BF$2:$BF$51,MATCH($A218,campaigns!$A$2:$A$51,0))),""),IFERROR(IF(INDEX(offices!$AB$2:$AB$61,MATCH($B218,offices!$A$2:$A$61,0))="","",INDEX(offices!$AB$2:$AB$61,MATCH($B218,offices!$A$2:$A$61,0))),""))),"","info: category not on the office's list; ")&amp;IF(IFERROR(IF(INDEX(offices!$AC$2:$AC$61,MATCH($B218,offices!$A$2:$A$61,0))="","",INDEX(offices!$AC$2:$AC$61,MATCH($B218,offices!$A$2:$A$61,0))),"")&lt;&gt;"","info: read the vetoes against the label; ",""))</f>
        <v/>
      </c>
      <c r="S218" s="30" t="str">
        <f aca="false">IF($A218="","",IF($G218&lt;&gt;"",$G218,IFERROR(IF(INDEX(offices!$AL$2:$AL$61,MATCH($B218,offices!$A$2:$A$61,0))="","",INDEX(offices!$AL$2:$AL$61,MATCH($B218,offices!$A$2:$A$61,0))),"")))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IF($B219="","",IFERROR(IF(INDEX(offices!$N$2:$N$61,MATCH($B219,offices!$A$2:$A$61,0))="","",INDEX(offices!$N$2:$N$61,MATCH($B219,offices!$A$2:$A$61,0))),""))</f>
        <v/>
      </c>
      <c r="L219" s="30" t="str">
        <f aca="false">IF($A219="","",IF($Q219="N","",COUNTIFS($A$2:$A219,$A219,$Q$2:$Q219,"&lt;&gt;N")))</f>
        <v/>
      </c>
      <c r="M219" s="30" t="str">
        <f aca="false">IF(OR($A219="",$L219=""),"",IF(AND(config!$B$34="names_if_public",IFERROR(IF(INDEX(offices!$AF$2:$AF$61,MATCH($B219,offices!$A$2:$A$61,0))="","",INDEX(offices!$AF$2:$AF$61,MATCH($B219,offices!$A$2:$A$61,0))),"")="Y"),$K219,CHAR(64+$L219)))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C$2:$AC$61,MATCH($B219,offices!$A$2:$A$61,0))="","",INDEX(offices!$AC$2:$AC$61,MATCH($B219,offices!$A$2:$A$61,0))),"")&lt;&gt;"",ISNUMBER(SEARCH($J219,IFERROR(IF(INDEX(offices!$AC$2:$AC$61,MATCH($B219,offices!$A$2:$A$61,0))="","",INDEX(offices!$AC$2:$AC$61,MATCH($B219,offices!$A$2:$A$61,0))),"")))),"BRAND VETOED; ","")&amp;IF(ISNUMBER(SEARCH(IFERROR(IF(INDEX(campaigns!$BF$2:$BF$51,MATCH($A219,campaigns!$A$2:$A$51,0))="","",INDEX(campaigns!$BF$2:$BF$51,MATCH($A219,campaigns!$A$2:$A$51,0))),""),IFERROR(IF(INDEX(offices!$AB$2:$AB$61,MATCH($B219,offices!$A$2:$A$61,0))="","",INDEX(offices!$AB$2:$AB$61,MATCH($B219,offices!$A$2:$A$61,0))),""))),"","info: category not on the office's list; ")&amp;IF(IFERROR(IF(INDEX(offices!$AC$2:$AC$61,MATCH($B219,offices!$A$2:$A$61,0))="","",INDEX(offices!$AC$2:$AC$61,MATCH($B219,offices!$A$2:$A$61,0))),"")&lt;&gt;"","info: read the vetoes against the label; ",""))</f>
        <v/>
      </c>
      <c r="S219" s="30" t="str">
        <f aca="false">IF($A219="","",IF($G219&lt;&gt;"",$G219,IFERROR(IF(INDEX(offices!$AL$2:$AL$61,MATCH($B219,offices!$A$2:$A$61,0))="","",INDEX(offices!$AL$2:$AL$61,MATCH($B219,offices!$A$2:$A$61,0))),"")))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IF($B220="","",IFERROR(IF(INDEX(offices!$N$2:$N$61,MATCH($B220,offices!$A$2:$A$61,0))="","",INDEX(offices!$N$2:$N$61,MATCH($B220,offices!$A$2:$A$61,0))),""))</f>
        <v/>
      </c>
      <c r="L220" s="30" t="str">
        <f aca="false">IF($A220="","",IF($Q220="N","",COUNTIFS($A$2:$A220,$A220,$Q$2:$Q220,"&lt;&gt;N")))</f>
        <v/>
      </c>
      <c r="M220" s="30" t="str">
        <f aca="false">IF(OR($A220="",$L220=""),"",IF(AND(config!$B$34="names_if_public",IFERROR(IF(INDEX(offices!$AF$2:$AF$61,MATCH($B220,offices!$A$2:$A$61,0))="","",INDEX(offices!$AF$2:$AF$61,MATCH($B220,offices!$A$2:$A$61,0))),"")="Y"),$K220,CHAR(64+$L220)))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C$2:$AC$61,MATCH($B220,offices!$A$2:$A$61,0))="","",INDEX(offices!$AC$2:$AC$61,MATCH($B220,offices!$A$2:$A$61,0))),"")&lt;&gt;"",ISNUMBER(SEARCH($J220,IFERROR(IF(INDEX(offices!$AC$2:$AC$61,MATCH($B220,offices!$A$2:$A$61,0))="","",INDEX(offices!$AC$2:$AC$61,MATCH($B220,offices!$A$2:$A$61,0))),"")))),"BRAND VETOED; ","")&amp;IF(ISNUMBER(SEARCH(IFERROR(IF(INDEX(campaigns!$BF$2:$BF$51,MATCH($A220,campaigns!$A$2:$A$51,0))="","",INDEX(campaigns!$BF$2:$BF$51,MATCH($A220,campaigns!$A$2:$A$51,0))),""),IFERROR(IF(INDEX(offices!$AB$2:$AB$61,MATCH($B220,offices!$A$2:$A$61,0))="","",INDEX(offices!$AB$2:$AB$61,MATCH($B220,offices!$A$2:$A$61,0))),""))),"","info: category not on the office's list; ")&amp;IF(IFERROR(IF(INDEX(offices!$AC$2:$AC$61,MATCH($B220,offices!$A$2:$A$61,0))="","",INDEX(offices!$AC$2:$AC$61,MATCH($B220,offices!$A$2:$A$61,0))),"")&lt;&gt;"","info: read the vetoes against the label; ",""))</f>
        <v/>
      </c>
      <c r="S220" s="30" t="str">
        <f aca="false">IF($A220="","",IF($G220&lt;&gt;"",$G220,IFERROR(IF(INDEX(offices!$AL$2:$AL$61,MATCH($B220,offices!$A$2:$A$61,0))="","",INDEX(offices!$AL$2:$AL$61,MATCH($B220,offices!$A$2:$A$61,0))),"")))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IF($B221="","",IFERROR(IF(INDEX(offices!$N$2:$N$61,MATCH($B221,offices!$A$2:$A$61,0))="","",INDEX(offices!$N$2:$N$61,MATCH($B221,offices!$A$2:$A$61,0))),""))</f>
        <v/>
      </c>
      <c r="L221" s="30" t="str">
        <f aca="false">IF($A221="","",IF($Q221="N","",COUNTIFS($A$2:$A221,$A221,$Q$2:$Q221,"&lt;&gt;N")))</f>
        <v/>
      </c>
      <c r="M221" s="30" t="str">
        <f aca="false">IF(OR($A221="",$L221=""),"",IF(AND(config!$B$34="names_if_public",IFERROR(IF(INDEX(offices!$AF$2:$AF$61,MATCH($B221,offices!$A$2:$A$61,0))="","",INDEX(offices!$AF$2:$AF$61,MATCH($B221,offices!$A$2:$A$61,0))),"")="Y"),$K221,CHAR(64+$L221)))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C$2:$AC$61,MATCH($B221,offices!$A$2:$A$61,0))="","",INDEX(offices!$AC$2:$AC$61,MATCH($B221,offices!$A$2:$A$61,0))),"")&lt;&gt;"",ISNUMBER(SEARCH($J221,IFERROR(IF(INDEX(offices!$AC$2:$AC$61,MATCH($B221,offices!$A$2:$A$61,0))="","",INDEX(offices!$AC$2:$AC$61,MATCH($B221,offices!$A$2:$A$61,0))),"")))),"BRAND VETOED; ","")&amp;IF(ISNUMBER(SEARCH(IFERROR(IF(INDEX(campaigns!$BF$2:$BF$51,MATCH($A221,campaigns!$A$2:$A$51,0))="","",INDEX(campaigns!$BF$2:$BF$51,MATCH($A221,campaigns!$A$2:$A$51,0))),""),IFERROR(IF(INDEX(offices!$AB$2:$AB$61,MATCH($B221,offices!$A$2:$A$61,0))="","",INDEX(offices!$AB$2:$AB$61,MATCH($B221,offices!$A$2:$A$61,0))),""))),"","info: category not on the office's list; ")&amp;IF(IFERROR(IF(INDEX(offices!$AC$2:$AC$61,MATCH($B221,offices!$A$2:$A$61,0))="","",INDEX(offices!$AC$2:$AC$61,MATCH($B221,offices!$A$2:$A$61,0))),"")&lt;&gt;"","info: read the vetoes against the label; ",""))</f>
        <v/>
      </c>
      <c r="S221" s="30" t="str">
        <f aca="false">IF($A221="","",IF($G221&lt;&gt;"",$G221,IFERROR(IF(INDEX(offices!$AL$2:$AL$61,MATCH($B221,offices!$A$2:$A$61,0))="","",INDEX(offices!$AL$2:$AL$61,MATCH($B221,offices!$A$2:$A$61,0))),"")))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IF($B222="","",IFERROR(IF(INDEX(offices!$N$2:$N$61,MATCH($B222,offices!$A$2:$A$61,0))="","",INDEX(offices!$N$2:$N$61,MATCH($B222,offices!$A$2:$A$61,0))),""))</f>
        <v/>
      </c>
      <c r="L222" s="30" t="str">
        <f aca="false">IF($A222="","",IF($Q222="N","",COUNTIFS($A$2:$A222,$A222,$Q$2:$Q222,"&lt;&gt;N")))</f>
        <v/>
      </c>
      <c r="M222" s="30" t="str">
        <f aca="false">IF(OR($A222="",$L222=""),"",IF(AND(config!$B$34="names_if_public",IFERROR(IF(INDEX(offices!$AF$2:$AF$61,MATCH($B222,offices!$A$2:$A$61,0))="","",INDEX(offices!$AF$2:$AF$61,MATCH($B222,offices!$A$2:$A$61,0))),"")="Y"),$K222,CHAR(64+$L222)))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C$2:$AC$61,MATCH($B222,offices!$A$2:$A$61,0))="","",INDEX(offices!$AC$2:$AC$61,MATCH($B222,offices!$A$2:$A$61,0))),"")&lt;&gt;"",ISNUMBER(SEARCH($J222,IFERROR(IF(INDEX(offices!$AC$2:$AC$61,MATCH($B222,offices!$A$2:$A$61,0))="","",INDEX(offices!$AC$2:$AC$61,MATCH($B222,offices!$A$2:$A$61,0))),"")))),"BRAND VETOED; ","")&amp;IF(ISNUMBER(SEARCH(IFERROR(IF(INDEX(campaigns!$BF$2:$BF$51,MATCH($A222,campaigns!$A$2:$A$51,0))="","",INDEX(campaigns!$BF$2:$BF$51,MATCH($A222,campaigns!$A$2:$A$51,0))),""),IFERROR(IF(INDEX(offices!$AB$2:$AB$61,MATCH($B222,offices!$A$2:$A$61,0))="","",INDEX(offices!$AB$2:$AB$61,MATCH($B222,offices!$A$2:$A$61,0))),""))),"","info: category not on the office's list; ")&amp;IF(IFERROR(IF(INDEX(offices!$AC$2:$AC$61,MATCH($B222,offices!$A$2:$A$61,0))="","",INDEX(offices!$AC$2:$AC$61,MATCH($B222,offices!$A$2:$A$61,0))),"")&lt;&gt;"","info: read the vetoes against the label; ",""))</f>
        <v/>
      </c>
      <c r="S222" s="30" t="str">
        <f aca="false">IF($A222="","",IF($G222&lt;&gt;"",$G222,IFERROR(IF(INDEX(offices!$AL$2:$AL$61,MATCH($B222,offices!$A$2:$A$61,0))="","",INDEX(offices!$AL$2:$AL$61,MATCH($B222,offices!$A$2:$A$61,0))),"")))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IF($B223="","",IFERROR(IF(INDEX(offices!$N$2:$N$61,MATCH($B223,offices!$A$2:$A$61,0))="","",INDEX(offices!$N$2:$N$61,MATCH($B223,offices!$A$2:$A$61,0))),""))</f>
        <v/>
      </c>
      <c r="L223" s="30" t="str">
        <f aca="false">IF($A223="","",IF($Q223="N","",COUNTIFS($A$2:$A223,$A223,$Q$2:$Q223,"&lt;&gt;N")))</f>
        <v/>
      </c>
      <c r="M223" s="30" t="str">
        <f aca="false">IF(OR($A223="",$L223=""),"",IF(AND(config!$B$34="names_if_public",IFERROR(IF(INDEX(offices!$AF$2:$AF$61,MATCH($B223,offices!$A$2:$A$61,0))="","",INDEX(offices!$AF$2:$AF$61,MATCH($B223,offices!$A$2:$A$61,0))),"")="Y"),$K223,CHAR(64+$L223)))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C$2:$AC$61,MATCH($B223,offices!$A$2:$A$61,0))="","",INDEX(offices!$AC$2:$AC$61,MATCH($B223,offices!$A$2:$A$61,0))),"")&lt;&gt;"",ISNUMBER(SEARCH($J223,IFERROR(IF(INDEX(offices!$AC$2:$AC$61,MATCH($B223,offices!$A$2:$A$61,0))="","",INDEX(offices!$AC$2:$AC$61,MATCH($B223,offices!$A$2:$A$61,0))),"")))),"BRAND VETOED; ","")&amp;IF(ISNUMBER(SEARCH(IFERROR(IF(INDEX(campaigns!$BF$2:$BF$51,MATCH($A223,campaigns!$A$2:$A$51,0))="","",INDEX(campaigns!$BF$2:$BF$51,MATCH($A223,campaigns!$A$2:$A$51,0))),""),IFERROR(IF(INDEX(offices!$AB$2:$AB$61,MATCH($B223,offices!$A$2:$A$61,0))="","",INDEX(offices!$AB$2:$AB$61,MATCH($B223,offices!$A$2:$A$61,0))),""))),"","info: category not on the office's list; ")&amp;IF(IFERROR(IF(INDEX(offices!$AC$2:$AC$61,MATCH($B223,offices!$A$2:$A$61,0))="","",INDEX(offices!$AC$2:$AC$61,MATCH($B223,offices!$A$2:$A$61,0))),"")&lt;&gt;"","info: read the vetoes against the label; ",""))</f>
        <v/>
      </c>
      <c r="S223" s="30" t="str">
        <f aca="false">IF($A223="","",IF($G223&lt;&gt;"",$G223,IFERROR(IF(INDEX(offices!$AL$2:$AL$61,MATCH($B223,offices!$A$2:$A$61,0))="","",INDEX(offices!$AL$2:$AL$61,MATCH($B223,offices!$A$2:$A$61,0))),"")))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IF($B224="","",IFERROR(IF(INDEX(offices!$N$2:$N$61,MATCH($B224,offices!$A$2:$A$61,0))="","",INDEX(offices!$N$2:$N$61,MATCH($B224,offices!$A$2:$A$61,0))),""))</f>
        <v/>
      </c>
      <c r="L224" s="30" t="str">
        <f aca="false">IF($A224="","",IF($Q224="N","",COUNTIFS($A$2:$A224,$A224,$Q$2:$Q224,"&lt;&gt;N")))</f>
        <v/>
      </c>
      <c r="M224" s="30" t="str">
        <f aca="false">IF(OR($A224="",$L224=""),"",IF(AND(config!$B$34="names_if_public",IFERROR(IF(INDEX(offices!$AF$2:$AF$61,MATCH($B224,offices!$A$2:$A$61,0))="","",INDEX(offices!$AF$2:$AF$61,MATCH($B224,offices!$A$2:$A$61,0))),"")="Y"),$K224,CHAR(64+$L224)))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C$2:$AC$61,MATCH($B224,offices!$A$2:$A$61,0))="","",INDEX(offices!$AC$2:$AC$61,MATCH($B224,offices!$A$2:$A$61,0))),"")&lt;&gt;"",ISNUMBER(SEARCH($J224,IFERROR(IF(INDEX(offices!$AC$2:$AC$61,MATCH($B224,offices!$A$2:$A$61,0))="","",INDEX(offices!$AC$2:$AC$61,MATCH($B224,offices!$A$2:$A$61,0))),"")))),"BRAND VETOED; ","")&amp;IF(ISNUMBER(SEARCH(IFERROR(IF(INDEX(campaigns!$BF$2:$BF$51,MATCH($A224,campaigns!$A$2:$A$51,0))="","",INDEX(campaigns!$BF$2:$BF$51,MATCH($A224,campaigns!$A$2:$A$51,0))),""),IFERROR(IF(INDEX(offices!$AB$2:$AB$61,MATCH($B224,offices!$A$2:$A$61,0))="","",INDEX(offices!$AB$2:$AB$61,MATCH($B224,offices!$A$2:$A$61,0))),""))),"","info: category not on the office's list; ")&amp;IF(IFERROR(IF(INDEX(offices!$AC$2:$AC$61,MATCH($B224,offices!$A$2:$A$61,0))="","",INDEX(offices!$AC$2:$AC$61,MATCH($B224,offices!$A$2:$A$61,0))),"")&lt;&gt;"","info: read the vetoes against the label; ",""))</f>
        <v/>
      </c>
      <c r="S224" s="30" t="str">
        <f aca="false">IF($A224="","",IF($G224&lt;&gt;"",$G224,IFERROR(IF(INDEX(offices!$AL$2:$AL$61,MATCH($B224,offices!$A$2:$A$61,0))="","",INDEX(offices!$AL$2:$AL$61,MATCH($B224,offices!$A$2:$A$61,0))),"")))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IF($B225="","",IFERROR(IF(INDEX(offices!$N$2:$N$61,MATCH($B225,offices!$A$2:$A$61,0))="","",INDEX(offices!$N$2:$N$61,MATCH($B225,offices!$A$2:$A$61,0))),""))</f>
        <v/>
      </c>
      <c r="L225" s="30" t="str">
        <f aca="false">IF($A225="","",IF($Q225="N","",COUNTIFS($A$2:$A225,$A225,$Q$2:$Q225,"&lt;&gt;N")))</f>
        <v/>
      </c>
      <c r="M225" s="30" t="str">
        <f aca="false">IF(OR($A225="",$L225=""),"",IF(AND(config!$B$34="names_if_public",IFERROR(IF(INDEX(offices!$AF$2:$AF$61,MATCH($B225,offices!$A$2:$A$61,0))="","",INDEX(offices!$AF$2:$AF$61,MATCH($B225,offices!$A$2:$A$61,0))),"")="Y"),$K225,CHAR(64+$L225)))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C$2:$AC$61,MATCH($B225,offices!$A$2:$A$61,0))="","",INDEX(offices!$AC$2:$AC$61,MATCH($B225,offices!$A$2:$A$61,0))),"")&lt;&gt;"",ISNUMBER(SEARCH($J225,IFERROR(IF(INDEX(offices!$AC$2:$AC$61,MATCH($B225,offices!$A$2:$A$61,0))="","",INDEX(offices!$AC$2:$AC$61,MATCH($B225,offices!$A$2:$A$61,0))),"")))),"BRAND VETOED; ","")&amp;IF(ISNUMBER(SEARCH(IFERROR(IF(INDEX(campaigns!$BF$2:$BF$51,MATCH($A225,campaigns!$A$2:$A$51,0))="","",INDEX(campaigns!$BF$2:$BF$51,MATCH($A225,campaigns!$A$2:$A$51,0))),""),IFERROR(IF(INDEX(offices!$AB$2:$AB$61,MATCH($B225,offices!$A$2:$A$61,0))="","",INDEX(offices!$AB$2:$AB$61,MATCH($B225,offices!$A$2:$A$61,0))),""))),"","info: category not on the office's list; ")&amp;IF(IFERROR(IF(INDEX(offices!$AC$2:$AC$61,MATCH($B225,offices!$A$2:$A$61,0))="","",INDEX(offices!$AC$2:$AC$61,MATCH($B225,offices!$A$2:$A$61,0))),"")&lt;&gt;"","info: read the vetoes against the label; ",""))</f>
        <v/>
      </c>
      <c r="S225" s="30" t="str">
        <f aca="false">IF($A225="","",IF($G225&lt;&gt;"",$G225,IFERROR(IF(INDEX(offices!$AL$2:$AL$61,MATCH($B225,offices!$A$2:$A$61,0))="","",INDEX(offices!$AL$2:$AL$61,MATCH($B225,offices!$A$2:$A$61,0))),"")))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IF($B226="","",IFERROR(IF(INDEX(offices!$N$2:$N$61,MATCH($B226,offices!$A$2:$A$61,0))="","",INDEX(offices!$N$2:$N$61,MATCH($B226,offices!$A$2:$A$61,0))),""))</f>
        <v/>
      </c>
      <c r="L226" s="30" t="str">
        <f aca="false">IF($A226="","",IF($Q226="N","",COUNTIFS($A$2:$A226,$A226,$Q$2:$Q226,"&lt;&gt;N")))</f>
        <v/>
      </c>
      <c r="M226" s="30" t="str">
        <f aca="false">IF(OR($A226="",$L226=""),"",IF(AND(config!$B$34="names_if_public",IFERROR(IF(INDEX(offices!$AF$2:$AF$61,MATCH($B226,offices!$A$2:$A$61,0))="","",INDEX(offices!$AF$2:$AF$61,MATCH($B226,offices!$A$2:$A$61,0))),"")="Y"),$K226,CHAR(64+$L226)))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C$2:$AC$61,MATCH($B226,offices!$A$2:$A$61,0))="","",INDEX(offices!$AC$2:$AC$61,MATCH($B226,offices!$A$2:$A$61,0))),"")&lt;&gt;"",ISNUMBER(SEARCH($J226,IFERROR(IF(INDEX(offices!$AC$2:$AC$61,MATCH($B226,offices!$A$2:$A$61,0))="","",INDEX(offices!$AC$2:$AC$61,MATCH($B226,offices!$A$2:$A$61,0))),"")))),"BRAND VETOED; ","")&amp;IF(ISNUMBER(SEARCH(IFERROR(IF(INDEX(campaigns!$BF$2:$BF$51,MATCH($A226,campaigns!$A$2:$A$51,0))="","",INDEX(campaigns!$BF$2:$BF$51,MATCH($A226,campaigns!$A$2:$A$51,0))),""),IFERROR(IF(INDEX(offices!$AB$2:$AB$61,MATCH($B226,offices!$A$2:$A$61,0))="","",INDEX(offices!$AB$2:$AB$61,MATCH($B226,offices!$A$2:$A$61,0))),""))),"","info: category not on the office's list; ")&amp;IF(IFERROR(IF(INDEX(offices!$AC$2:$AC$61,MATCH($B226,offices!$A$2:$A$61,0))="","",INDEX(offices!$AC$2:$AC$61,MATCH($B226,offices!$A$2:$A$61,0))),"")&lt;&gt;"","info: read the vetoes against the label; ",""))</f>
        <v/>
      </c>
      <c r="S226" s="30" t="str">
        <f aca="false">IF($A226="","",IF($G226&lt;&gt;"",$G226,IFERROR(IF(INDEX(offices!$AL$2:$AL$61,MATCH($B226,offices!$A$2:$A$61,0))="","",INDEX(offices!$AL$2:$AL$61,MATCH($B226,offices!$A$2:$A$61,0))),"")))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IF($B227="","",IFERROR(IF(INDEX(offices!$N$2:$N$61,MATCH($B227,offices!$A$2:$A$61,0))="","",INDEX(offices!$N$2:$N$61,MATCH($B227,offices!$A$2:$A$61,0))),""))</f>
        <v/>
      </c>
      <c r="L227" s="30" t="str">
        <f aca="false">IF($A227="","",IF($Q227="N","",COUNTIFS($A$2:$A227,$A227,$Q$2:$Q227,"&lt;&gt;N")))</f>
        <v/>
      </c>
      <c r="M227" s="30" t="str">
        <f aca="false">IF(OR($A227="",$L227=""),"",IF(AND(config!$B$34="names_if_public",IFERROR(IF(INDEX(offices!$AF$2:$AF$61,MATCH($B227,offices!$A$2:$A$61,0))="","",INDEX(offices!$AF$2:$AF$61,MATCH($B227,offices!$A$2:$A$61,0))),"")="Y"),$K227,CHAR(64+$L227)))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C$2:$AC$61,MATCH($B227,offices!$A$2:$A$61,0))="","",INDEX(offices!$AC$2:$AC$61,MATCH($B227,offices!$A$2:$A$61,0))),"")&lt;&gt;"",ISNUMBER(SEARCH($J227,IFERROR(IF(INDEX(offices!$AC$2:$AC$61,MATCH($B227,offices!$A$2:$A$61,0))="","",INDEX(offices!$AC$2:$AC$61,MATCH($B227,offices!$A$2:$A$61,0))),"")))),"BRAND VETOED; ","")&amp;IF(ISNUMBER(SEARCH(IFERROR(IF(INDEX(campaigns!$BF$2:$BF$51,MATCH($A227,campaigns!$A$2:$A$51,0))="","",INDEX(campaigns!$BF$2:$BF$51,MATCH($A227,campaigns!$A$2:$A$51,0))),""),IFERROR(IF(INDEX(offices!$AB$2:$AB$61,MATCH($B227,offices!$A$2:$A$61,0))="","",INDEX(offices!$AB$2:$AB$61,MATCH($B227,offices!$A$2:$A$61,0))),""))),"","info: category not on the office's list; ")&amp;IF(IFERROR(IF(INDEX(offices!$AC$2:$AC$61,MATCH($B227,offices!$A$2:$A$61,0))="","",INDEX(offices!$AC$2:$AC$61,MATCH($B227,offices!$A$2:$A$61,0))),"")&lt;&gt;"","info: read the vetoes against the label; ",""))</f>
        <v/>
      </c>
      <c r="S227" s="30" t="str">
        <f aca="false">IF($A227="","",IF($G227&lt;&gt;"",$G227,IFERROR(IF(INDEX(offices!$AL$2:$AL$61,MATCH($B227,offices!$A$2:$A$61,0))="","",INDEX(offices!$AL$2:$AL$61,MATCH($B227,offices!$A$2:$A$61,0))),"")))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IF($B228="","",IFERROR(IF(INDEX(offices!$N$2:$N$61,MATCH($B228,offices!$A$2:$A$61,0))="","",INDEX(offices!$N$2:$N$61,MATCH($B228,offices!$A$2:$A$61,0))),""))</f>
        <v/>
      </c>
      <c r="L228" s="30" t="str">
        <f aca="false">IF($A228="","",IF($Q228="N","",COUNTIFS($A$2:$A228,$A228,$Q$2:$Q228,"&lt;&gt;N")))</f>
        <v/>
      </c>
      <c r="M228" s="30" t="str">
        <f aca="false">IF(OR($A228="",$L228=""),"",IF(AND(config!$B$34="names_if_public",IFERROR(IF(INDEX(offices!$AF$2:$AF$61,MATCH($B228,offices!$A$2:$A$61,0))="","",INDEX(offices!$AF$2:$AF$61,MATCH($B228,offices!$A$2:$A$61,0))),"")="Y"),$K228,CHAR(64+$L228)))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C$2:$AC$61,MATCH($B228,offices!$A$2:$A$61,0))="","",INDEX(offices!$AC$2:$AC$61,MATCH($B228,offices!$A$2:$A$61,0))),"")&lt;&gt;"",ISNUMBER(SEARCH($J228,IFERROR(IF(INDEX(offices!$AC$2:$AC$61,MATCH($B228,offices!$A$2:$A$61,0))="","",INDEX(offices!$AC$2:$AC$61,MATCH($B228,offices!$A$2:$A$61,0))),"")))),"BRAND VETOED; ","")&amp;IF(ISNUMBER(SEARCH(IFERROR(IF(INDEX(campaigns!$BF$2:$BF$51,MATCH($A228,campaigns!$A$2:$A$51,0))="","",INDEX(campaigns!$BF$2:$BF$51,MATCH($A228,campaigns!$A$2:$A$51,0))),""),IFERROR(IF(INDEX(offices!$AB$2:$AB$61,MATCH($B228,offices!$A$2:$A$61,0))="","",INDEX(offices!$AB$2:$AB$61,MATCH($B228,offices!$A$2:$A$61,0))),""))),"","info: category not on the office's list; ")&amp;IF(IFERROR(IF(INDEX(offices!$AC$2:$AC$61,MATCH($B228,offices!$A$2:$A$61,0))="","",INDEX(offices!$AC$2:$AC$61,MATCH($B228,offices!$A$2:$A$61,0))),"")&lt;&gt;"","info: read the vetoes against the label; ",""))</f>
        <v/>
      </c>
      <c r="S228" s="30" t="str">
        <f aca="false">IF($A228="","",IF($G228&lt;&gt;"",$G228,IFERROR(IF(INDEX(offices!$AL$2:$AL$61,MATCH($B228,offices!$A$2:$A$61,0))="","",INDEX(offices!$AL$2:$AL$61,MATCH($B228,offices!$A$2:$A$61,0))),"")))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IF($B229="","",IFERROR(IF(INDEX(offices!$N$2:$N$61,MATCH($B229,offices!$A$2:$A$61,0))="","",INDEX(offices!$N$2:$N$61,MATCH($B229,offices!$A$2:$A$61,0))),""))</f>
        <v/>
      </c>
      <c r="L229" s="30" t="str">
        <f aca="false">IF($A229="","",IF($Q229="N","",COUNTIFS($A$2:$A229,$A229,$Q$2:$Q229,"&lt;&gt;N")))</f>
        <v/>
      </c>
      <c r="M229" s="30" t="str">
        <f aca="false">IF(OR($A229="",$L229=""),"",IF(AND(config!$B$34="names_if_public",IFERROR(IF(INDEX(offices!$AF$2:$AF$61,MATCH($B229,offices!$A$2:$A$61,0))="","",INDEX(offices!$AF$2:$AF$61,MATCH($B229,offices!$A$2:$A$61,0))),"")="Y"),$K229,CHAR(64+$L229)))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C$2:$AC$61,MATCH($B229,offices!$A$2:$A$61,0))="","",INDEX(offices!$AC$2:$AC$61,MATCH($B229,offices!$A$2:$A$61,0))),"")&lt;&gt;"",ISNUMBER(SEARCH($J229,IFERROR(IF(INDEX(offices!$AC$2:$AC$61,MATCH($B229,offices!$A$2:$A$61,0))="","",INDEX(offices!$AC$2:$AC$61,MATCH($B229,offices!$A$2:$A$61,0))),"")))),"BRAND VETOED; ","")&amp;IF(ISNUMBER(SEARCH(IFERROR(IF(INDEX(campaigns!$BF$2:$BF$51,MATCH($A229,campaigns!$A$2:$A$51,0))="","",INDEX(campaigns!$BF$2:$BF$51,MATCH($A229,campaigns!$A$2:$A$51,0))),""),IFERROR(IF(INDEX(offices!$AB$2:$AB$61,MATCH($B229,offices!$A$2:$A$61,0))="","",INDEX(offices!$AB$2:$AB$61,MATCH($B229,offices!$A$2:$A$61,0))),""))),"","info: category not on the office's list; ")&amp;IF(IFERROR(IF(INDEX(offices!$AC$2:$AC$61,MATCH($B229,offices!$A$2:$A$61,0))="","",INDEX(offices!$AC$2:$AC$61,MATCH($B229,offices!$A$2:$A$61,0))),"")&lt;&gt;"","info: read the vetoes against the label; ",""))</f>
        <v/>
      </c>
      <c r="S229" s="30" t="str">
        <f aca="false">IF($A229="","",IF($G229&lt;&gt;"",$G229,IFERROR(IF(INDEX(offices!$AL$2:$AL$61,MATCH($B229,offices!$A$2:$A$61,0))="","",INDEX(offices!$AL$2:$AL$61,MATCH($B229,offices!$A$2:$A$61,0))),"")))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IF($B230="","",IFERROR(IF(INDEX(offices!$N$2:$N$61,MATCH($B230,offices!$A$2:$A$61,0))="","",INDEX(offices!$N$2:$N$61,MATCH($B230,offices!$A$2:$A$61,0))),""))</f>
        <v/>
      </c>
      <c r="L230" s="30" t="str">
        <f aca="false">IF($A230="","",IF($Q230="N","",COUNTIFS($A$2:$A230,$A230,$Q$2:$Q230,"&lt;&gt;N")))</f>
        <v/>
      </c>
      <c r="M230" s="30" t="str">
        <f aca="false">IF(OR($A230="",$L230=""),"",IF(AND(config!$B$34="names_if_public",IFERROR(IF(INDEX(offices!$AF$2:$AF$61,MATCH($B230,offices!$A$2:$A$61,0))="","",INDEX(offices!$AF$2:$AF$61,MATCH($B230,offices!$A$2:$A$61,0))),"")="Y"),$K230,CHAR(64+$L230)))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C$2:$AC$61,MATCH($B230,offices!$A$2:$A$61,0))="","",INDEX(offices!$AC$2:$AC$61,MATCH($B230,offices!$A$2:$A$61,0))),"")&lt;&gt;"",ISNUMBER(SEARCH($J230,IFERROR(IF(INDEX(offices!$AC$2:$AC$61,MATCH($B230,offices!$A$2:$A$61,0))="","",INDEX(offices!$AC$2:$AC$61,MATCH($B230,offices!$A$2:$A$61,0))),"")))),"BRAND VETOED; ","")&amp;IF(ISNUMBER(SEARCH(IFERROR(IF(INDEX(campaigns!$BF$2:$BF$51,MATCH($A230,campaigns!$A$2:$A$51,0))="","",INDEX(campaigns!$BF$2:$BF$51,MATCH($A230,campaigns!$A$2:$A$51,0))),""),IFERROR(IF(INDEX(offices!$AB$2:$AB$61,MATCH($B230,offices!$A$2:$A$61,0))="","",INDEX(offices!$AB$2:$AB$61,MATCH($B230,offices!$A$2:$A$61,0))),""))),"","info: category not on the office's list; ")&amp;IF(IFERROR(IF(INDEX(offices!$AC$2:$AC$61,MATCH($B230,offices!$A$2:$A$61,0))="","",INDEX(offices!$AC$2:$AC$61,MATCH($B230,offices!$A$2:$A$61,0))),"")&lt;&gt;"","info: read the vetoes against the label; ",""))</f>
        <v/>
      </c>
      <c r="S230" s="30" t="str">
        <f aca="false">IF($A230="","",IF($G230&lt;&gt;"",$G230,IFERROR(IF(INDEX(offices!$AL$2:$AL$61,MATCH($B230,offices!$A$2:$A$61,0))="","",INDEX(offices!$AL$2:$AL$61,MATCH($B230,offices!$A$2:$A$61,0))),"")))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IF($B231="","",IFERROR(IF(INDEX(offices!$N$2:$N$61,MATCH($B231,offices!$A$2:$A$61,0))="","",INDEX(offices!$N$2:$N$61,MATCH($B231,offices!$A$2:$A$61,0))),""))</f>
        <v/>
      </c>
      <c r="L231" s="30" t="str">
        <f aca="false">IF($A231="","",IF($Q231="N","",COUNTIFS($A$2:$A231,$A231,$Q$2:$Q231,"&lt;&gt;N")))</f>
        <v/>
      </c>
      <c r="M231" s="30" t="str">
        <f aca="false">IF(OR($A231="",$L231=""),"",IF(AND(config!$B$34="names_if_public",IFERROR(IF(INDEX(offices!$AF$2:$AF$61,MATCH($B231,offices!$A$2:$A$61,0))="","",INDEX(offices!$AF$2:$AF$61,MATCH($B231,offices!$A$2:$A$61,0))),"")="Y"),$K231,CHAR(64+$L231)))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C$2:$AC$61,MATCH($B231,offices!$A$2:$A$61,0))="","",INDEX(offices!$AC$2:$AC$61,MATCH($B231,offices!$A$2:$A$61,0))),"")&lt;&gt;"",ISNUMBER(SEARCH($J231,IFERROR(IF(INDEX(offices!$AC$2:$AC$61,MATCH($B231,offices!$A$2:$A$61,0))="","",INDEX(offices!$AC$2:$AC$61,MATCH($B231,offices!$A$2:$A$61,0))),"")))),"BRAND VETOED; ","")&amp;IF(ISNUMBER(SEARCH(IFERROR(IF(INDEX(campaigns!$BF$2:$BF$51,MATCH($A231,campaigns!$A$2:$A$51,0))="","",INDEX(campaigns!$BF$2:$BF$51,MATCH($A231,campaigns!$A$2:$A$51,0))),""),IFERROR(IF(INDEX(offices!$AB$2:$AB$61,MATCH($B231,offices!$A$2:$A$61,0))="","",INDEX(offices!$AB$2:$AB$61,MATCH($B231,offices!$A$2:$A$61,0))),""))),"","info: category not on the office's list; ")&amp;IF(IFERROR(IF(INDEX(offices!$AC$2:$AC$61,MATCH($B231,offices!$A$2:$A$61,0))="","",INDEX(offices!$AC$2:$AC$61,MATCH($B231,offices!$A$2:$A$61,0))),"")&lt;&gt;"","info: read the vetoes against the label; ",""))</f>
        <v/>
      </c>
      <c r="S231" s="30" t="str">
        <f aca="false">IF($A231="","",IF($G231&lt;&gt;"",$G231,IFERROR(IF(INDEX(offices!$AL$2:$AL$61,MATCH($B231,offices!$A$2:$A$61,0))="","",INDEX(offices!$AL$2:$AL$61,MATCH($B231,offices!$A$2:$A$61,0))),"")))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IF($B232="","",IFERROR(IF(INDEX(offices!$N$2:$N$61,MATCH($B232,offices!$A$2:$A$61,0))="","",INDEX(offices!$N$2:$N$61,MATCH($B232,offices!$A$2:$A$61,0))),""))</f>
        <v/>
      </c>
      <c r="L232" s="30" t="str">
        <f aca="false">IF($A232="","",IF($Q232="N","",COUNTIFS($A$2:$A232,$A232,$Q$2:$Q232,"&lt;&gt;N")))</f>
        <v/>
      </c>
      <c r="M232" s="30" t="str">
        <f aca="false">IF(OR($A232="",$L232=""),"",IF(AND(config!$B$34="names_if_public",IFERROR(IF(INDEX(offices!$AF$2:$AF$61,MATCH($B232,offices!$A$2:$A$61,0))="","",INDEX(offices!$AF$2:$AF$61,MATCH($B232,offices!$A$2:$A$61,0))),"")="Y"),$K232,CHAR(64+$L232)))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C$2:$AC$61,MATCH($B232,offices!$A$2:$A$61,0))="","",INDEX(offices!$AC$2:$AC$61,MATCH($B232,offices!$A$2:$A$61,0))),"")&lt;&gt;"",ISNUMBER(SEARCH($J232,IFERROR(IF(INDEX(offices!$AC$2:$AC$61,MATCH($B232,offices!$A$2:$A$61,0))="","",INDEX(offices!$AC$2:$AC$61,MATCH($B232,offices!$A$2:$A$61,0))),"")))),"BRAND VETOED; ","")&amp;IF(ISNUMBER(SEARCH(IFERROR(IF(INDEX(campaigns!$BF$2:$BF$51,MATCH($A232,campaigns!$A$2:$A$51,0))="","",INDEX(campaigns!$BF$2:$BF$51,MATCH($A232,campaigns!$A$2:$A$51,0))),""),IFERROR(IF(INDEX(offices!$AB$2:$AB$61,MATCH($B232,offices!$A$2:$A$61,0))="","",INDEX(offices!$AB$2:$AB$61,MATCH($B232,offices!$A$2:$A$61,0))),""))),"","info: category not on the office's list; ")&amp;IF(IFERROR(IF(INDEX(offices!$AC$2:$AC$61,MATCH($B232,offices!$A$2:$A$61,0))="","",INDEX(offices!$AC$2:$AC$61,MATCH($B232,offices!$A$2:$A$61,0))),"")&lt;&gt;"","info: read the vetoes against the label; ",""))</f>
        <v/>
      </c>
      <c r="S232" s="30" t="str">
        <f aca="false">IF($A232="","",IF($G232&lt;&gt;"",$G232,IFERROR(IF(INDEX(offices!$AL$2:$AL$61,MATCH($B232,offices!$A$2:$A$61,0))="","",INDEX(offices!$AL$2:$AL$61,MATCH($B232,offices!$A$2:$A$61,0))),"")))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IF($B233="","",IFERROR(IF(INDEX(offices!$N$2:$N$61,MATCH($B233,offices!$A$2:$A$61,0))="","",INDEX(offices!$N$2:$N$61,MATCH($B233,offices!$A$2:$A$61,0))),""))</f>
        <v/>
      </c>
      <c r="L233" s="30" t="str">
        <f aca="false">IF($A233="","",IF($Q233="N","",COUNTIFS($A$2:$A233,$A233,$Q$2:$Q233,"&lt;&gt;N")))</f>
        <v/>
      </c>
      <c r="M233" s="30" t="str">
        <f aca="false">IF(OR($A233="",$L233=""),"",IF(AND(config!$B$34="names_if_public",IFERROR(IF(INDEX(offices!$AF$2:$AF$61,MATCH($B233,offices!$A$2:$A$61,0))="","",INDEX(offices!$AF$2:$AF$61,MATCH($B233,offices!$A$2:$A$61,0))),"")="Y"),$K233,CHAR(64+$L233)))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C$2:$AC$61,MATCH($B233,offices!$A$2:$A$61,0))="","",INDEX(offices!$AC$2:$AC$61,MATCH($B233,offices!$A$2:$A$61,0))),"")&lt;&gt;"",ISNUMBER(SEARCH($J233,IFERROR(IF(INDEX(offices!$AC$2:$AC$61,MATCH($B233,offices!$A$2:$A$61,0))="","",INDEX(offices!$AC$2:$AC$61,MATCH($B233,offices!$A$2:$A$61,0))),"")))),"BRAND VETOED; ","")&amp;IF(ISNUMBER(SEARCH(IFERROR(IF(INDEX(campaigns!$BF$2:$BF$51,MATCH($A233,campaigns!$A$2:$A$51,0))="","",INDEX(campaigns!$BF$2:$BF$51,MATCH($A233,campaigns!$A$2:$A$51,0))),""),IFERROR(IF(INDEX(offices!$AB$2:$AB$61,MATCH($B233,offices!$A$2:$A$61,0))="","",INDEX(offices!$AB$2:$AB$61,MATCH($B233,offices!$A$2:$A$61,0))),""))),"","info: category not on the office's list; ")&amp;IF(IFERROR(IF(INDEX(offices!$AC$2:$AC$61,MATCH($B233,offices!$A$2:$A$61,0))="","",INDEX(offices!$AC$2:$AC$61,MATCH($B233,offices!$A$2:$A$61,0))),"")&lt;&gt;"","info: read the vetoes against the label; ",""))</f>
        <v/>
      </c>
      <c r="S233" s="30" t="str">
        <f aca="false">IF($A233="","",IF($G233&lt;&gt;"",$G233,IFERROR(IF(INDEX(offices!$AL$2:$AL$61,MATCH($B233,offices!$A$2:$A$61,0))="","",INDEX(offices!$AL$2:$AL$61,MATCH($B233,offices!$A$2:$A$61,0))),"")))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IF($B234="","",IFERROR(IF(INDEX(offices!$N$2:$N$61,MATCH($B234,offices!$A$2:$A$61,0))="","",INDEX(offices!$N$2:$N$61,MATCH($B234,offices!$A$2:$A$61,0))),""))</f>
        <v/>
      </c>
      <c r="L234" s="30" t="str">
        <f aca="false">IF($A234="","",IF($Q234="N","",COUNTIFS($A$2:$A234,$A234,$Q$2:$Q234,"&lt;&gt;N")))</f>
        <v/>
      </c>
      <c r="M234" s="30" t="str">
        <f aca="false">IF(OR($A234="",$L234=""),"",IF(AND(config!$B$34="names_if_public",IFERROR(IF(INDEX(offices!$AF$2:$AF$61,MATCH($B234,offices!$A$2:$A$61,0))="","",INDEX(offices!$AF$2:$AF$61,MATCH($B234,offices!$A$2:$A$61,0))),"")="Y"),$K234,CHAR(64+$L234)))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C$2:$AC$61,MATCH($B234,offices!$A$2:$A$61,0))="","",INDEX(offices!$AC$2:$AC$61,MATCH($B234,offices!$A$2:$A$61,0))),"")&lt;&gt;"",ISNUMBER(SEARCH($J234,IFERROR(IF(INDEX(offices!$AC$2:$AC$61,MATCH($B234,offices!$A$2:$A$61,0))="","",INDEX(offices!$AC$2:$AC$61,MATCH($B234,offices!$A$2:$A$61,0))),"")))),"BRAND VETOED; ","")&amp;IF(ISNUMBER(SEARCH(IFERROR(IF(INDEX(campaigns!$BF$2:$BF$51,MATCH($A234,campaigns!$A$2:$A$51,0))="","",INDEX(campaigns!$BF$2:$BF$51,MATCH($A234,campaigns!$A$2:$A$51,0))),""),IFERROR(IF(INDEX(offices!$AB$2:$AB$61,MATCH($B234,offices!$A$2:$A$61,0))="","",INDEX(offices!$AB$2:$AB$61,MATCH($B234,offices!$A$2:$A$61,0))),""))),"","info: category not on the office's list; ")&amp;IF(IFERROR(IF(INDEX(offices!$AC$2:$AC$61,MATCH($B234,offices!$A$2:$A$61,0))="","",INDEX(offices!$AC$2:$AC$61,MATCH($B234,offices!$A$2:$A$61,0))),"")&lt;&gt;"","info: read the vetoes against the label; ",""))</f>
        <v/>
      </c>
      <c r="S234" s="30" t="str">
        <f aca="false">IF($A234="","",IF($G234&lt;&gt;"",$G234,IFERROR(IF(INDEX(offices!$AL$2:$AL$61,MATCH($B234,offices!$A$2:$A$61,0))="","",INDEX(offices!$AL$2:$AL$61,MATCH($B234,offices!$A$2:$A$61,0))),"")))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IF($B235="","",IFERROR(IF(INDEX(offices!$N$2:$N$61,MATCH($B235,offices!$A$2:$A$61,0))="","",INDEX(offices!$N$2:$N$61,MATCH($B235,offices!$A$2:$A$61,0))),""))</f>
        <v/>
      </c>
      <c r="L235" s="30" t="str">
        <f aca="false">IF($A235="","",IF($Q235="N","",COUNTIFS($A$2:$A235,$A235,$Q$2:$Q235,"&lt;&gt;N")))</f>
        <v/>
      </c>
      <c r="M235" s="30" t="str">
        <f aca="false">IF(OR($A235="",$L235=""),"",IF(AND(config!$B$34="names_if_public",IFERROR(IF(INDEX(offices!$AF$2:$AF$61,MATCH($B235,offices!$A$2:$A$61,0))="","",INDEX(offices!$AF$2:$AF$61,MATCH($B235,offices!$A$2:$A$61,0))),"")="Y"),$K235,CHAR(64+$L235)))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C$2:$AC$61,MATCH($B235,offices!$A$2:$A$61,0))="","",INDEX(offices!$AC$2:$AC$61,MATCH($B235,offices!$A$2:$A$61,0))),"")&lt;&gt;"",ISNUMBER(SEARCH($J235,IFERROR(IF(INDEX(offices!$AC$2:$AC$61,MATCH($B235,offices!$A$2:$A$61,0))="","",INDEX(offices!$AC$2:$AC$61,MATCH($B235,offices!$A$2:$A$61,0))),"")))),"BRAND VETOED; ","")&amp;IF(ISNUMBER(SEARCH(IFERROR(IF(INDEX(campaigns!$BF$2:$BF$51,MATCH($A235,campaigns!$A$2:$A$51,0))="","",INDEX(campaigns!$BF$2:$BF$51,MATCH($A235,campaigns!$A$2:$A$51,0))),""),IFERROR(IF(INDEX(offices!$AB$2:$AB$61,MATCH($B235,offices!$A$2:$A$61,0))="","",INDEX(offices!$AB$2:$AB$61,MATCH($B235,offices!$A$2:$A$61,0))),""))),"","info: category not on the office's list; ")&amp;IF(IFERROR(IF(INDEX(offices!$AC$2:$AC$61,MATCH($B235,offices!$A$2:$A$61,0))="","",INDEX(offices!$AC$2:$AC$61,MATCH($B235,offices!$A$2:$A$61,0))),"")&lt;&gt;"","info: read the vetoes against the label; ",""))</f>
        <v/>
      </c>
      <c r="S235" s="30" t="str">
        <f aca="false">IF($A235="","",IF($G235&lt;&gt;"",$G235,IFERROR(IF(INDEX(offices!$AL$2:$AL$61,MATCH($B235,offices!$A$2:$A$61,0))="","",INDEX(offices!$AL$2:$AL$61,MATCH($B235,offices!$A$2:$A$61,0))),"")))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IF($B236="","",IFERROR(IF(INDEX(offices!$N$2:$N$61,MATCH($B236,offices!$A$2:$A$61,0))="","",INDEX(offices!$N$2:$N$61,MATCH($B236,offices!$A$2:$A$61,0))),""))</f>
        <v/>
      </c>
      <c r="L236" s="30" t="str">
        <f aca="false">IF($A236="","",IF($Q236="N","",COUNTIFS($A$2:$A236,$A236,$Q$2:$Q236,"&lt;&gt;N")))</f>
        <v/>
      </c>
      <c r="M236" s="30" t="str">
        <f aca="false">IF(OR($A236="",$L236=""),"",IF(AND(config!$B$34="names_if_public",IFERROR(IF(INDEX(offices!$AF$2:$AF$61,MATCH($B236,offices!$A$2:$A$61,0))="","",INDEX(offices!$AF$2:$AF$61,MATCH($B236,offices!$A$2:$A$61,0))),"")="Y"),$K236,CHAR(64+$L236)))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C$2:$AC$61,MATCH($B236,offices!$A$2:$A$61,0))="","",INDEX(offices!$AC$2:$AC$61,MATCH($B236,offices!$A$2:$A$61,0))),"")&lt;&gt;"",ISNUMBER(SEARCH($J236,IFERROR(IF(INDEX(offices!$AC$2:$AC$61,MATCH($B236,offices!$A$2:$A$61,0))="","",INDEX(offices!$AC$2:$AC$61,MATCH($B236,offices!$A$2:$A$61,0))),"")))),"BRAND VETOED; ","")&amp;IF(ISNUMBER(SEARCH(IFERROR(IF(INDEX(campaigns!$BF$2:$BF$51,MATCH($A236,campaigns!$A$2:$A$51,0))="","",INDEX(campaigns!$BF$2:$BF$51,MATCH($A236,campaigns!$A$2:$A$51,0))),""),IFERROR(IF(INDEX(offices!$AB$2:$AB$61,MATCH($B236,offices!$A$2:$A$61,0))="","",INDEX(offices!$AB$2:$AB$61,MATCH($B236,offices!$A$2:$A$61,0))),""))),"","info: category not on the office's list; ")&amp;IF(IFERROR(IF(INDEX(offices!$AC$2:$AC$61,MATCH($B236,offices!$A$2:$A$61,0))="","",INDEX(offices!$AC$2:$AC$61,MATCH($B236,offices!$A$2:$A$61,0))),"")&lt;&gt;"","info: read the vetoes against the label; ",""))</f>
        <v/>
      </c>
      <c r="S236" s="30" t="str">
        <f aca="false">IF($A236="","",IF($G236&lt;&gt;"",$G236,IFERROR(IF(INDEX(offices!$AL$2:$AL$61,MATCH($B236,offices!$A$2:$A$61,0))="","",INDEX(offices!$AL$2:$AL$61,MATCH($B236,offices!$A$2:$A$61,0))),"")))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IF($B237="","",IFERROR(IF(INDEX(offices!$N$2:$N$61,MATCH($B237,offices!$A$2:$A$61,0))="","",INDEX(offices!$N$2:$N$61,MATCH($B237,offices!$A$2:$A$61,0))),""))</f>
        <v/>
      </c>
      <c r="L237" s="30" t="str">
        <f aca="false">IF($A237="","",IF($Q237="N","",COUNTIFS($A$2:$A237,$A237,$Q$2:$Q237,"&lt;&gt;N")))</f>
        <v/>
      </c>
      <c r="M237" s="30" t="str">
        <f aca="false">IF(OR($A237="",$L237=""),"",IF(AND(config!$B$34="names_if_public",IFERROR(IF(INDEX(offices!$AF$2:$AF$61,MATCH($B237,offices!$A$2:$A$61,0))="","",INDEX(offices!$AF$2:$AF$61,MATCH($B237,offices!$A$2:$A$61,0))),"")="Y"),$K237,CHAR(64+$L237)))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C$2:$AC$61,MATCH($B237,offices!$A$2:$A$61,0))="","",INDEX(offices!$AC$2:$AC$61,MATCH($B237,offices!$A$2:$A$61,0))),"")&lt;&gt;"",ISNUMBER(SEARCH($J237,IFERROR(IF(INDEX(offices!$AC$2:$AC$61,MATCH($B237,offices!$A$2:$A$61,0))="","",INDEX(offices!$AC$2:$AC$61,MATCH($B237,offices!$A$2:$A$61,0))),"")))),"BRAND VETOED; ","")&amp;IF(ISNUMBER(SEARCH(IFERROR(IF(INDEX(campaigns!$BF$2:$BF$51,MATCH($A237,campaigns!$A$2:$A$51,0))="","",INDEX(campaigns!$BF$2:$BF$51,MATCH($A237,campaigns!$A$2:$A$51,0))),""),IFERROR(IF(INDEX(offices!$AB$2:$AB$61,MATCH($B237,offices!$A$2:$A$61,0))="","",INDEX(offices!$AB$2:$AB$61,MATCH($B237,offices!$A$2:$A$61,0))),""))),"","info: category not on the office's list; ")&amp;IF(IFERROR(IF(INDEX(offices!$AC$2:$AC$61,MATCH($B237,offices!$A$2:$A$61,0))="","",INDEX(offices!$AC$2:$AC$61,MATCH($B237,offices!$A$2:$A$61,0))),"")&lt;&gt;"","info: read the vetoes against the label; ",""))</f>
        <v/>
      </c>
      <c r="S237" s="30" t="str">
        <f aca="false">IF($A237="","",IF($G237&lt;&gt;"",$G237,IFERROR(IF(INDEX(offices!$AL$2:$AL$61,MATCH($B237,offices!$A$2:$A$61,0))="","",INDEX(offices!$AL$2:$AL$61,MATCH($B237,offices!$A$2:$A$61,0))),"")))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IF($B238="","",IFERROR(IF(INDEX(offices!$N$2:$N$61,MATCH($B238,offices!$A$2:$A$61,0))="","",INDEX(offices!$N$2:$N$61,MATCH($B238,offices!$A$2:$A$61,0))),""))</f>
        <v/>
      </c>
      <c r="L238" s="30" t="str">
        <f aca="false">IF($A238="","",IF($Q238="N","",COUNTIFS($A$2:$A238,$A238,$Q$2:$Q238,"&lt;&gt;N")))</f>
        <v/>
      </c>
      <c r="M238" s="30" t="str">
        <f aca="false">IF(OR($A238="",$L238=""),"",IF(AND(config!$B$34="names_if_public",IFERROR(IF(INDEX(offices!$AF$2:$AF$61,MATCH($B238,offices!$A$2:$A$61,0))="","",INDEX(offices!$AF$2:$AF$61,MATCH($B238,offices!$A$2:$A$61,0))),"")="Y"),$K238,CHAR(64+$L238)))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C$2:$AC$61,MATCH($B238,offices!$A$2:$A$61,0))="","",INDEX(offices!$AC$2:$AC$61,MATCH($B238,offices!$A$2:$A$61,0))),"")&lt;&gt;"",ISNUMBER(SEARCH($J238,IFERROR(IF(INDEX(offices!$AC$2:$AC$61,MATCH($B238,offices!$A$2:$A$61,0))="","",INDEX(offices!$AC$2:$AC$61,MATCH($B238,offices!$A$2:$A$61,0))),"")))),"BRAND VETOED; ","")&amp;IF(ISNUMBER(SEARCH(IFERROR(IF(INDEX(campaigns!$BF$2:$BF$51,MATCH($A238,campaigns!$A$2:$A$51,0))="","",INDEX(campaigns!$BF$2:$BF$51,MATCH($A238,campaigns!$A$2:$A$51,0))),""),IFERROR(IF(INDEX(offices!$AB$2:$AB$61,MATCH($B238,offices!$A$2:$A$61,0))="","",INDEX(offices!$AB$2:$AB$61,MATCH($B238,offices!$A$2:$A$61,0))),""))),"","info: category not on the office's list; ")&amp;IF(IFERROR(IF(INDEX(offices!$AC$2:$AC$61,MATCH($B238,offices!$A$2:$A$61,0))="","",INDEX(offices!$AC$2:$AC$61,MATCH($B238,offices!$A$2:$A$61,0))),"")&lt;&gt;"","info: read the vetoes against the label; ",""))</f>
        <v/>
      </c>
      <c r="S238" s="30" t="str">
        <f aca="false">IF($A238="","",IF($G238&lt;&gt;"",$G238,IFERROR(IF(INDEX(offices!$AL$2:$AL$61,MATCH($B238,offices!$A$2:$A$61,0))="","",INDEX(offices!$AL$2:$AL$61,MATCH($B238,offices!$A$2:$A$61,0))),"")))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IF($B239="","",IFERROR(IF(INDEX(offices!$N$2:$N$61,MATCH($B239,offices!$A$2:$A$61,0))="","",INDEX(offices!$N$2:$N$61,MATCH($B239,offices!$A$2:$A$61,0))),""))</f>
        <v/>
      </c>
      <c r="L239" s="30" t="str">
        <f aca="false">IF($A239="","",IF($Q239="N","",COUNTIFS($A$2:$A239,$A239,$Q$2:$Q239,"&lt;&gt;N")))</f>
        <v/>
      </c>
      <c r="M239" s="30" t="str">
        <f aca="false">IF(OR($A239="",$L239=""),"",IF(AND(config!$B$34="names_if_public",IFERROR(IF(INDEX(offices!$AF$2:$AF$61,MATCH($B239,offices!$A$2:$A$61,0))="","",INDEX(offices!$AF$2:$AF$61,MATCH($B239,offices!$A$2:$A$61,0))),"")="Y"),$K239,CHAR(64+$L239)))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C$2:$AC$61,MATCH($B239,offices!$A$2:$A$61,0))="","",INDEX(offices!$AC$2:$AC$61,MATCH($B239,offices!$A$2:$A$61,0))),"")&lt;&gt;"",ISNUMBER(SEARCH($J239,IFERROR(IF(INDEX(offices!$AC$2:$AC$61,MATCH($B239,offices!$A$2:$A$61,0))="","",INDEX(offices!$AC$2:$AC$61,MATCH($B239,offices!$A$2:$A$61,0))),"")))),"BRAND VETOED; ","")&amp;IF(ISNUMBER(SEARCH(IFERROR(IF(INDEX(campaigns!$BF$2:$BF$51,MATCH($A239,campaigns!$A$2:$A$51,0))="","",INDEX(campaigns!$BF$2:$BF$51,MATCH($A239,campaigns!$A$2:$A$51,0))),""),IFERROR(IF(INDEX(offices!$AB$2:$AB$61,MATCH($B239,offices!$A$2:$A$61,0))="","",INDEX(offices!$AB$2:$AB$61,MATCH($B239,offices!$A$2:$A$61,0))),""))),"","info: category not on the office's list; ")&amp;IF(IFERROR(IF(INDEX(offices!$AC$2:$AC$61,MATCH($B239,offices!$A$2:$A$61,0))="","",INDEX(offices!$AC$2:$AC$61,MATCH($B239,offices!$A$2:$A$61,0))),"")&lt;&gt;"","info: read the vetoes against the label; ",""))</f>
        <v/>
      </c>
      <c r="S239" s="30" t="str">
        <f aca="false">IF($A239="","",IF($G239&lt;&gt;"",$G239,IFERROR(IF(INDEX(offices!$AL$2:$AL$61,MATCH($B239,offices!$A$2:$A$61,0))="","",INDEX(offices!$AL$2:$AL$61,MATCH($B239,offices!$A$2:$A$61,0))),"")))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IF($B240="","",IFERROR(IF(INDEX(offices!$N$2:$N$61,MATCH($B240,offices!$A$2:$A$61,0))="","",INDEX(offices!$N$2:$N$61,MATCH($B240,offices!$A$2:$A$61,0))),""))</f>
        <v/>
      </c>
      <c r="L240" s="30" t="str">
        <f aca="false">IF($A240="","",IF($Q240="N","",COUNTIFS($A$2:$A240,$A240,$Q$2:$Q240,"&lt;&gt;N")))</f>
        <v/>
      </c>
      <c r="M240" s="30" t="str">
        <f aca="false">IF(OR($A240="",$L240=""),"",IF(AND(config!$B$34="names_if_public",IFERROR(IF(INDEX(offices!$AF$2:$AF$61,MATCH($B240,offices!$A$2:$A$61,0))="","",INDEX(offices!$AF$2:$AF$61,MATCH($B240,offices!$A$2:$A$61,0))),"")="Y"),$K240,CHAR(64+$L240)))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C$2:$AC$61,MATCH($B240,offices!$A$2:$A$61,0))="","",INDEX(offices!$AC$2:$AC$61,MATCH($B240,offices!$A$2:$A$61,0))),"")&lt;&gt;"",ISNUMBER(SEARCH($J240,IFERROR(IF(INDEX(offices!$AC$2:$AC$61,MATCH($B240,offices!$A$2:$A$61,0))="","",INDEX(offices!$AC$2:$AC$61,MATCH($B240,offices!$A$2:$A$61,0))),"")))),"BRAND VETOED; ","")&amp;IF(ISNUMBER(SEARCH(IFERROR(IF(INDEX(campaigns!$BF$2:$BF$51,MATCH($A240,campaigns!$A$2:$A$51,0))="","",INDEX(campaigns!$BF$2:$BF$51,MATCH($A240,campaigns!$A$2:$A$51,0))),""),IFERROR(IF(INDEX(offices!$AB$2:$AB$61,MATCH($B240,offices!$A$2:$A$61,0))="","",INDEX(offices!$AB$2:$AB$61,MATCH($B240,offices!$A$2:$A$61,0))),""))),"","info: category not on the office's list; ")&amp;IF(IFERROR(IF(INDEX(offices!$AC$2:$AC$61,MATCH($B240,offices!$A$2:$A$61,0))="","",INDEX(offices!$AC$2:$AC$61,MATCH($B240,offices!$A$2:$A$61,0))),"")&lt;&gt;"","info: read the vetoes against the label; ",""))</f>
        <v/>
      </c>
      <c r="S240" s="30" t="str">
        <f aca="false">IF($A240="","",IF($G240&lt;&gt;"",$G240,IFERROR(IF(INDEX(offices!$AL$2:$AL$61,MATCH($B240,offices!$A$2:$A$61,0))="","",INDEX(offices!$AL$2:$AL$61,MATCH($B240,offices!$A$2:$A$61,0))),"")))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IF($B241="","",IFERROR(IF(INDEX(offices!$N$2:$N$61,MATCH($B241,offices!$A$2:$A$61,0))="","",INDEX(offices!$N$2:$N$61,MATCH($B241,offices!$A$2:$A$61,0))),""))</f>
        <v/>
      </c>
      <c r="L241" s="30" t="str">
        <f aca="false">IF($A241="","",IF($Q241="N","",COUNTIFS($A$2:$A241,$A241,$Q$2:$Q241,"&lt;&gt;N")))</f>
        <v/>
      </c>
      <c r="M241" s="30" t="str">
        <f aca="false">IF(OR($A241="",$L241=""),"",IF(AND(config!$B$34="names_if_public",IFERROR(IF(INDEX(offices!$AF$2:$AF$61,MATCH($B241,offices!$A$2:$A$61,0))="","",INDEX(offices!$AF$2:$AF$61,MATCH($B241,offices!$A$2:$A$61,0))),"")="Y"),$K241,CHAR(64+$L241)))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C$2:$AC$61,MATCH($B241,offices!$A$2:$A$61,0))="","",INDEX(offices!$AC$2:$AC$61,MATCH($B241,offices!$A$2:$A$61,0))),"")&lt;&gt;"",ISNUMBER(SEARCH($J241,IFERROR(IF(INDEX(offices!$AC$2:$AC$61,MATCH($B241,offices!$A$2:$A$61,0))="","",INDEX(offices!$AC$2:$AC$61,MATCH($B241,offices!$A$2:$A$61,0))),"")))),"BRAND VETOED; ","")&amp;IF(ISNUMBER(SEARCH(IFERROR(IF(INDEX(campaigns!$BF$2:$BF$51,MATCH($A241,campaigns!$A$2:$A$51,0))="","",INDEX(campaigns!$BF$2:$BF$51,MATCH($A241,campaigns!$A$2:$A$51,0))),""),IFERROR(IF(INDEX(offices!$AB$2:$AB$61,MATCH($B241,offices!$A$2:$A$61,0))="","",INDEX(offices!$AB$2:$AB$61,MATCH($B241,offices!$A$2:$A$61,0))),""))),"","info: category not on the office's list; ")&amp;IF(IFERROR(IF(INDEX(offices!$AC$2:$AC$61,MATCH($B241,offices!$A$2:$A$61,0))="","",INDEX(offices!$AC$2:$AC$61,MATCH($B241,offices!$A$2:$A$61,0))),"")&lt;&gt;"","info: read the vetoes against the label; ",""))</f>
        <v/>
      </c>
      <c r="S241" s="30" t="str">
        <f aca="false">IF($A241="","",IF($G241&lt;&gt;"",$G241,IFERROR(IF(INDEX(offices!$AL$2:$AL$61,MATCH($B241,offices!$A$2:$A$61,0))="","",INDEX(offices!$AL$2:$AL$61,MATCH($B241,offices!$A$2:$A$61,0))),"")))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IF($B242="","",IFERROR(IF(INDEX(offices!$N$2:$N$61,MATCH($B242,offices!$A$2:$A$61,0))="","",INDEX(offices!$N$2:$N$61,MATCH($B242,offices!$A$2:$A$61,0))),""))</f>
        <v/>
      </c>
      <c r="L242" s="30" t="str">
        <f aca="false">IF($A242="","",IF($Q242="N","",COUNTIFS($A$2:$A242,$A242,$Q$2:$Q242,"&lt;&gt;N")))</f>
        <v/>
      </c>
      <c r="M242" s="30" t="str">
        <f aca="false">IF(OR($A242="",$L242=""),"",IF(AND(config!$B$34="names_if_public",IFERROR(IF(INDEX(offices!$AF$2:$AF$61,MATCH($B242,offices!$A$2:$A$61,0))="","",INDEX(offices!$AF$2:$AF$61,MATCH($B242,offices!$A$2:$A$61,0))),"")="Y"),$K242,CHAR(64+$L242)))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C$2:$AC$61,MATCH($B242,offices!$A$2:$A$61,0))="","",INDEX(offices!$AC$2:$AC$61,MATCH($B242,offices!$A$2:$A$61,0))),"")&lt;&gt;"",ISNUMBER(SEARCH($J242,IFERROR(IF(INDEX(offices!$AC$2:$AC$61,MATCH($B242,offices!$A$2:$A$61,0))="","",INDEX(offices!$AC$2:$AC$61,MATCH($B242,offices!$A$2:$A$61,0))),"")))),"BRAND VETOED; ","")&amp;IF(ISNUMBER(SEARCH(IFERROR(IF(INDEX(campaigns!$BF$2:$BF$51,MATCH($A242,campaigns!$A$2:$A$51,0))="","",INDEX(campaigns!$BF$2:$BF$51,MATCH($A242,campaigns!$A$2:$A$51,0))),""),IFERROR(IF(INDEX(offices!$AB$2:$AB$61,MATCH($B242,offices!$A$2:$A$61,0))="","",INDEX(offices!$AB$2:$AB$61,MATCH($B242,offices!$A$2:$A$61,0))),""))),"","info: category not on the office's list; ")&amp;IF(IFERROR(IF(INDEX(offices!$AC$2:$AC$61,MATCH($B242,offices!$A$2:$A$61,0))="","",INDEX(offices!$AC$2:$AC$61,MATCH($B242,offices!$A$2:$A$61,0))),"")&lt;&gt;"","info: read the vetoes against the label; ",""))</f>
        <v/>
      </c>
      <c r="S242" s="30" t="str">
        <f aca="false">IF($A242="","",IF($G242&lt;&gt;"",$G242,IFERROR(IF(INDEX(offices!$AL$2:$AL$61,MATCH($B242,offices!$A$2:$A$61,0))="","",INDEX(offices!$AL$2:$AL$61,MATCH($B242,offices!$A$2:$A$61,0))),"")))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IF($B243="","",IFERROR(IF(INDEX(offices!$N$2:$N$61,MATCH($B243,offices!$A$2:$A$61,0))="","",INDEX(offices!$N$2:$N$61,MATCH($B243,offices!$A$2:$A$61,0))),""))</f>
        <v/>
      </c>
      <c r="L243" s="30" t="str">
        <f aca="false">IF($A243="","",IF($Q243="N","",COUNTIFS($A$2:$A243,$A243,$Q$2:$Q243,"&lt;&gt;N")))</f>
        <v/>
      </c>
      <c r="M243" s="30" t="str">
        <f aca="false">IF(OR($A243="",$L243=""),"",IF(AND(config!$B$34="names_if_public",IFERROR(IF(INDEX(offices!$AF$2:$AF$61,MATCH($B243,offices!$A$2:$A$61,0))="","",INDEX(offices!$AF$2:$AF$61,MATCH($B243,offices!$A$2:$A$61,0))),"")="Y"),$K243,CHAR(64+$L243)))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C$2:$AC$61,MATCH($B243,offices!$A$2:$A$61,0))="","",INDEX(offices!$AC$2:$AC$61,MATCH($B243,offices!$A$2:$A$61,0))),"")&lt;&gt;"",ISNUMBER(SEARCH($J243,IFERROR(IF(INDEX(offices!$AC$2:$AC$61,MATCH($B243,offices!$A$2:$A$61,0))="","",INDEX(offices!$AC$2:$AC$61,MATCH($B243,offices!$A$2:$A$61,0))),"")))),"BRAND VETOED; ","")&amp;IF(ISNUMBER(SEARCH(IFERROR(IF(INDEX(campaigns!$BF$2:$BF$51,MATCH($A243,campaigns!$A$2:$A$51,0))="","",INDEX(campaigns!$BF$2:$BF$51,MATCH($A243,campaigns!$A$2:$A$51,0))),""),IFERROR(IF(INDEX(offices!$AB$2:$AB$61,MATCH($B243,offices!$A$2:$A$61,0))="","",INDEX(offices!$AB$2:$AB$61,MATCH($B243,offices!$A$2:$A$61,0))),""))),"","info: category not on the office's list; ")&amp;IF(IFERROR(IF(INDEX(offices!$AC$2:$AC$61,MATCH($B243,offices!$A$2:$A$61,0))="","",INDEX(offices!$AC$2:$AC$61,MATCH($B243,offices!$A$2:$A$61,0))),"")&lt;&gt;"","info: read the vetoes against the label; ",""))</f>
        <v/>
      </c>
      <c r="S243" s="30" t="str">
        <f aca="false">IF($A243="","",IF($G243&lt;&gt;"",$G243,IFERROR(IF(INDEX(offices!$AL$2:$AL$61,MATCH($B243,offices!$A$2:$A$61,0))="","",INDEX(offices!$AL$2:$AL$61,MATCH($B243,offices!$A$2:$A$61,0))),"")))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IF($B244="","",IFERROR(IF(INDEX(offices!$N$2:$N$61,MATCH($B244,offices!$A$2:$A$61,0))="","",INDEX(offices!$N$2:$N$61,MATCH($B244,offices!$A$2:$A$61,0))),""))</f>
        <v/>
      </c>
      <c r="L244" s="30" t="str">
        <f aca="false">IF($A244="","",IF($Q244="N","",COUNTIFS($A$2:$A244,$A244,$Q$2:$Q244,"&lt;&gt;N")))</f>
        <v/>
      </c>
      <c r="M244" s="30" t="str">
        <f aca="false">IF(OR($A244="",$L244=""),"",IF(AND(config!$B$34="names_if_public",IFERROR(IF(INDEX(offices!$AF$2:$AF$61,MATCH($B244,offices!$A$2:$A$61,0))="","",INDEX(offices!$AF$2:$AF$61,MATCH($B244,offices!$A$2:$A$61,0))),"")="Y"),$K244,CHAR(64+$L244)))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C$2:$AC$61,MATCH($B244,offices!$A$2:$A$61,0))="","",INDEX(offices!$AC$2:$AC$61,MATCH($B244,offices!$A$2:$A$61,0))),"")&lt;&gt;"",ISNUMBER(SEARCH($J244,IFERROR(IF(INDEX(offices!$AC$2:$AC$61,MATCH($B244,offices!$A$2:$A$61,0))="","",INDEX(offices!$AC$2:$AC$61,MATCH($B244,offices!$A$2:$A$61,0))),"")))),"BRAND VETOED; ","")&amp;IF(ISNUMBER(SEARCH(IFERROR(IF(INDEX(campaigns!$BF$2:$BF$51,MATCH($A244,campaigns!$A$2:$A$51,0))="","",INDEX(campaigns!$BF$2:$BF$51,MATCH($A244,campaigns!$A$2:$A$51,0))),""),IFERROR(IF(INDEX(offices!$AB$2:$AB$61,MATCH($B244,offices!$A$2:$A$61,0))="","",INDEX(offices!$AB$2:$AB$61,MATCH($B244,offices!$A$2:$A$61,0))),""))),"","info: category not on the office's list; ")&amp;IF(IFERROR(IF(INDEX(offices!$AC$2:$AC$61,MATCH($B244,offices!$A$2:$A$61,0))="","",INDEX(offices!$AC$2:$AC$61,MATCH($B244,offices!$A$2:$A$61,0))),"")&lt;&gt;"","info: read the vetoes against the label; ",""))</f>
        <v/>
      </c>
      <c r="S244" s="30" t="str">
        <f aca="false">IF($A244="","",IF($G244&lt;&gt;"",$G244,IFERROR(IF(INDEX(offices!$AL$2:$AL$61,MATCH($B244,offices!$A$2:$A$61,0))="","",INDEX(offices!$AL$2:$AL$61,MATCH($B244,offices!$A$2:$A$61,0))),"")))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IF($B245="","",IFERROR(IF(INDEX(offices!$N$2:$N$61,MATCH($B245,offices!$A$2:$A$61,0))="","",INDEX(offices!$N$2:$N$61,MATCH($B245,offices!$A$2:$A$61,0))),""))</f>
        <v/>
      </c>
      <c r="L245" s="30" t="str">
        <f aca="false">IF($A245="","",IF($Q245="N","",COUNTIFS($A$2:$A245,$A245,$Q$2:$Q245,"&lt;&gt;N")))</f>
        <v/>
      </c>
      <c r="M245" s="30" t="str">
        <f aca="false">IF(OR($A245="",$L245=""),"",IF(AND(config!$B$34="names_if_public",IFERROR(IF(INDEX(offices!$AF$2:$AF$61,MATCH($B245,offices!$A$2:$A$61,0))="","",INDEX(offices!$AF$2:$AF$61,MATCH($B245,offices!$A$2:$A$61,0))),"")="Y"),$K245,CHAR(64+$L245)))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C$2:$AC$61,MATCH($B245,offices!$A$2:$A$61,0))="","",INDEX(offices!$AC$2:$AC$61,MATCH($B245,offices!$A$2:$A$61,0))),"")&lt;&gt;"",ISNUMBER(SEARCH($J245,IFERROR(IF(INDEX(offices!$AC$2:$AC$61,MATCH($B245,offices!$A$2:$A$61,0))="","",INDEX(offices!$AC$2:$AC$61,MATCH($B245,offices!$A$2:$A$61,0))),"")))),"BRAND VETOED; ","")&amp;IF(ISNUMBER(SEARCH(IFERROR(IF(INDEX(campaigns!$BF$2:$BF$51,MATCH($A245,campaigns!$A$2:$A$51,0))="","",INDEX(campaigns!$BF$2:$BF$51,MATCH($A245,campaigns!$A$2:$A$51,0))),""),IFERROR(IF(INDEX(offices!$AB$2:$AB$61,MATCH($B245,offices!$A$2:$A$61,0))="","",INDEX(offices!$AB$2:$AB$61,MATCH($B245,offices!$A$2:$A$61,0))),""))),"","info: category not on the office's list; ")&amp;IF(IFERROR(IF(INDEX(offices!$AC$2:$AC$61,MATCH($B245,offices!$A$2:$A$61,0))="","",INDEX(offices!$AC$2:$AC$61,MATCH($B245,offices!$A$2:$A$61,0))),"")&lt;&gt;"","info: read the vetoes against the label; ",""))</f>
        <v/>
      </c>
      <c r="S245" s="30" t="str">
        <f aca="false">IF($A245="","",IF($G245&lt;&gt;"",$G245,IFERROR(IF(INDEX(offices!$AL$2:$AL$61,MATCH($B245,offices!$A$2:$A$61,0))="","",INDEX(offices!$AL$2:$AL$61,MATCH($B245,offices!$A$2:$A$61,0))),"")))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IF($B246="","",IFERROR(IF(INDEX(offices!$N$2:$N$61,MATCH($B246,offices!$A$2:$A$61,0))="","",INDEX(offices!$N$2:$N$61,MATCH($B246,offices!$A$2:$A$61,0))),""))</f>
        <v/>
      </c>
      <c r="L246" s="30" t="str">
        <f aca="false">IF($A246="","",IF($Q246="N","",COUNTIFS($A$2:$A246,$A246,$Q$2:$Q246,"&lt;&gt;N")))</f>
        <v/>
      </c>
      <c r="M246" s="30" t="str">
        <f aca="false">IF(OR($A246="",$L246=""),"",IF(AND(config!$B$34="names_if_public",IFERROR(IF(INDEX(offices!$AF$2:$AF$61,MATCH($B246,offices!$A$2:$A$61,0))="","",INDEX(offices!$AF$2:$AF$61,MATCH($B246,offices!$A$2:$A$61,0))),"")="Y"),$K246,CHAR(64+$L246)))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C$2:$AC$61,MATCH($B246,offices!$A$2:$A$61,0))="","",INDEX(offices!$AC$2:$AC$61,MATCH($B246,offices!$A$2:$A$61,0))),"")&lt;&gt;"",ISNUMBER(SEARCH($J246,IFERROR(IF(INDEX(offices!$AC$2:$AC$61,MATCH($B246,offices!$A$2:$A$61,0))="","",INDEX(offices!$AC$2:$AC$61,MATCH($B246,offices!$A$2:$A$61,0))),"")))),"BRAND VETOED; ","")&amp;IF(ISNUMBER(SEARCH(IFERROR(IF(INDEX(campaigns!$BF$2:$BF$51,MATCH($A246,campaigns!$A$2:$A$51,0))="","",INDEX(campaigns!$BF$2:$BF$51,MATCH($A246,campaigns!$A$2:$A$51,0))),""),IFERROR(IF(INDEX(offices!$AB$2:$AB$61,MATCH($B246,offices!$A$2:$A$61,0))="","",INDEX(offices!$AB$2:$AB$61,MATCH($B246,offices!$A$2:$A$61,0))),""))),"","info: category not on the office's list; ")&amp;IF(IFERROR(IF(INDEX(offices!$AC$2:$AC$61,MATCH($B246,offices!$A$2:$A$61,0))="","",INDEX(offices!$AC$2:$AC$61,MATCH($B246,offices!$A$2:$A$61,0))),"")&lt;&gt;"","info: read the vetoes against the label; ",""))</f>
        <v/>
      </c>
      <c r="S246" s="30" t="str">
        <f aca="false">IF($A246="","",IF($G246&lt;&gt;"",$G246,IFERROR(IF(INDEX(offices!$AL$2:$AL$61,MATCH($B246,offices!$A$2:$A$61,0))="","",INDEX(offices!$AL$2:$AL$61,MATCH($B246,offices!$A$2:$A$61,0))),"")))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IF($B247="","",IFERROR(IF(INDEX(offices!$N$2:$N$61,MATCH($B247,offices!$A$2:$A$61,0))="","",INDEX(offices!$N$2:$N$61,MATCH($B247,offices!$A$2:$A$61,0))),""))</f>
        <v/>
      </c>
      <c r="L247" s="30" t="str">
        <f aca="false">IF($A247="","",IF($Q247="N","",COUNTIFS($A$2:$A247,$A247,$Q$2:$Q247,"&lt;&gt;N")))</f>
        <v/>
      </c>
      <c r="M247" s="30" t="str">
        <f aca="false">IF(OR($A247="",$L247=""),"",IF(AND(config!$B$34="names_if_public",IFERROR(IF(INDEX(offices!$AF$2:$AF$61,MATCH($B247,offices!$A$2:$A$61,0))="","",INDEX(offices!$AF$2:$AF$61,MATCH($B247,offices!$A$2:$A$61,0))),"")="Y"),$K247,CHAR(64+$L247)))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C$2:$AC$61,MATCH($B247,offices!$A$2:$A$61,0))="","",INDEX(offices!$AC$2:$AC$61,MATCH($B247,offices!$A$2:$A$61,0))),"")&lt;&gt;"",ISNUMBER(SEARCH($J247,IFERROR(IF(INDEX(offices!$AC$2:$AC$61,MATCH($B247,offices!$A$2:$A$61,0))="","",INDEX(offices!$AC$2:$AC$61,MATCH($B247,offices!$A$2:$A$61,0))),"")))),"BRAND VETOED; ","")&amp;IF(ISNUMBER(SEARCH(IFERROR(IF(INDEX(campaigns!$BF$2:$BF$51,MATCH($A247,campaigns!$A$2:$A$51,0))="","",INDEX(campaigns!$BF$2:$BF$51,MATCH($A247,campaigns!$A$2:$A$51,0))),""),IFERROR(IF(INDEX(offices!$AB$2:$AB$61,MATCH($B247,offices!$A$2:$A$61,0))="","",INDEX(offices!$AB$2:$AB$61,MATCH($B247,offices!$A$2:$A$61,0))),""))),"","info: category not on the office's list; ")&amp;IF(IFERROR(IF(INDEX(offices!$AC$2:$AC$61,MATCH($B247,offices!$A$2:$A$61,0))="","",INDEX(offices!$AC$2:$AC$61,MATCH($B247,offices!$A$2:$A$61,0))),"")&lt;&gt;"","info: read the vetoes against the label; ",""))</f>
        <v/>
      </c>
      <c r="S247" s="30" t="str">
        <f aca="false">IF($A247="","",IF($G247&lt;&gt;"",$G247,IFERROR(IF(INDEX(offices!$AL$2:$AL$61,MATCH($B247,offices!$A$2:$A$61,0))="","",INDEX(offices!$AL$2:$AL$61,MATCH($B247,offices!$A$2:$A$61,0))),"")))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IF($B248="","",IFERROR(IF(INDEX(offices!$N$2:$N$61,MATCH($B248,offices!$A$2:$A$61,0))="","",INDEX(offices!$N$2:$N$61,MATCH($B248,offices!$A$2:$A$61,0))),""))</f>
        <v/>
      </c>
      <c r="L248" s="30" t="str">
        <f aca="false">IF($A248="","",IF($Q248="N","",COUNTIFS($A$2:$A248,$A248,$Q$2:$Q248,"&lt;&gt;N")))</f>
        <v/>
      </c>
      <c r="M248" s="30" t="str">
        <f aca="false">IF(OR($A248="",$L248=""),"",IF(AND(config!$B$34="names_if_public",IFERROR(IF(INDEX(offices!$AF$2:$AF$61,MATCH($B248,offices!$A$2:$A$61,0))="","",INDEX(offices!$AF$2:$AF$61,MATCH($B248,offices!$A$2:$A$61,0))),"")="Y"),$K248,CHAR(64+$L248)))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C$2:$AC$61,MATCH($B248,offices!$A$2:$A$61,0))="","",INDEX(offices!$AC$2:$AC$61,MATCH($B248,offices!$A$2:$A$61,0))),"")&lt;&gt;"",ISNUMBER(SEARCH($J248,IFERROR(IF(INDEX(offices!$AC$2:$AC$61,MATCH($B248,offices!$A$2:$A$61,0))="","",INDEX(offices!$AC$2:$AC$61,MATCH($B248,offices!$A$2:$A$61,0))),"")))),"BRAND VETOED; ","")&amp;IF(ISNUMBER(SEARCH(IFERROR(IF(INDEX(campaigns!$BF$2:$BF$51,MATCH($A248,campaigns!$A$2:$A$51,0))="","",INDEX(campaigns!$BF$2:$BF$51,MATCH($A248,campaigns!$A$2:$A$51,0))),""),IFERROR(IF(INDEX(offices!$AB$2:$AB$61,MATCH($B248,offices!$A$2:$A$61,0))="","",INDEX(offices!$AB$2:$AB$61,MATCH($B248,offices!$A$2:$A$61,0))),""))),"","info: category not on the office's list; ")&amp;IF(IFERROR(IF(INDEX(offices!$AC$2:$AC$61,MATCH($B248,offices!$A$2:$A$61,0))="","",INDEX(offices!$AC$2:$AC$61,MATCH($B248,offices!$A$2:$A$61,0))),"")&lt;&gt;"","info: read the vetoes against the label; ",""))</f>
        <v/>
      </c>
      <c r="S248" s="30" t="str">
        <f aca="false">IF($A248="","",IF($G248&lt;&gt;"",$G248,IFERROR(IF(INDEX(offices!$AL$2:$AL$61,MATCH($B248,offices!$A$2:$A$61,0))="","",INDEX(offices!$AL$2:$AL$61,MATCH($B248,offices!$A$2:$A$61,0))),"")))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IF($B249="","",IFERROR(IF(INDEX(offices!$N$2:$N$61,MATCH($B249,offices!$A$2:$A$61,0))="","",INDEX(offices!$N$2:$N$61,MATCH($B249,offices!$A$2:$A$61,0))),""))</f>
        <v/>
      </c>
      <c r="L249" s="30" t="str">
        <f aca="false">IF($A249="","",IF($Q249="N","",COUNTIFS($A$2:$A249,$A249,$Q$2:$Q249,"&lt;&gt;N")))</f>
        <v/>
      </c>
      <c r="M249" s="30" t="str">
        <f aca="false">IF(OR($A249="",$L249=""),"",IF(AND(config!$B$34="names_if_public",IFERROR(IF(INDEX(offices!$AF$2:$AF$61,MATCH($B249,offices!$A$2:$A$61,0))="","",INDEX(offices!$AF$2:$AF$61,MATCH($B249,offices!$A$2:$A$61,0))),"")="Y"),$K249,CHAR(64+$L249)))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C$2:$AC$61,MATCH($B249,offices!$A$2:$A$61,0))="","",INDEX(offices!$AC$2:$AC$61,MATCH($B249,offices!$A$2:$A$61,0))),"")&lt;&gt;"",ISNUMBER(SEARCH($J249,IFERROR(IF(INDEX(offices!$AC$2:$AC$61,MATCH($B249,offices!$A$2:$A$61,0))="","",INDEX(offices!$AC$2:$AC$61,MATCH($B249,offices!$A$2:$A$61,0))),"")))),"BRAND VETOED; ","")&amp;IF(ISNUMBER(SEARCH(IFERROR(IF(INDEX(campaigns!$BF$2:$BF$51,MATCH($A249,campaigns!$A$2:$A$51,0))="","",INDEX(campaigns!$BF$2:$BF$51,MATCH($A249,campaigns!$A$2:$A$51,0))),""),IFERROR(IF(INDEX(offices!$AB$2:$AB$61,MATCH($B249,offices!$A$2:$A$61,0))="","",INDEX(offices!$AB$2:$AB$61,MATCH($B249,offices!$A$2:$A$61,0))),""))),"","info: category not on the office's list; ")&amp;IF(IFERROR(IF(INDEX(offices!$AC$2:$AC$61,MATCH($B249,offices!$A$2:$A$61,0))="","",INDEX(offices!$AC$2:$AC$61,MATCH($B249,offices!$A$2:$A$61,0))),"")&lt;&gt;"","info: read the vetoes against the label; ",""))</f>
        <v/>
      </c>
      <c r="S249" s="30" t="str">
        <f aca="false">IF($A249="","",IF($G249&lt;&gt;"",$G249,IFERROR(IF(INDEX(offices!$AL$2:$AL$61,MATCH($B249,offices!$A$2:$A$61,0))="","",INDEX(offices!$AL$2:$AL$61,MATCH($B249,offices!$A$2:$A$61,0))),"")))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IF($B250="","",IFERROR(IF(INDEX(offices!$N$2:$N$61,MATCH($B250,offices!$A$2:$A$61,0))="","",INDEX(offices!$N$2:$N$61,MATCH($B250,offices!$A$2:$A$61,0))),""))</f>
        <v/>
      </c>
      <c r="L250" s="30" t="str">
        <f aca="false">IF($A250="","",IF($Q250="N","",COUNTIFS($A$2:$A250,$A250,$Q$2:$Q250,"&lt;&gt;N")))</f>
        <v/>
      </c>
      <c r="M250" s="30" t="str">
        <f aca="false">IF(OR($A250="",$L250=""),"",IF(AND(config!$B$34="names_if_public",IFERROR(IF(INDEX(offices!$AF$2:$AF$61,MATCH($B250,offices!$A$2:$A$61,0))="","",INDEX(offices!$AF$2:$AF$61,MATCH($B250,offices!$A$2:$A$61,0))),"")="Y"),$K250,CHAR(64+$L250)))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C$2:$AC$61,MATCH($B250,offices!$A$2:$A$61,0))="","",INDEX(offices!$AC$2:$AC$61,MATCH($B250,offices!$A$2:$A$61,0))),"")&lt;&gt;"",ISNUMBER(SEARCH($J250,IFERROR(IF(INDEX(offices!$AC$2:$AC$61,MATCH($B250,offices!$A$2:$A$61,0))="","",INDEX(offices!$AC$2:$AC$61,MATCH($B250,offices!$A$2:$A$61,0))),"")))),"BRAND VETOED; ","")&amp;IF(ISNUMBER(SEARCH(IFERROR(IF(INDEX(campaigns!$BF$2:$BF$51,MATCH($A250,campaigns!$A$2:$A$51,0))="","",INDEX(campaigns!$BF$2:$BF$51,MATCH($A250,campaigns!$A$2:$A$51,0))),""),IFERROR(IF(INDEX(offices!$AB$2:$AB$61,MATCH($B250,offices!$A$2:$A$61,0))="","",INDEX(offices!$AB$2:$AB$61,MATCH($B250,offices!$A$2:$A$61,0))),""))),"","info: category not on the office's list; ")&amp;IF(IFERROR(IF(INDEX(offices!$AC$2:$AC$61,MATCH($B250,offices!$A$2:$A$61,0))="","",INDEX(offices!$AC$2:$AC$61,MATCH($B250,offices!$A$2:$A$61,0))),"")&lt;&gt;"","info: read the vetoes against the label; ",""))</f>
        <v/>
      </c>
      <c r="S250" s="30" t="str">
        <f aca="false">IF($A250="","",IF($G250&lt;&gt;"",$G250,IFERROR(IF(INDEX(offices!$AL$2:$AL$61,MATCH($B250,offices!$A$2:$A$61,0))="","",INDEX(offices!$AL$2:$AL$61,MATCH($B250,offices!$A$2:$A$61,0))),"")))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IF($B251="","",IFERROR(IF(INDEX(offices!$N$2:$N$61,MATCH($B251,offices!$A$2:$A$61,0))="","",INDEX(offices!$N$2:$N$61,MATCH($B251,offices!$A$2:$A$61,0))),""))</f>
        <v/>
      </c>
      <c r="L251" s="30" t="str">
        <f aca="false">IF($A251="","",IF($Q251="N","",COUNTIFS($A$2:$A251,$A251,$Q$2:$Q251,"&lt;&gt;N")))</f>
        <v/>
      </c>
      <c r="M251" s="30" t="str">
        <f aca="false">IF(OR($A251="",$L251=""),"",IF(AND(config!$B$34="names_if_public",IFERROR(IF(INDEX(offices!$AF$2:$AF$61,MATCH($B251,offices!$A$2:$A$61,0))="","",INDEX(offices!$AF$2:$AF$61,MATCH($B251,offices!$A$2:$A$61,0))),"")="Y"),$K251,CHAR(64+$L251)))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C$2:$AC$61,MATCH($B251,offices!$A$2:$A$61,0))="","",INDEX(offices!$AC$2:$AC$61,MATCH($B251,offices!$A$2:$A$61,0))),"")&lt;&gt;"",ISNUMBER(SEARCH($J251,IFERROR(IF(INDEX(offices!$AC$2:$AC$61,MATCH($B251,offices!$A$2:$A$61,0))="","",INDEX(offices!$AC$2:$AC$61,MATCH($B251,offices!$A$2:$A$61,0))),"")))),"BRAND VETOED; ","")&amp;IF(ISNUMBER(SEARCH(IFERROR(IF(INDEX(campaigns!$BF$2:$BF$51,MATCH($A251,campaigns!$A$2:$A$51,0))="","",INDEX(campaigns!$BF$2:$BF$51,MATCH($A251,campaigns!$A$2:$A$51,0))),""),IFERROR(IF(INDEX(offices!$AB$2:$AB$61,MATCH($B251,offices!$A$2:$A$61,0))="","",INDEX(offices!$AB$2:$AB$61,MATCH($B251,offices!$A$2:$A$61,0))),""))),"","info: category not on the office's list; ")&amp;IF(IFERROR(IF(INDEX(offices!$AC$2:$AC$61,MATCH($B251,offices!$A$2:$A$61,0))="","",INDEX(offices!$AC$2:$AC$61,MATCH($B251,offices!$A$2:$A$61,0))),"")&lt;&gt;"","info: read the vetoes against the label; ",""))</f>
        <v/>
      </c>
      <c r="S251" s="30" t="str">
        <f aca="false">IF($A251="","",IF($G251&lt;&gt;"",$G251,IFERROR(IF(INDEX(offices!$AL$2:$AL$61,MATCH($B251,offices!$A$2:$A$61,0))="","",INDEX(offices!$AL$2:$AL$61,MATCH($B251,offices!$A$2:$A$61,0))),"")))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D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s>
  <sheetData>
    <row r="1" customFormat="false" ht="15" hidden="false" customHeight="false" outlineLevel="0" collapsed="false">
      <c r="A1" s="28" t="s">
        <v>296</v>
      </c>
      <c r="B1" s="28" t="s">
        <v>561</v>
      </c>
      <c r="C1" s="28" t="s">
        <v>654</v>
      </c>
      <c r="D1" s="28" t="s">
        <v>655</v>
      </c>
      <c r="E1" s="28" t="s">
        <v>656</v>
      </c>
      <c r="F1" s="28" t="s">
        <v>657</v>
      </c>
      <c r="G1" s="28" t="s">
        <v>658</v>
      </c>
      <c r="H1" s="28" t="s">
        <v>659</v>
      </c>
      <c r="I1" s="28" t="s">
        <v>660</v>
      </c>
      <c r="J1" s="28" t="s">
        <v>661</v>
      </c>
      <c r="K1" s="28" t="s">
        <v>662</v>
      </c>
      <c r="L1" s="28" t="s">
        <v>663</v>
      </c>
      <c r="M1" s="28" t="s">
        <v>302</v>
      </c>
      <c r="N1" s="28" t="s">
        <v>664</v>
      </c>
      <c r="O1" s="28" t="s">
        <v>665</v>
      </c>
      <c r="P1" s="29" t="s">
        <v>297</v>
      </c>
      <c r="Q1" s="29" t="s">
        <v>136</v>
      </c>
      <c r="R1" s="29" t="s">
        <v>572</v>
      </c>
      <c r="S1" s="29" t="s">
        <v>573</v>
      </c>
      <c r="T1" s="29" t="s">
        <v>579</v>
      </c>
      <c r="U1" s="29" t="s">
        <v>578</v>
      </c>
      <c r="V1" s="29" t="s">
        <v>575</v>
      </c>
      <c r="W1" s="29" t="s">
        <v>588</v>
      </c>
      <c r="X1" s="29" t="s">
        <v>567</v>
      </c>
      <c r="Y1" s="29" t="s">
        <v>569</v>
      </c>
      <c r="Z1" s="29" t="s">
        <v>666</v>
      </c>
      <c r="AA1" s="29" t="s">
        <v>667</v>
      </c>
      <c r="AB1" s="29" t="s">
        <v>668</v>
      </c>
      <c r="AC1" s="29" t="s">
        <v>669</v>
      </c>
      <c r="AD1" s="29" t="s">
        <v>118</v>
      </c>
    </row>
    <row r="2" customFormat="false" ht="15" hidden="false" customHeight="false" outlineLevel="0" collapsed="false">
      <c r="A2" s="0" t="s">
        <v>334</v>
      </c>
      <c r="B2" s="0" t="s">
        <v>594</v>
      </c>
      <c r="C2" s="0" t="n">
        <v>1</v>
      </c>
      <c r="D2" s="38" t="n">
        <v>0.340277777777778</v>
      </c>
      <c r="E2" s="11" t="n">
        <v>46394</v>
      </c>
      <c r="F2" s="11" t="n">
        <v>46398</v>
      </c>
      <c r="G2" s="11"/>
      <c r="I2" s="38" t="n">
        <v>0.347222222222222</v>
      </c>
      <c r="J2" s="38" t="n">
        <v>0.359722222222222</v>
      </c>
      <c r="K2" s="10" t="s">
        <v>670</v>
      </c>
      <c r="L2" s="10" t="s">
        <v>671</v>
      </c>
      <c r="N2" s="11"/>
      <c r="P2" s="31" t="n">
        <f aca="false">IF($A2="","",IF(IFERROR(IF(INDEX(drops!$I$2:$I$21,MATCH($A2,drops!$A$2:$A$21,0))="","",INDEX(drops!$I$2:$I$21,MATCH($A2,drops!$A$2:$A$21,0))),"")="OK",IFERROR(IF(INDEX(drops!$B$2:$B$21,MATCH($A2,drops!$A$2:$A$21,0))="","",INDEX(drops!$B$2:$B$21,MATCH($A2,drops!$A$2:$A$21,0))),""),""))</f>
        <v>46399</v>
      </c>
      <c r="Q2" s="30" t="str">
        <f aca="false">IF($B2="","",IFERROR(IF(INDEX(offices!$N$2:$N$61,MATCH($B2,offices!$A$2:$A$61,0))="","",INDEX(offices!$N$2:$N$61,MATCH($B2,offices!$A$2:$A$61,0))),""))</f>
        <v>SAMPLE Northpoint Software</v>
      </c>
      <c r="R2" s="30" t="str">
        <f aca="false">IF($B2="","",IFERROR(IF(INDEX(offices!$O$2:$O$61,MATCH($B2,offices!$A$2:$A$61,0))="","",INDEX(offices!$O$2:$O$61,MATCH($B2,offices!$A$2:$A$61,0))),""))</f>
        <v>SAMPLE 110 Example Avenue</v>
      </c>
      <c r="S2" s="30" t="str">
        <f aca="false">IF($B2="","",IFERROR(IF(INDEX(offices!$P$2:$P$61,MATCH($B2,offices!$A$2:$A$61,0))="","",INDEX(offices!$P$2:$P$61,MATCH($B2,offices!$A$2:$A$61,0))),""))</f>
        <v>SAMPLE Floor 3</v>
      </c>
      <c r="T2" s="30" t="str">
        <f aca="false">IF($B2="","",IFERROR(IF(INDEX(offices!$Y$2:$Y$61,MATCH($B2,offices!$A$2:$A$61,0))="","",INDEX(offices!$Y$2:$Y$61,MATCH($B2,offices!$A$2:$A$61,0))),""))</f>
        <v>8 to 10 am</v>
      </c>
      <c r="U2" s="30" t="str">
        <f aca="false">IF($B2="","",IFERROR(IF(INDEX(offices!$X$2:$X$61,MATCH($B2,offices!$A$2:$A$61,0))="","",INDEX(offices!$X$2:$X$61,MATCH($B2,offices!$A$2:$A$61,0))),""))</f>
        <v>walk-up</v>
      </c>
      <c r="V2" s="30" t="str">
        <f aca="false">IF($B2="","",IFERROR(IF(INDEX(offices!$U$2:$U$61,MATCH($B2,offices!$A$2:$A$61,0))="","",INDEX(offices!$U$2:$U$61,MATCH($B2,offices!$A$2:$A$61,0))),""))</f>
        <v>SAMPLE Owner 001</v>
      </c>
      <c r="W2" s="30" t="str">
        <f aca="false">IF($B2="","",IFERROR(IF(INDEX(offices!$AI$2:$AI$61,MATCH($B2,offices!$A$2:$A$61,0))="","",INDEX(offices!$AI$2:$AI$61,MATCH($B2,offices!$A$2:$A$61,0))),""))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Z$2:$Z$61,MATCH($B2,offices!$A$2:$A$61,0))="","",INDEX(offices!$Z$2:$Z$61,MATCH($B2,offices!$A$2:$A$61,0))),"")="yes",IFERROR(IF(INDEX(offices!$Z$2:$Z$61,MATCH($B2,offices!$A$2:$A$61,0))="","",INDEX(offices!$Z$2:$Z$61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","")&amp;IF(AND($U2="front desk",$X2&lt;&gt;"Y"),"info: front desk not agreed: the owner must take it; ",""))</f>
        <v/>
      </c>
    </row>
    <row r="3" customFormat="false" ht="15" hidden="false" customHeight="false" outlineLevel="0" collapsed="false">
      <c r="A3" s="0" t="s">
        <v>334</v>
      </c>
      <c r="B3" s="0" t="s">
        <v>599</v>
      </c>
      <c r="C3" s="0" t="n">
        <v>2</v>
      </c>
      <c r="D3" s="38" t="n">
        <v>0.371527777777778</v>
      </c>
      <c r="E3" s="11" t="n">
        <v>46394</v>
      </c>
      <c r="F3" s="11" t="n">
        <v>46398</v>
      </c>
      <c r="G3" s="11"/>
      <c r="I3" s="38" t="n">
        <v>0.372916666666667</v>
      </c>
      <c r="J3" s="38" t="n">
        <v>0.384722222222222</v>
      </c>
      <c r="K3" s="10" t="s">
        <v>670</v>
      </c>
      <c r="L3" s="10" t="s">
        <v>671</v>
      </c>
      <c r="N3" s="11"/>
      <c r="P3" s="31" t="n">
        <f aca="false">IF($A3="","",IF(IFERROR(IF(INDEX(drops!$I$2:$I$21,MATCH($A3,drops!$A$2:$A$21,0))="","",INDEX(drops!$I$2:$I$21,MATCH($A3,drops!$A$2:$A$21,0))),"")="OK",IFERROR(IF(INDEX(drops!$B$2:$B$21,MATCH($A3,drops!$A$2:$A$21,0))="","",INDEX(drops!$B$2:$B$21,MATCH($A3,drops!$A$2:$A$21,0))),""),""))</f>
        <v>46399</v>
      </c>
      <c r="Q3" s="30" t="str">
        <f aca="false">IF($B3="","",IFERROR(IF(INDEX(offices!$N$2:$N$61,MATCH($B3,offices!$A$2:$A$61,0))="","",INDEX(offices!$N$2:$N$61,MATCH($B3,offices!$A$2:$A$61,0))),""))</f>
        <v>SAMPLE Halcyon Media</v>
      </c>
      <c r="R3" s="30" t="str">
        <f aca="false">IF($B3="","",IFERROR(IF(INDEX(offices!$O$2:$O$61,MATCH($B3,offices!$A$2:$A$61,0))="","",INDEX(offices!$O$2:$O$61,MATCH($B3,offices!$A$2:$A$61,0))),""))</f>
        <v>SAMPLE 130 Example Avenue</v>
      </c>
      <c r="S3" s="30" t="str">
        <f aca="false">IF($B3="","",IFERROR(IF(INDEX(offices!$P$2:$P$61,MATCH($B3,offices!$A$2:$A$61,0))="","",INDEX(offices!$P$2:$P$61,MATCH($B3,offices!$A$2:$A$61,0))),""))</f>
        <v>SAMPLE Floor 5</v>
      </c>
      <c r="T3" s="30" t="str">
        <f aca="false">IF($B3="","",IFERROR(IF(INDEX(offices!$Y$2:$Y$61,MATCH($B3,offices!$A$2:$A$61,0))="","",INDEX(offices!$Y$2:$Y$61,MATCH($B3,offices!$A$2:$A$61,0))),""))</f>
        <v>9 to 11 am</v>
      </c>
      <c r="U3" s="30" t="str">
        <f aca="false">IF($B3="","",IFERROR(IF(INDEX(offices!$X$2:$X$61,MATCH($B3,offices!$A$2:$A$61,0))="","",INDEX(offices!$X$2:$X$61,MATCH($B3,offices!$A$2:$A$61,0))),""))</f>
        <v>walk-up</v>
      </c>
      <c r="V3" s="30" t="str">
        <f aca="false">IF($B3="","",IFERROR(IF(INDEX(offices!$U$2:$U$61,MATCH($B3,offices!$A$2:$A$61,0))="","",INDEX(offices!$U$2:$U$61,MATCH($B3,offices!$A$2:$A$61,0))),""))</f>
        <v>SAMPLE Owner 003</v>
      </c>
      <c r="W3" s="30" t="str">
        <f aca="false">IF($B3="","",IFERROR(IF(INDEX(offices!$AI$2:$AI$61,MATCH($B3,offices!$A$2:$A$61,0))="","",INDEX(offices!$AI$2:$AI$61,MATCH($B3,offices!$A$2:$A$61,0))),""))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Z$2:$Z$61,MATCH($B3,offices!$A$2:$A$61,0))="","",INDEX(offices!$Z$2:$Z$61,MATCH($B3,offices!$A$2:$A$61,0))),"")="yes",IFERROR(IF(INDEX(offices!$Z$2:$Z$61,MATCH($B3,offices!$A$2:$A$61,0))="","",INDEX(offices!$Z$2:$Z$61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","")&amp;IF(AND($U3="front desk",$X3&lt;&gt;"Y"),"info: front desk not agreed: the owner must take it; ",""))</f>
        <v/>
      </c>
    </row>
    <row r="4" customFormat="false" ht="15" hidden="false" customHeight="false" outlineLevel="0" collapsed="false">
      <c r="A4" s="0" t="s">
        <v>334</v>
      </c>
      <c r="B4" s="0" t="s">
        <v>597</v>
      </c>
      <c r="C4" s="0" t="n">
        <v>3</v>
      </c>
      <c r="D4" s="38" t="n">
        <v>0.395833333333333</v>
      </c>
      <c r="E4" s="11" t="n">
        <v>46394</v>
      </c>
      <c r="F4" s="11" t="n">
        <v>46398</v>
      </c>
      <c r="G4" s="11"/>
      <c r="I4" s="38" t="n">
        <v>0.396527777777778</v>
      </c>
      <c r="J4" s="38" t="n">
        <v>0.406944444444444</v>
      </c>
      <c r="K4" s="10" t="s">
        <v>670</v>
      </c>
      <c r="L4" s="10" t="s">
        <v>672</v>
      </c>
      <c r="N4" s="11"/>
      <c r="P4" s="31" t="n">
        <f aca="false">IF($A4="","",IF(IFERROR(IF(INDEX(drops!$I$2:$I$21,MATCH($A4,drops!$A$2:$A$21,0))="","",INDEX(drops!$I$2:$I$21,MATCH($A4,drops!$A$2:$A$21,0))),"")="OK",IFERROR(IF(INDEX(drops!$B$2:$B$21,MATCH($A4,drops!$A$2:$A$21,0))="","",INDEX(drops!$B$2:$B$21,MATCH($A4,drops!$A$2:$A$21,0))),""),""))</f>
        <v>46399</v>
      </c>
      <c r="Q4" s="30" t="str">
        <f aca="false">IF($B4="","",IFERROR(IF(INDEX(offices!$N$2:$N$61,MATCH($B4,offices!$A$2:$A$61,0))="","",INDEX(offices!$N$2:$N$61,MATCH($B4,offices!$A$2:$A$61,0))),""))</f>
        <v>SAMPLE Ferro Architecture</v>
      </c>
      <c r="R4" s="30" t="str">
        <f aca="false">IF($B4="","",IFERROR(IF(INDEX(offices!$O$2:$O$61,MATCH($B4,offices!$A$2:$A$61,0))="","",INDEX(offices!$O$2:$O$61,MATCH($B4,offices!$A$2:$A$61,0))),""))</f>
        <v>SAMPLE 120 Example Avenue</v>
      </c>
      <c r="S4" s="30" t="str">
        <f aca="false">IF($B4="","",IFERROR(IF(INDEX(offices!$P$2:$P$61,MATCH($B4,offices!$A$2:$A$61,0))="","",INDEX(offices!$P$2:$P$61,MATCH($B4,offices!$A$2:$A$61,0))),""))</f>
        <v>SAMPLE Floor 4</v>
      </c>
      <c r="T4" s="30" t="str">
        <f aca="false">IF($B4="","",IFERROR(IF(INDEX(offices!$Y$2:$Y$61,MATCH($B4,offices!$A$2:$A$61,0))="","",INDEX(offices!$Y$2:$Y$61,MATCH($B4,offices!$A$2:$A$61,0))),""))</f>
        <v>9 to 11 am</v>
      </c>
      <c r="U4" s="30" t="str">
        <f aca="false">IF($B4="","",IFERROR(IF(INDEX(offices!$X$2:$X$61,MATCH($B4,offices!$A$2:$A$61,0))="","",INDEX(offices!$X$2:$X$61,MATCH($B4,offices!$A$2:$A$61,0))),""))</f>
        <v>front desk</v>
      </c>
      <c r="V4" s="30" t="str">
        <f aca="false">IF($B4="","",IFERROR(IF(INDEX(offices!$U$2:$U$61,MATCH($B4,offices!$A$2:$A$61,0))="","",INDEX(offices!$U$2:$U$61,MATCH($B4,offices!$A$2:$A$61,0))),""))</f>
        <v>SAMPLE Owner 002</v>
      </c>
      <c r="W4" s="30" t="str">
        <f aca="false">IF($B4="","",IFERROR(IF(INDEX(offices!$AI$2:$AI$61,MATCH($B4,offices!$A$2:$A$61,0))="","",INDEX(offices!$AI$2:$AI$61,MATCH($B4,offices!$A$2:$A$61,0))),""))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Z$2:$Z$61,MATCH($B4,offices!$A$2:$A$61,0))="","",INDEX(offices!$Z$2:$Z$61,MATCH($B4,offices!$A$2:$A$61,0))),"")="yes",IFERROR(IF(INDEX(offices!$Z$2:$Z$61,MATCH($B4,offices!$A$2:$A$61,0))="","",INDEX(offices!$Z$2:$Z$61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","")&amp;IF(AND($U4="front desk",$X4&lt;&gt;"Y"),"info: front desk not agreed: the owner must take it; ",""))</f>
        <v/>
      </c>
    </row>
    <row r="5" customFormat="false" ht="15" hidden="false" customHeight="false" outlineLevel="0" collapsed="false">
      <c r="A5" s="0" t="s">
        <v>334</v>
      </c>
      <c r="B5" s="0" t="s">
        <v>604</v>
      </c>
      <c r="C5" s="0" t="n">
        <v>4</v>
      </c>
      <c r="D5" s="38" t="n">
        <v>0.423611111111111</v>
      </c>
      <c r="E5" s="11" t="n">
        <v>46394</v>
      </c>
      <c r="F5" s="11" t="n">
        <v>46398</v>
      </c>
      <c r="G5" s="11"/>
      <c r="I5" s="38" t="n">
        <v>0.426388888888889</v>
      </c>
      <c r="J5" s="38" t="n">
        <v>0.441666666666667</v>
      </c>
      <c r="K5" s="10" t="s">
        <v>670</v>
      </c>
      <c r="L5" s="10" t="s">
        <v>672</v>
      </c>
      <c r="N5" s="11"/>
      <c r="P5" s="31" t="n">
        <f aca="false">IF($A5="","",IF(IFERROR(IF(INDEX(drops!$I$2:$I$21,MATCH($A5,drops!$A$2:$A$21,0))="","",INDEX(drops!$I$2:$I$21,MATCH($A5,drops!$A$2:$A$21,0))),"")="OK",IFERROR(IF(INDEX(drops!$B$2:$B$21,MATCH($A5,drops!$A$2:$A$21,0))="","",INDEX(drops!$B$2:$B$21,MATCH($A5,drops!$A$2:$A$21,0))),""),""))</f>
        <v>46399</v>
      </c>
      <c r="Q5" s="30" t="str">
        <f aca="false">IF($B5="","",IFERROR(IF(INDEX(offices!$N$2:$N$61,MATCH($B5,offices!$A$2:$A$61,0))="","",INDEX(offices!$N$2:$N$61,MATCH($B5,offices!$A$2:$A$61,0))),""))</f>
        <v>SAMPLE Studio Marlow</v>
      </c>
      <c r="R5" s="30" t="str">
        <f aca="false">IF($B5="","",IFERROR(IF(INDEX(offices!$O$2:$O$61,MATCH($B5,offices!$A$2:$A$61,0))="","",INDEX(offices!$O$2:$O$61,MATCH($B5,offices!$A$2:$A$61,0))),""))</f>
        <v>SAMPLE 150 Example Avenue</v>
      </c>
      <c r="S5" s="30" t="str">
        <f aca="false">IF($B5="","",IFERROR(IF(INDEX(offices!$P$2:$P$61,MATCH($B5,offices!$A$2:$A$61,0))="","",INDEX(offices!$P$2:$P$61,MATCH($B5,offices!$A$2:$A$61,0))),""))</f>
        <v>SAMPLE Floor 7</v>
      </c>
      <c r="T5" s="30" t="str">
        <f aca="false">IF($B5="","",IFERROR(IF(INDEX(offices!$Y$2:$Y$61,MATCH($B5,offices!$A$2:$A$61,0))="","",INDEX(offices!$Y$2:$Y$61,MATCH($B5,offices!$A$2:$A$61,0))),""))</f>
        <v>10 am to noon</v>
      </c>
      <c r="U5" s="30" t="str">
        <f aca="false">IF($B5="","",IFERROR(IF(INDEX(offices!$X$2:$X$61,MATCH($B5,offices!$A$2:$A$61,0))="","",INDEX(offices!$X$2:$X$61,MATCH($B5,offices!$A$2:$A$61,0))),""))</f>
        <v>front desk</v>
      </c>
      <c r="V5" s="30" t="str">
        <f aca="false">IF($B5="","",IFERROR(IF(INDEX(offices!$U$2:$U$61,MATCH($B5,offices!$A$2:$A$61,0))="","",INDEX(offices!$U$2:$U$61,MATCH($B5,offices!$A$2:$A$61,0))),""))</f>
        <v>SAMPLE Owner 005</v>
      </c>
      <c r="W5" s="30" t="str">
        <f aca="false">IF($B5="","",IFERROR(IF(INDEX(offices!$AI$2:$AI$61,MATCH($B5,offices!$A$2:$A$61,0))="","",INDEX(offices!$AI$2:$AI$61,MATCH($B5,offices!$A$2:$A$61,0))),""))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Z$2:$Z$61,MATCH($B5,offices!$A$2:$A$61,0))="","",INDEX(offices!$Z$2:$Z$61,MATCH($B5,offices!$A$2:$A$61,0))),"")="yes",IFERROR(IF(INDEX(offices!$Z$2:$Z$61,MATCH($B5,offices!$A$2:$A$61,0))="","",INDEX(offices!$Z$2:$Z$61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","")&amp;IF(AND($U5="front desk",$X5&lt;&gt;"Y"),"info: front desk not agreed: the owner must take it; ",""))</f>
        <v/>
      </c>
    </row>
    <row r="6" customFormat="false" ht="15" hidden="false" customHeight="false" outlineLevel="0" collapsed="false">
      <c r="A6" s="0" t="s">
        <v>334</v>
      </c>
      <c r="B6" s="0" t="s">
        <v>602</v>
      </c>
      <c r="C6" s="0" t="n">
        <v>5</v>
      </c>
      <c r="D6" s="38" t="n">
        <v>0.451388888888889</v>
      </c>
      <c r="E6" s="11" t="n">
        <v>46394</v>
      </c>
      <c r="F6" s="11" t="n">
        <v>46398</v>
      </c>
      <c r="G6" s="11"/>
      <c r="I6" s="38" t="n">
        <v>0.452777777777778</v>
      </c>
      <c r="J6" s="38" t="n">
        <v>0.461111111111111</v>
      </c>
      <c r="K6" s="10" t="s">
        <v>673</v>
      </c>
      <c r="L6" s="10" t="s">
        <v>674</v>
      </c>
      <c r="M6" s="10" t="s">
        <v>675</v>
      </c>
      <c r="N6" s="11"/>
      <c r="P6" s="31" t="n">
        <f aca="false">IF($A6="","",IF(IFERROR(IF(INDEX(drops!$I$2:$I$21,MATCH($A6,drops!$A$2:$A$21,0))="","",INDEX(drops!$I$2:$I$21,MATCH($A6,drops!$A$2:$A$21,0))),"")="OK",IFERROR(IF(INDEX(drops!$B$2:$B$21,MATCH($A6,drops!$A$2:$A$21,0))="","",INDEX(drops!$B$2:$B$21,MATCH($A6,drops!$A$2:$A$21,0))),""),""))</f>
        <v>46399</v>
      </c>
      <c r="Q6" s="30" t="str">
        <f aca="false">IF($B6="","",IFERROR(IF(INDEX(offices!$N$2:$N$61,MATCH($B6,offices!$A$2:$A$61,0))="","",INDEX(offices!$N$2:$N$61,MATCH($B6,offices!$A$2:$A$61,0))),""))</f>
        <v>SAMPLE Union Food Fund</v>
      </c>
      <c r="R6" s="30" t="str">
        <f aca="false">IF($B6="","",IFERROR(IF(INDEX(offices!$O$2:$O$61,MATCH($B6,offices!$A$2:$A$61,0))="","",INDEX(offices!$O$2:$O$61,MATCH($B6,offices!$A$2:$A$61,0))),""))</f>
        <v>SAMPLE 140 Example Avenue</v>
      </c>
      <c r="S6" s="30" t="str">
        <f aca="false">IF($B6="","",IFERROR(IF(INDEX(offices!$P$2:$P$61,MATCH($B6,offices!$A$2:$A$61,0))="","",INDEX(offices!$P$2:$P$61,MATCH($B6,offices!$A$2:$A$61,0))),""))</f>
        <v>SAMPLE Floor 6</v>
      </c>
      <c r="T6" s="30" t="str">
        <f aca="false">IF($B6="","",IFERROR(IF(INDEX(offices!$Y$2:$Y$61,MATCH($B6,offices!$A$2:$A$61,0))="","",INDEX(offices!$Y$2:$Y$61,MATCH($B6,offices!$A$2:$A$61,0))),""))</f>
        <v>10 am to noon</v>
      </c>
      <c r="U6" s="30" t="str">
        <f aca="false">IF($B6="","",IFERROR(IF(INDEX(offices!$X$2:$X$61,MATCH($B6,offices!$A$2:$A$61,0))="","",INDEX(offices!$X$2:$X$61,MATCH($B6,offices!$A$2:$A$61,0))),""))</f>
        <v>loading dock</v>
      </c>
      <c r="V6" s="30" t="str">
        <f aca="false">IF($B6="","",IFERROR(IF(INDEX(offices!$U$2:$U$61,MATCH($B6,offices!$A$2:$A$61,0))="","",INDEX(offices!$U$2:$U$61,MATCH($B6,offices!$A$2:$A$61,0))),""))</f>
        <v>SAMPLE Owner 004</v>
      </c>
      <c r="W6" s="30" t="str">
        <f aca="false">IF($B6="","",IFERROR(IF(INDEX(offices!$AI$2:$AI$61,MATCH($B6,offices!$A$2:$A$61,0))="","",INDEX(offices!$AI$2:$AI$61,MATCH($B6,offices!$A$2:$A$61,0))),""))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Z$2:$Z$61,MATCH($B6,offices!$A$2:$A$61,0))="","",INDEX(offices!$Z$2:$Z$61,MATCH($B6,offices!$A$2:$A$61,0))),"")="yes",IFERROR(IF(INDEX(offices!$Z$2:$Z$61,MATCH($B6,offices!$A$2:$A$61,0))="","",INDEX(offices!$Z$2:$Z$61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","")&amp;IF(AND($U6="front desk",$X6&lt;&gt;"Y"),"info: front desk not agreed: the owner must take it; ",""))</f>
        <v/>
      </c>
    </row>
    <row r="7" customFormat="false" ht="15" hidden="false" customHeight="false" outlineLevel="0" collapsed="false">
      <c r="D7" s="38"/>
      <c r="E7" s="11"/>
      <c r="F7" s="11"/>
      <c r="G7" s="11"/>
      <c r="I7" s="38"/>
      <c r="J7" s="38"/>
      <c r="K7" s="10"/>
      <c r="L7" s="10"/>
      <c r="N7" s="11"/>
      <c r="P7" s="31" t="str">
        <f aca="false">IF($A7="","",IF(IFERROR(IF(INDEX(drops!$I$2:$I$21,MATCH($A7,drops!$A$2:$A$21,0))="","",INDEX(drops!$I$2:$I$21,MATCH($A7,drops!$A$2:$A$21,0))),"")="OK",IFERROR(IF(INDEX(drops!$B$2:$B$21,MATCH($A7,drops!$A$2:$A$21,0))="","",INDEX(drops!$B$2:$B$21,MATCH($A7,drops!$A$2:$A$21,0))),""),""))</f>
        <v/>
      </c>
      <c r="Q7" s="30" t="str">
        <f aca="false">IF($B7="","",IFERROR(IF(INDEX(offices!$N$2:$N$61,MATCH($B7,offices!$A$2:$A$61,0))="","",INDEX(offices!$N$2:$N$61,MATCH($B7,offices!$A$2:$A$61,0))),""))</f>
        <v/>
      </c>
      <c r="R7" s="30" t="str">
        <f aca="false">IF($B7="","",IFERROR(IF(INDEX(offices!$O$2:$O$61,MATCH($B7,offices!$A$2:$A$61,0))="","",INDEX(offices!$O$2:$O$61,MATCH($B7,offices!$A$2:$A$61,0))),""))</f>
        <v/>
      </c>
      <c r="S7" s="30" t="str">
        <f aca="false">IF($B7="","",IFERROR(IF(INDEX(offices!$P$2:$P$61,MATCH($B7,offices!$A$2:$A$61,0))="","",INDEX(offices!$P$2:$P$61,MATCH($B7,offices!$A$2:$A$61,0))),""))</f>
        <v/>
      </c>
      <c r="T7" s="30" t="str">
        <f aca="false">IF($B7="","",IFERROR(IF(INDEX(offices!$Y$2:$Y$61,MATCH($B7,offices!$A$2:$A$61,0))="","",INDEX(offices!$Y$2:$Y$61,MATCH($B7,offices!$A$2:$A$61,0))),""))</f>
        <v/>
      </c>
      <c r="U7" s="30" t="str">
        <f aca="false">IF($B7="","",IFERROR(IF(INDEX(offices!$X$2:$X$61,MATCH($B7,offices!$A$2:$A$61,0))="","",INDEX(offices!$X$2:$X$61,MATCH($B7,offices!$A$2:$A$61,0))),""))</f>
        <v/>
      </c>
      <c r="V7" s="30" t="str">
        <f aca="false">IF($B7="","",IFERROR(IF(INDEX(offices!$U$2:$U$61,MATCH($B7,offices!$A$2:$A$61,0))="","",INDEX(offices!$U$2:$U$61,MATCH($B7,offices!$A$2:$A$61,0))),""))</f>
        <v/>
      </c>
      <c r="W7" s="30" t="str">
        <f aca="false">IF($B7="","",IFERROR(IF(INDEX(offices!$AI$2:$AI$61,MATCH($B7,offices!$A$2:$A$61,0))="","",INDEX(offices!$AI$2:$AI$61,MATCH($B7,offices!$A$2:$A$61,0))),""))</f>
        <v/>
      </c>
      <c r="X7" s="30" t="str">
        <f aca="false">IF($B7="","",IFERROR(IF(INDEX(offices!$G$2:$G$61,MATCH($B7,offices!$A$2:$A$61,0))="","",INDEX(offices!$G$2:$G$61,MATCH($B7,offices!$A$2:$A$61,0))),""))</f>
        <v/>
      </c>
      <c r="Y7" s="30" t="str">
        <f aca="false">IF($B7="","",IFERROR(IF(INDEX(offices!$I$2:$I$61,MATCH($B7,offices!$A$2:$A$61,0))="","",INDEX(offices!$I$2:$I$61,MATCH($B7,offices!$A$2:$A$61,0))),""))</f>
        <v/>
      </c>
      <c r="Z7" s="30" t="str">
        <f aca="false">IF($A7="","",COUNTIFS(approvals!$H$2:$H$251,$A7,approvals!$B$2:$B$251,$B7,approvals!$P$2:$P$251,"Y"))</f>
        <v/>
      </c>
      <c r="AA7" s="30" t="str">
        <f aca="false">IF($A7="","",SUMIFS(approvals!$S$2:$S$251,approvals!$H$2:$H$251,$A7,approvals!$B$2:$B$251,$B7,approvals!$P$2:$P$251,"Y"))</f>
        <v/>
      </c>
      <c r="AB7" s="30" t="str">
        <f aca="false">IF(OR($A7="",$P7=""),"",IF(COUNTIFS(stops!$B$2:$B$151,$B7,stops!$P$2:$P$151,"&lt;"&amp;$P7,stops!$L$2:$L$151,"&lt;&gt;not_delivered")=0,"Y","N"))</f>
        <v/>
      </c>
      <c r="AC7" s="30" t="str">
        <f aca="false">IF(OR($I7="",$J7=""),"",ROUND(($J7-$I7)*1440,0))</f>
        <v/>
      </c>
      <c r="AD7" s="30" t="str">
        <f aca="true">IF($A7="","",IF(COUNTIFS(stops!$A$2:$A$151,$A7,stops!$B$2:$B$151,$B7)&gt;1,"DUPLICATE stop; ","")&amp;IF(AND(OR(IFERROR(IF(INDEX(offices!$Z$2:$Z$61,MATCH($B7,offices!$A$2:$A$61,0))="","",INDEX(offices!$Z$2:$Z$61,MATCH($B7,offices!$A$2:$A$61,0))),"")="yes",IFERROR(IF(INDEX(offices!$Z$2:$Z$61,MATCH($B7,offices!$A$2:$A$61,0))="","",INDEX(offices!$Z$2:$Z$61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","")&amp;IF(AND($U7="front desk",$X7&lt;&gt;"Y"),"info: front desk not agreed: the owner must take it; ",""))</f>
        <v/>
      </c>
    </row>
    <row r="8" customFormat="false" ht="15" hidden="false" customHeight="false" outlineLevel="0" collapsed="false">
      <c r="D8" s="38"/>
      <c r="E8" s="11"/>
      <c r="F8" s="11"/>
      <c r="G8" s="11"/>
      <c r="I8" s="38"/>
      <c r="J8" s="38"/>
      <c r="K8" s="10"/>
      <c r="L8" s="10"/>
      <c r="N8" s="11"/>
      <c r="P8" s="31" t="str">
        <f aca="false">IF($A8="","",IF(IFERROR(IF(INDEX(drops!$I$2:$I$21,MATCH($A8,drops!$A$2:$A$21,0))="","",INDEX(drops!$I$2:$I$21,MATCH($A8,drops!$A$2:$A$21,0))),"")="OK",IFERROR(IF(INDEX(drops!$B$2:$B$21,MATCH($A8,drops!$A$2:$A$21,0))="","",INDEX(drops!$B$2:$B$21,MATCH($A8,drops!$A$2:$A$21,0))),""),""))</f>
        <v/>
      </c>
      <c r="Q8" s="30" t="str">
        <f aca="false">IF($B8="","",IFERROR(IF(INDEX(offices!$N$2:$N$61,MATCH($B8,offices!$A$2:$A$61,0))="","",INDEX(offices!$N$2:$N$61,MATCH($B8,offices!$A$2:$A$61,0))),""))</f>
        <v/>
      </c>
      <c r="R8" s="30" t="str">
        <f aca="false">IF($B8="","",IFERROR(IF(INDEX(offices!$O$2:$O$61,MATCH($B8,offices!$A$2:$A$61,0))="","",INDEX(offices!$O$2:$O$61,MATCH($B8,offices!$A$2:$A$61,0))),""))</f>
        <v/>
      </c>
      <c r="S8" s="30" t="str">
        <f aca="false">IF($B8="","",IFERROR(IF(INDEX(offices!$P$2:$P$61,MATCH($B8,offices!$A$2:$A$61,0))="","",INDEX(offices!$P$2:$P$61,MATCH($B8,offices!$A$2:$A$61,0))),""))</f>
        <v/>
      </c>
      <c r="T8" s="30" t="str">
        <f aca="false">IF($B8="","",IFERROR(IF(INDEX(offices!$Y$2:$Y$61,MATCH($B8,offices!$A$2:$A$61,0))="","",INDEX(offices!$Y$2:$Y$61,MATCH($B8,offices!$A$2:$A$61,0))),""))</f>
        <v/>
      </c>
      <c r="U8" s="30" t="str">
        <f aca="false">IF($B8="","",IFERROR(IF(INDEX(offices!$X$2:$X$61,MATCH($B8,offices!$A$2:$A$61,0))="","",INDEX(offices!$X$2:$X$61,MATCH($B8,offices!$A$2:$A$61,0))),""))</f>
        <v/>
      </c>
      <c r="V8" s="30" t="str">
        <f aca="false">IF($B8="","",IFERROR(IF(INDEX(offices!$U$2:$U$61,MATCH($B8,offices!$A$2:$A$61,0))="","",INDEX(offices!$U$2:$U$61,MATCH($B8,offices!$A$2:$A$61,0))),""))</f>
        <v/>
      </c>
      <c r="W8" s="30" t="str">
        <f aca="false">IF($B8="","",IFERROR(IF(INDEX(offices!$AI$2:$AI$61,MATCH($B8,offices!$A$2:$A$61,0))="","",INDEX(offices!$AI$2:$AI$61,MATCH($B8,offices!$A$2:$A$61,0))),""))</f>
        <v/>
      </c>
      <c r="X8" s="30" t="str">
        <f aca="false">IF($B8="","",IFERROR(IF(INDEX(offices!$G$2:$G$61,MATCH($B8,offices!$A$2:$A$61,0))="","",INDEX(offices!$G$2:$G$61,MATCH($B8,offices!$A$2:$A$61,0))),""))</f>
        <v/>
      </c>
      <c r="Y8" s="30" t="str">
        <f aca="false">IF($B8="","",IFERROR(IF(INDEX(offices!$I$2:$I$61,MATCH($B8,offices!$A$2:$A$61,0))="","",INDEX(offices!$I$2:$I$61,MATCH($B8,offices!$A$2:$A$61,0))),""))</f>
        <v/>
      </c>
      <c r="Z8" s="30" t="str">
        <f aca="false">IF($A8="","",COUNTIFS(approvals!$H$2:$H$251,$A8,approvals!$B$2:$B$251,$B8,approvals!$P$2:$P$251,"Y"))</f>
        <v/>
      </c>
      <c r="AA8" s="30" t="str">
        <f aca="false">IF($A8="","",SUMIFS(approvals!$S$2:$S$251,approvals!$H$2:$H$251,$A8,approvals!$B$2:$B$251,$B8,approvals!$P$2:$P$251,"Y"))</f>
        <v/>
      </c>
      <c r="AB8" s="30" t="str">
        <f aca="false">IF(OR($A8="",$P8=""),"",IF(COUNTIFS(stops!$B$2:$B$151,$B8,stops!$P$2:$P$151,"&lt;"&amp;$P8,stops!$L$2:$L$151,"&lt;&gt;not_delivered")=0,"Y","N"))</f>
        <v/>
      </c>
      <c r="AC8" s="30" t="str">
        <f aca="false">IF(OR($I8="",$J8=""),"",ROUND(($J8-$I8)*1440,0))</f>
        <v/>
      </c>
      <c r="AD8" s="30" t="str">
        <f aca="true">IF($A8="","",IF(COUNTIFS(stops!$A$2:$A$151,$A8,stops!$B$2:$B$151,$B8)&gt;1,"DUPLICATE stop; ","")&amp;IF(AND(OR(IFERROR(IF(INDEX(offices!$Z$2:$Z$61,MATCH($B8,offices!$A$2:$A$61,0))="","",INDEX(offices!$Z$2:$Z$61,MATCH($B8,offices!$A$2:$A$61,0))),"")="yes",IFERROR(IF(INDEX(offices!$Z$2:$Z$61,MATCH($B8,offices!$A$2:$A$61,0))="","",INDEX(offices!$Z$2:$Z$61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","")&amp;IF(AND($U8="front desk",$X8&lt;&gt;"Y"),"info: front desk not agreed: the owner must take it; ",""))</f>
        <v/>
      </c>
    </row>
    <row r="9" customFormat="false" ht="15" hidden="false" customHeight="false" outlineLevel="0" collapsed="false">
      <c r="D9" s="38"/>
      <c r="E9" s="11"/>
      <c r="F9" s="11"/>
      <c r="G9" s="11"/>
      <c r="I9" s="38"/>
      <c r="J9" s="38"/>
      <c r="K9" s="10"/>
      <c r="L9" s="10"/>
      <c r="N9" s="11"/>
      <c r="P9" s="31" t="str">
        <f aca="false">IF($A9="","",IF(IFERROR(IF(INDEX(drops!$I$2:$I$21,MATCH($A9,drops!$A$2:$A$21,0))="","",INDEX(drops!$I$2:$I$21,MATCH($A9,drops!$A$2:$A$21,0))),"")="OK",IFERROR(IF(INDEX(drops!$B$2:$B$21,MATCH($A9,drops!$A$2:$A$21,0))="","",INDEX(drops!$B$2:$B$21,MATCH($A9,drops!$A$2:$A$21,0))),""),""))</f>
        <v/>
      </c>
      <c r="Q9" s="30" t="str">
        <f aca="false">IF($B9="","",IFERROR(IF(INDEX(offices!$N$2:$N$61,MATCH($B9,offices!$A$2:$A$61,0))="","",INDEX(offices!$N$2:$N$61,MATCH($B9,offices!$A$2:$A$61,0))),""))</f>
        <v/>
      </c>
      <c r="R9" s="30" t="str">
        <f aca="false">IF($B9="","",IFERROR(IF(INDEX(offices!$O$2:$O$61,MATCH($B9,offices!$A$2:$A$61,0))="","",INDEX(offices!$O$2:$O$61,MATCH($B9,offices!$A$2:$A$61,0))),""))</f>
        <v/>
      </c>
      <c r="S9" s="30" t="str">
        <f aca="false">IF($B9="","",IFERROR(IF(INDEX(offices!$P$2:$P$61,MATCH($B9,offices!$A$2:$A$61,0))="","",INDEX(offices!$P$2:$P$61,MATCH($B9,offices!$A$2:$A$61,0))),""))</f>
        <v/>
      </c>
      <c r="T9" s="30" t="str">
        <f aca="false">IF($B9="","",IFERROR(IF(INDEX(offices!$Y$2:$Y$61,MATCH($B9,offices!$A$2:$A$61,0))="","",INDEX(offices!$Y$2:$Y$61,MATCH($B9,offices!$A$2:$A$61,0))),""))</f>
        <v/>
      </c>
      <c r="U9" s="30" t="str">
        <f aca="false">IF($B9="","",IFERROR(IF(INDEX(offices!$X$2:$X$61,MATCH($B9,offices!$A$2:$A$61,0))="","",INDEX(offices!$X$2:$X$61,MATCH($B9,offices!$A$2:$A$61,0))),""))</f>
        <v/>
      </c>
      <c r="V9" s="30" t="str">
        <f aca="false">IF($B9="","",IFERROR(IF(INDEX(offices!$U$2:$U$61,MATCH($B9,offices!$A$2:$A$61,0))="","",INDEX(offices!$U$2:$U$61,MATCH($B9,offices!$A$2:$A$61,0))),""))</f>
        <v/>
      </c>
      <c r="W9" s="30" t="str">
        <f aca="false">IF($B9="","",IFERROR(IF(INDEX(offices!$AI$2:$AI$61,MATCH($B9,offices!$A$2:$A$61,0))="","",INDEX(offices!$AI$2:$AI$61,MATCH($B9,offices!$A$2:$A$61,0))),""))</f>
        <v/>
      </c>
      <c r="X9" s="30" t="str">
        <f aca="false">IF($B9="","",IFERROR(IF(INDEX(offices!$G$2:$G$61,MATCH($B9,offices!$A$2:$A$61,0))="","",INDEX(offices!$G$2:$G$61,MATCH($B9,offices!$A$2:$A$61,0))),""))</f>
        <v/>
      </c>
      <c r="Y9" s="30" t="str">
        <f aca="false">IF($B9="","",IFERROR(IF(INDEX(offices!$I$2:$I$61,MATCH($B9,offices!$A$2:$A$61,0))="","",INDEX(offices!$I$2:$I$61,MATCH($B9,offices!$A$2:$A$61,0))),""))</f>
        <v/>
      </c>
      <c r="Z9" s="30" t="str">
        <f aca="false">IF($A9="","",COUNTIFS(approvals!$H$2:$H$251,$A9,approvals!$B$2:$B$251,$B9,approvals!$P$2:$P$251,"Y"))</f>
        <v/>
      </c>
      <c r="AA9" s="30" t="str">
        <f aca="false">IF($A9="","",SUMIFS(approvals!$S$2:$S$251,approvals!$H$2:$H$251,$A9,approvals!$B$2:$B$251,$B9,approvals!$P$2:$P$251,"Y"))</f>
        <v/>
      </c>
      <c r="AB9" s="30" t="str">
        <f aca="false">IF(OR($A9="",$P9=""),"",IF(COUNTIFS(stops!$B$2:$B$151,$B9,stops!$P$2:$P$151,"&lt;"&amp;$P9,stops!$L$2:$L$151,"&lt;&gt;not_delivered")=0,"Y","N"))</f>
        <v/>
      </c>
      <c r="AC9" s="30" t="str">
        <f aca="false">IF(OR($I9="",$J9=""),"",ROUND(($J9-$I9)*1440,0))</f>
        <v/>
      </c>
      <c r="AD9" s="30" t="str">
        <f aca="true">IF($A9="","",IF(COUNTIFS(stops!$A$2:$A$151,$A9,stops!$B$2:$B$151,$B9)&gt;1,"DUPLICATE stop; ","")&amp;IF(AND(OR(IFERROR(IF(INDEX(offices!$Z$2:$Z$61,MATCH($B9,offices!$A$2:$A$61,0))="","",INDEX(offices!$Z$2:$Z$61,MATCH($B9,offices!$A$2:$A$61,0))),"")="yes",IFERROR(IF(INDEX(offices!$Z$2:$Z$61,MATCH($B9,offices!$A$2:$A$61,0))="","",INDEX(offices!$Z$2:$Z$61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","")&amp;IF(AND($U9="front desk",$X9&lt;&gt;"Y"),"info: front desk not agreed: the owner must take it; ",""))</f>
        <v/>
      </c>
    </row>
    <row r="10" customFormat="false" ht="15" hidden="false" customHeight="false" outlineLevel="0" collapsed="false">
      <c r="D10" s="38"/>
      <c r="E10" s="11"/>
      <c r="F10" s="11"/>
      <c r="G10" s="11"/>
      <c r="I10" s="38"/>
      <c r="J10" s="38"/>
      <c r="K10" s="10"/>
      <c r="L10" s="10"/>
      <c r="N10" s="11"/>
      <c r="P10" s="31" t="str">
        <f aca="false">IF($A10="","",IF(IFERROR(IF(INDEX(drops!$I$2:$I$21,MATCH($A10,drops!$A$2:$A$21,0))="","",INDEX(drops!$I$2:$I$21,MATCH($A10,drops!$A$2:$A$21,0))),"")="OK",IFERROR(IF(INDEX(drops!$B$2:$B$21,MATCH($A10,drops!$A$2:$A$21,0))="","",INDEX(drops!$B$2:$B$21,MATCH($A10,drops!$A$2:$A$21,0))),""),""))</f>
        <v/>
      </c>
      <c r="Q10" s="30" t="str">
        <f aca="false">IF($B10="","",IFERROR(IF(INDEX(offices!$N$2:$N$61,MATCH($B10,offices!$A$2:$A$61,0))="","",INDEX(offices!$N$2:$N$61,MATCH($B10,offices!$A$2:$A$61,0))),""))</f>
        <v/>
      </c>
      <c r="R10" s="30" t="str">
        <f aca="false">IF($B10="","",IFERROR(IF(INDEX(offices!$O$2:$O$61,MATCH($B10,offices!$A$2:$A$61,0))="","",INDEX(offices!$O$2:$O$61,MATCH($B10,offices!$A$2:$A$61,0))),""))</f>
        <v/>
      </c>
      <c r="S10" s="30" t="str">
        <f aca="false">IF($B10="","",IFERROR(IF(INDEX(offices!$P$2:$P$61,MATCH($B10,offices!$A$2:$A$61,0))="","",INDEX(offices!$P$2:$P$61,MATCH($B10,offices!$A$2:$A$61,0))),""))</f>
        <v/>
      </c>
      <c r="T10" s="30" t="str">
        <f aca="false">IF($B10="","",IFERROR(IF(INDEX(offices!$Y$2:$Y$61,MATCH($B10,offices!$A$2:$A$61,0))="","",INDEX(offices!$Y$2:$Y$61,MATCH($B10,offices!$A$2:$A$61,0))),""))</f>
        <v/>
      </c>
      <c r="U10" s="30" t="str">
        <f aca="false">IF($B10="","",IFERROR(IF(INDEX(offices!$X$2:$X$61,MATCH($B10,offices!$A$2:$A$61,0))="","",INDEX(offices!$X$2:$X$61,MATCH($B10,offices!$A$2:$A$61,0))),""))</f>
        <v/>
      </c>
      <c r="V10" s="30" t="str">
        <f aca="false">IF($B10="","",IFERROR(IF(INDEX(offices!$U$2:$U$61,MATCH($B10,offices!$A$2:$A$61,0))="","",INDEX(offices!$U$2:$U$61,MATCH($B10,offices!$A$2:$A$61,0))),""))</f>
        <v/>
      </c>
      <c r="W10" s="30" t="str">
        <f aca="false">IF($B10="","",IFERROR(IF(INDEX(offices!$AI$2:$AI$61,MATCH($B10,offices!$A$2:$A$61,0))="","",INDEX(offices!$AI$2:$AI$61,MATCH($B10,offices!$A$2:$A$61,0))),""))</f>
        <v/>
      </c>
      <c r="X10" s="30" t="str">
        <f aca="false">IF($B10="","",IFERROR(IF(INDEX(offices!$G$2:$G$61,MATCH($B10,offices!$A$2:$A$61,0))="","",INDEX(offices!$G$2:$G$61,MATCH($B10,offices!$A$2:$A$61,0))),""))</f>
        <v/>
      </c>
      <c r="Y10" s="30" t="str">
        <f aca="false">IF($B10="","",IFERROR(IF(INDEX(offices!$I$2:$I$61,MATCH($B10,offices!$A$2:$A$61,0))="","",INDEX(offices!$I$2:$I$61,MATCH($B10,offices!$A$2:$A$61,0))),""))</f>
        <v/>
      </c>
      <c r="Z10" s="30" t="str">
        <f aca="false">IF($A10="","",COUNTIFS(approvals!$H$2:$H$251,$A10,approvals!$B$2:$B$251,$B10,approvals!$P$2:$P$251,"Y"))</f>
        <v/>
      </c>
      <c r="AA10" s="30" t="str">
        <f aca="false">IF($A10="","",SUMIFS(approvals!$S$2:$S$251,approvals!$H$2:$H$251,$A10,approvals!$B$2:$B$251,$B10,approvals!$P$2:$P$251,"Y"))</f>
        <v/>
      </c>
      <c r="AB10" s="30" t="str">
        <f aca="false">IF(OR($A10="",$P10=""),"",IF(COUNTIFS(stops!$B$2:$B$151,$B10,stops!$P$2:$P$151,"&lt;"&amp;$P10,stops!$L$2:$L$151,"&lt;&gt;not_delivered")=0,"Y","N"))</f>
        <v/>
      </c>
      <c r="AC10" s="30" t="str">
        <f aca="false">IF(OR($I10="",$J10=""),"",ROUND(($J10-$I10)*1440,0))</f>
        <v/>
      </c>
      <c r="AD10" s="30" t="str">
        <f aca="true">IF($A10="","",IF(COUNTIFS(stops!$A$2:$A$151,$A10,stops!$B$2:$B$151,$B10)&gt;1,"DUPLICATE stop; ","")&amp;IF(AND(OR(IFERROR(IF(INDEX(offices!$Z$2:$Z$61,MATCH($B10,offices!$A$2:$A$61,0))="","",INDEX(offices!$Z$2:$Z$61,MATCH($B10,offices!$A$2:$A$61,0))),"")="yes",IFERROR(IF(INDEX(offices!$Z$2:$Z$61,MATCH($B10,offices!$A$2:$A$61,0))="","",INDEX(offices!$Z$2:$Z$61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","")&amp;IF(AND($U10="front desk",$X10&lt;&gt;"Y"),"info: front desk not agreed: the owner must take it; ",""))</f>
        <v/>
      </c>
    </row>
    <row r="11" customFormat="false" ht="15" hidden="false" customHeight="false" outlineLevel="0" collapsed="false">
      <c r="D11" s="38"/>
      <c r="E11" s="11"/>
      <c r="F11" s="11"/>
      <c r="G11" s="11"/>
      <c r="I11" s="38"/>
      <c r="J11" s="38"/>
      <c r="K11" s="10"/>
      <c r="L11" s="10"/>
      <c r="N11" s="11"/>
      <c r="P11" s="31" t="str">
        <f aca="false">IF($A11="","",IF(IFERROR(IF(INDEX(drops!$I$2:$I$21,MATCH($A11,drops!$A$2:$A$21,0))="","",INDEX(drops!$I$2:$I$21,MATCH($A11,drops!$A$2:$A$21,0))),"")="OK",IFERROR(IF(INDEX(drops!$B$2:$B$21,MATCH($A11,drops!$A$2:$A$21,0))="","",INDEX(drops!$B$2:$B$21,MATCH($A11,drops!$A$2:$A$21,0))),""),""))</f>
        <v/>
      </c>
      <c r="Q11" s="30" t="str">
        <f aca="false">IF($B11="","",IFERROR(IF(INDEX(offices!$N$2:$N$61,MATCH($B11,offices!$A$2:$A$61,0))="","",INDEX(offices!$N$2:$N$61,MATCH($B11,offices!$A$2:$A$61,0))),""))</f>
        <v/>
      </c>
      <c r="R11" s="30" t="str">
        <f aca="false">IF($B11="","",IFERROR(IF(INDEX(offices!$O$2:$O$61,MATCH($B11,offices!$A$2:$A$61,0))="","",INDEX(offices!$O$2:$O$61,MATCH($B11,offices!$A$2:$A$61,0))),""))</f>
        <v/>
      </c>
      <c r="S11" s="30" t="str">
        <f aca="false">IF($B11="","",IFERROR(IF(INDEX(offices!$P$2:$P$61,MATCH($B11,offices!$A$2:$A$61,0))="","",INDEX(offices!$P$2:$P$61,MATCH($B11,offices!$A$2:$A$61,0))),""))</f>
        <v/>
      </c>
      <c r="T11" s="30" t="str">
        <f aca="false">IF($B11="","",IFERROR(IF(INDEX(offices!$Y$2:$Y$61,MATCH($B11,offices!$A$2:$A$61,0))="","",INDEX(offices!$Y$2:$Y$61,MATCH($B11,offices!$A$2:$A$61,0))),""))</f>
        <v/>
      </c>
      <c r="U11" s="30" t="str">
        <f aca="false">IF($B11="","",IFERROR(IF(INDEX(offices!$X$2:$X$61,MATCH($B11,offices!$A$2:$A$61,0))="","",INDEX(offices!$X$2:$X$61,MATCH($B11,offices!$A$2:$A$61,0))),""))</f>
        <v/>
      </c>
      <c r="V11" s="30" t="str">
        <f aca="false">IF($B11="","",IFERROR(IF(INDEX(offices!$U$2:$U$61,MATCH($B11,offices!$A$2:$A$61,0))="","",INDEX(offices!$U$2:$U$61,MATCH($B11,offices!$A$2:$A$61,0))),""))</f>
        <v/>
      </c>
      <c r="W11" s="30" t="str">
        <f aca="false">IF($B11="","",IFERROR(IF(INDEX(offices!$AI$2:$AI$61,MATCH($B11,offices!$A$2:$A$61,0))="","",INDEX(offices!$AI$2:$AI$61,MATCH($B11,offices!$A$2:$A$61,0))),""))</f>
        <v/>
      </c>
      <c r="X11" s="30" t="str">
        <f aca="false">IF($B11="","",IFERROR(IF(INDEX(offices!$G$2:$G$61,MATCH($B11,offices!$A$2:$A$61,0))="","",INDEX(offices!$G$2:$G$61,MATCH($B11,offices!$A$2:$A$61,0))),""))</f>
        <v/>
      </c>
      <c r="Y11" s="30" t="str">
        <f aca="false">IF($B11="","",IFERROR(IF(INDEX(offices!$I$2:$I$61,MATCH($B11,offices!$A$2:$A$61,0))="","",INDEX(offices!$I$2:$I$61,MATCH($B11,offices!$A$2:$A$61,0))),""))</f>
        <v/>
      </c>
      <c r="Z11" s="30" t="str">
        <f aca="false">IF($A11="","",COUNTIFS(approvals!$H$2:$H$251,$A11,approvals!$B$2:$B$251,$B11,approvals!$P$2:$P$251,"Y"))</f>
        <v/>
      </c>
      <c r="AA11" s="30" t="str">
        <f aca="false">IF($A11="","",SUMIFS(approvals!$S$2:$S$251,approvals!$H$2:$H$251,$A11,approvals!$B$2:$B$251,$B11,approvals!$P$2:$P$251,"Y"))</f>
        <v/>
      </c>
      <c r="AB11" s="30" t="str">
        <f aca="false">IF(OR($A11="",$P11=""),"",IF(COUNTIFS(stops!$B$2:$B$151,$B11,stops!$P$2:$P$151,"&lt;"&amp;$P11,stops!$L$2:$L$151,"&lt;&gt;not_delivered")=0,"Y","N"))</f>
        <v/>
      </c>
      <c r="AC11" s="30" t="str">
        <f aca="false">IF(OR($I11="",$J11=""),"",ROUND(($J11-$I11)*1440,0))</f>
        <v/>
      </c>
      <c r="AD11" s="30" t="str">
        <f aca="true">IF($A11="","",IF(COUNTIFS(stops!$A$2:$A$151,$A11,stops!$B$2:$B$151,$B11)&gt;1,"DUPLICATE stop; ","")&amp;IF(AND(OR(IFERROR(IF(INDEX(offices!$Z$2:$Z$61,MATCH($B11,offices!$A$2:$A$61,0))="","",INDEX(offices!$Z$2:$Z$61,MATCH($B11,offices!$A$2:$A$61,0))),"")="yes",IFERROR(IF(INDEX(offices!$Z$2:$Z$61,MATCH($B11,offices!$A$2:$A$61,0))="","",INDEX(offices!$Z$2:$Z$61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","")&amp;IF(AND($U11="front desk",$X11&lt;&gt;"Y"),"info: front desk not agreed: the owner must take it; ",""))</f>
        <v/>
      </c>
    </row>
    <row r="12" customFormat="false" ht="15" hidden="false" customHeight="false" outlineLevel="0" collapsed="false">
      <c r="D12" s="38"/>
      <c r="E12" s="11"/>
      <c r="F12" s="11"/>
      <c r="G12" s="11"/>
      <c r="I12" s="38"/>
      <c r="J12" s="38"/>
      <c r="K12" s="10"/>
      <c r="L12" s="10"/>
      <c r="N12" s="11"/>
      <c r="P12" s="31" t="str">
        <f aca="false">IF($A12="","",IF(IFERROR(IF(INDEX(drops!$I$2:$I$21,MATCH($A12,drops!$A$2:$A$21,0))="","",INDEX(drops!$I$2:$I$21,MATCH($A12,drops!$A$2:$A$21,0))),"")="OK",IFERROR(IF(INDEX(drops!$B$2:$B$21,MATCH($A12,drops!$A$2:$A$21,0))="","",INDEX(drops!$B$2:$B$21,MATCH($A12,drops!$A$2:$A$21,0))),""),""))</f>
        <v/>
      </c>
      <c r="Q12" s="30" t="str">
        <f aca="false">IF($B12="","",IFERROR(IF(INDEX(offices!$N$2:$N$61,MATCH($B12,offices!$A$2:$A$61,0))="","",INDEX(offices!$N$2:$N$61,MATCH($B12,offices!$A$2:$A$61,0))),""))</f>
        <v/>
      </c>
      <c r="R12" s="30" t="str">
        <f aca="false">IF($B12="","",IFERROR(IF(INDEX(offices!$O$2:$O$61,MATCH($B12,offices!$A$2:$A$61,0))="","",INDEX(offices!$O$2:$O$61,MATCH($B12,offices!$A$2:$A$61,0))),""))</f>
        <v/>
      </c>
      <c r="S12" s="30" t="str">
        <f aca="false">IF($B12="","",IFERROR(IF(INDEX(offices!$P$2:$P$61,MATCH($B12,offices!$A$2:$A$61,0))="","",INDEX(offices!$P$2:$P$61,MATCH($B12,offices!$A$2:$A$61,0))),""))</f>
        <v/>
      </c>
      <c r="T12" s="30" t="str">
        <f aca="false">IF($B12="","",IFERROR(IF(INDEX(offices!$Y$2:$Y$61,MATCH($B12,offices!$A$2:$A$61,0))="","",INDEX(offices!$Y$2:$Y$61,MATCH($B12,offices!$A$2:$A$61,0))),""))</f>
        <v/>
      </c>
      <c r="U12" s="30" t="str">
        <f aca="false">IF($B12="","",IFERROR(IF(INDEX(offices!$X$2:$X$61,MATCH($B12,offices!$A$2:$A$61,0))="","",INDEX(offices!$X$2:$X$61,MATCH($B12,offices!$A$2:$A$61,0))),""))</f>
        <v/>
      </c>
      <c r="V12" s="30" t="str">
        <f aca="false">IF($B12="","",IFERROR(IF(INDEX(offices!$U$2:$U$61,MATCH($B12,offices!$A$2:$A$61,0))="","",INDEX(offices!$U$2:$U$61,MATCH($B12,offices!$A$2:$A$61,0))),""))</f>
        <v/>
      </c>
      <c r="W12" s="30" t="str">
        <f aca="false">IF($B12="","",IFERROR(IF(INDEX(offices!$AI$2:$AI$61,MATCH($B12,offices!$A$2:$A$61,0))="","",INDEX(offices!$AI$2:$AI$61,MATCH($B12,offices!$A$2:$A$61,0))),""))</f>
        <v/>
      </c>
      <c r="X12" s="30" t="str">
        <f aca="false">IF($B12="","",IFERROR(IF(INDEX(offices!$G$2:$G$61,MATCH($B12,offices!$A$2:$A$61,0))="","",INDEX(offices!$G$2:$G$61,MATCH($B12,offices!$A$2:$A$61,0))),""))</f>
        <v/>
      </c>
      <c r="Y12" s="30" t="str">
        <f aca="false">IF($B12="","",IFERROR(IF(INDEX(offices!$I$2:$I$61,MATCH($B12,offices!$A$2:$A$61,0))="","",INDEX(offices!$I$2:$I$61,MATCH($B12,offices!$A$2:$A$61,0))),""))</f>
        <v/>
      </c>
      <c r="Z12" s="30" t="str">
        <f aca="false">IF($A12="","",COUNTIFS(approvals!$H$2:$H$251,$A12,approvals!$B$2:$B$251,$B12,approvals!$P$2:$P$251,"Y"))</f>
        <v/>
      </c>
      <c r="AA12" s="30" t="str">
        <f aca="false">IF($A12="","",SUMIFS(approvals!$S$2:$S$251,approvals!$H$2:$H$251,$A12,approvals!$B$2:$B$251,$B12,approvals!$P$2:$P$251,"Y"))</f>
        <v/>
      </c>
      <c r="AB12" s="30" t="str">
        <f aca="false">IF(OR($A12="",$P12=""),"",IF(COUNTIFS(stops!$B$2:$B$151,$B12,stops!$P$2:$P$151,"&lt;"&amp;$P12,stops!$L$2:$L$151,"&lt;&gt;not_delivered")=0,"Y","N"))</f>
        <v/>
      </c>
      <c r="AC12" s="30" t="str">
        <f aca="false">IF(OR($I12="",$J12=""),"",ROUND(($J12-$I12)*1440,0))</f>
        <v/>
      </c>
      <c r="AD12" s="30" t="str">
        <f aca="true">IF($A12="","",IF(COUNTIFS(stops!$A$2:$A$151,$A12,stops!$B$2:$B$151,$B12)&gt;1,"DUPLICATE stop; ","")&amp;IF(AND(OR(IFERROR(IF(INDEX(offices!$Z$2:$Z$61,MATCH($B12,offices!$A$2:$A$61,0))="","",INDEX(offices!$Z$2:$Z$61,MATCH($B12,offices!$A$2:$A$61,0))),"")="yes",IFERROR(IF(INDEX(offices!$Z$2:$Z$61,MATCH($B12,offices!$A$2:$A$61,0))="","",INDEX(offices!$Z$2:$Z$61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","")&amp;IF(AND($U12="front desk",$X12&lt;&gt;"Y"),"info: front desk not agreed: the owner must take it; ",""))</f>
        <v/>
      </c>
    </row>
    <row r="13" customFormat="false" ht="15" hidden="false" customHeight="false" outlineLevel="0" collapsed="false">
      <c r="D13" s="38"/>
      <c r="E13" s="11"/>
      <c r="F13" s="11"/>
      <c r="G13" s="11"/>
      <c r="I13" s="38"/>
      <c r="J13" s="38"/>
      <c r="K13" s="10"/>
      <c r="L13" s="10"/>
      <c r="N13" s="11"/>
      <c r="P13" s="31" t="str">
        <f aca="false">IF($A13="","",IF(IFERROR(IF(INDEX(drops!$I$2:$I$21,MATCH($A13,drops!$A$2:$A$21,0))="","",INDEX(drops!$I$2:$I$21,MATCH($A13,drops!$A$2:$A$21,0))),"")="OK",IFERROR(IF(INDEX(drops!$B$2:$B$21,MATCH($A13,drops!$A$2:$A$21,0))="","",INDEX(drops!$B$2:$B$21,MATCH($A13,drops!$A$2:$A$21,0))),""),""))</f>
        <v/>
      </c>
      <c r="Q13" s="30" t="str">
        <f aca="false">IF($B13="","",IFERROR(IF(INDEX(offices!$N$2:$N$61,MATCH($B13,offices!$A$2:$A$61,0))="","",INDEX(offices!$N$2:$N$61,MATCH($B13,offices!$A$2:$A$61,0))),""))</f>
        <v/>
      </c>
      <c r="R13" s="30" t="str">
        <f aca="false">IF($B13="","",IFERROR(IF(INDEX(offices!$O$2:$O$61,MATCH($B13,offices!$A$2:$A$61,0))="","",INDEX(offices!$O$2:$O$61,MATCH($B13,offices!$A$2:$A$61,0))),""))</f>
        <v/>
      </c>
      <c r="S13" s="30" t="str">
        <f aca="false">IF($B13="","",IFERROR(IF(INDEX(offices!$P$2:$P$61,MATCH($B13,offices!$A$2:$A$61,0))="","",INDEX(offices!$P$2:$P$61,MATCH($B13,offices!$A$2:$A$61,0))),""))</f>
        <v/>
      </c>
      <c r="T13" s="30" t="str">
        <f aca="false">IF($B13="","",IFERROR(IF(INDEX(offices!$Y$2:$Y$61,MATCH($B13,offices!$A$2:$A$61,0))="","",INDEX(offices!$Y$2:$Y$61,MATCH($B13,offices!$A$2:$A$61,0))),""))</f>
        <v/>
      </c>
      <c r="U13" s="30" t="str">
        <f aca="false">IF($B13="","",IFERROR(IF(INDEX(offices!$X$2:$X$61,MATCH($B13,offices!$A$2:$A$61,0))="","",INDEX(offices!$X$2:$X$61,MATCH($B13,offices!$A$2:$A$61,0))),""))</f>
        <v/>
      </c>
      <c r="V13" s="30" t="str">
        <f aca="false">IF($B13="","",IFERROR(IF(INDEX(offices!$U$2:$U$61,MATCH($B13,offices!$A$2:$A$61,0))="","",INDEX(offices!$U$2:$U$61,MATCH($B13,offices!$A$2:$A$61,0))),""))</f>
        <v/>
      </c>
      <c r="W13" s="30" t="str">
        <f aca="false">IF($B13="","",IFERROR(IF(INDEX(offices!$AI$2:$AI$61,MATCH($B13,offices!$A$2:$A$61,0))="","",INDEX(offices!$AI$2:$AI$61,MATCH($B13,offices!$A$2:$A$61,0))),""))</f>
        <v/>
      </c>
      <c r="X13" s="30" t="str">
        <f aca="false">IF($B13="","",IFERROR(IF(INDEX(offices!$G$2:$G$61,MATCH($B13,offices!$A$2:$A$61,0))="","",INDEX(offices!$G$2:$G$61,MATCH($B13,offices!$A$2:$A$61,0))),""))</f>
        <v/>
      </c>
      <c r="Y13" s="30" t="str">
        <f aca="false">IF($B13="","",IFERROR(IF(INDEX(offices!$I$2:$I$61,MATCH($B13,offices!$A$2:$A$61,0))="","",INDEX(offices!$I$2:$I$61,MATCH($B13,offices!$A$2:$A$61,0))),""))</f>
        <v/>
      </c>
      <c r="Z13" s="30" t="str">
        <f aca="false">IF($A13="","",COUNTIFS(approvals!$H$2:$H$251,$A13,approvals!$B$2:$B$251,$B13,approvals!$P$2:$P$251,"Y"))</f>
        <v/>
      </c>
      <c r="AA13" s="30" t="str">
        <f aca="false">IF($A13="","",SUMIFS(approvals!$S$2:$S$251,approvals!$H$2:$H$251,$A13,approvals!$B$2:$B$251,$B13,approvals!$P$2:$P$251,"Y"))</f>
        <v/>
      </c>
      <c r="AB13" s="30" t="str">
        <f aca="false">IF(OR($A13="",$P13=""),"",IF(COUNTIFS(stops!$B$2:$B$151,$B13,stops!$P$2:$P$151,"&lt;"&amp;$P13,stops!$L$2:$L$151,"&lt;&gt;not_delivered")=0,"Y","N"))</f>
        <v/>
      </c>
      <c r="AC13" s="30" t="str">
        <f aca="false">IF(OR($I13="",$J13=""),"",ROUND(($J13-$I13)*1440,0))</f>
        <v/>
      </c>
      <c r="AD13" s="30" t="str">
        <f aca="true">IF($A13="","",IF(COUNTIFS(stops!$A$2:$A$151,$A13,stops!$B$2:$B$151,$B13)&gt;1,"DUPLICATE stop; ","")&amp;IF(AND(OR(IFERROR(IF(INDEX(offices!$Z$2:$Z$61,MATCH($B13,offices!$A$2:$A$61,0))="","",INDEX(offices!$Z$2:$Z$61,MATCH($B13,offices!$A$2:$A$61,0))),"")="yes",IFERROR(IF(INDEX(offices!$Z$2:$Z$61,MATCH($B13,offices!$A$2:$A$61,0))="","",INDEX(offices!$Z$2:$Z$61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","")&amp;IF(AND($U13="front desk",$X13&lt;&gt;"Y"),"info: front desk not agreed: the owner must take it; ",""))</f>
        <v/>
      </c>
    </row>
    <row r="14" customFormat="false" ht="15" hidden="false" customHeight="false" outlineLevel="0" collapsed="false">
      <c r="D14" s="38"/>
      <c r="E14" s="11"/>
      <c r="F14" s="11"/>
      <c r="G14" s="11"/>
      <c r="I14" s="38"/>
      <c r="J14" s="38"/>
      <c r="K14" s="10"/>
      <c r="L14" s="10"/>
      <c r="N14" s="11"/>
      <c r="P14" s="31" t="str">
        <f aca="false">IF($A14="","",IF(IFERROR(IF(INDEX(drops!$I$2:$I$21,MATCH($A14,drops!$A$2:$A$21,0))="","",INDEX(drops!$I$2:$I$21,MATCH($A14,drops!$A$2:$A$21,0))),"")="OK",IFERROR(IF(INDEX(drops!$B$2:$B$21,MATCH($A14,drops!$A$2:$A$21,0))="","",INDEX(drops!$B$2:$B$21,MATCH($A14,drops!$A$2:$A$21,0))),""),""))</f>
        <v/>
      </c>
      <c r="Q14" s="30" t="str">
        <f aca="false">IF($B14="","",IFERROR(IF(INDEX(offices!$N$2:$N$61,MATCH($B14,offices!$A$2:$A$61,0))="","",INDEX(offices!$N$2:$N$61,MATCH($B14,offices!$A$2:$A$61,0))),""))</f>
        <v/>
      </c>
      <c r="R14" s="30" t="str">
        <f aca="false">IF($B14="","",IFERROR(IF(INDEX(offices!$O$2:$O$61,MATCH($B14,offices!$A$2:$A$61,0))="","",INDEX(offices!$O$2:$O$61,MATCH($B14,offices!$A$2:$A$61,0))),""))</f>
        <v/>
      </c>
      <c r="S14" s="30" t="str">
        <f aca="false">IF($B14="","",IFERROR(IF(INDEX(offices!$P$2:$P$61,MATCH($B14,offices!$A$2:$A$61,0))="","",INDEX(offices!$P$2:$P$61,MATCH($B14,offices!$A$2:$A$61,0))),""))</f>
        <v/>
      </c>
      <c r="T14" s="30" t="str">
        <f aca="false">IF($B14="","",IFERROR(IF(INDEX(offices!$Y$2:$Y$61,MATCH($B14,offices!$A$2:$A$61,0))="","",INDEX(offices!$Y$2:$Y$61,MATCH($B14,offices!$A$2:$A$61,0))),""))</f>
        <v/>
      </c>
      <c r="U14" s="30" t="str">
        <f aca="false">IF($B14="","",IFERROR(IF(INDEX(offices!$X$2:$X$61,MATCH($B14,offices!$A$2:$A$61,0))="","",INDEX(offices!$X$2:$X$61,MATCH($B14,offices!$A$2:$A$61,0))),""))</f>
        <v/>
      </c>
      <c r="V14" s="30" t="str">
        <f aca="false">IF($B14="","",IFERROR(IF(INDEX(offices!$U$2:$U$61,MATCH($B14,offices!$A$2:$A$61,0))="","",INDEX(offices!$U$2:$U$61,MATCH($B14,offices!$A$2:$A$61,0))),""))</f>
        <v/>
      </c>
      <c r="W14" s="30" t="str">
        <f aca="false">IF($B14="","",IFERROR(IF(INDEX(offices!$AI$2:$AI$61,MATCH($B14,offices!$A$2:$A$61,0))="","",INDEX(offices!$AI$2:$AI$61,MATCH($B14,offices!$A$2:$A$61,0))),""))</f>
        <v/>
      </c>
      <c r="X14" s="30" t="str">
        <f aca="false">IF($B14="","",IFERROR(IF(INDEX(offices!$G$2:$G$61,MATCH($B14,offices!$A$2:$A$61,0))="","",INDEX(offices!$G$2:$G$61,MATCH($B14,offices!$A$2:$A$61,0))),""))</f>
        <v/>
      </c>
      <c r="Y14" s="30" t="str">
        <f aca="false">IF($B14="","",IFERROR(IF(INDEX(offices!$I$2:$I$61,MATCH($B14,offices!$A$2:$A$61,0))="","",INDEX(offices!$I$2:$I$61,MATCH($B14,offices!$A$2:$A$61,0))),""))</f>
        <v/>
      </c>
      <c r="Z14" s="30" t="str">
        <f aca="false">IF($A14="","",COUNTIFS(approvals!$H$2:$H$251,$A14,approvals!$B$2:$B$251,$B14,approvals!$P$2:$P$251,"Y"))</f>
        <v/>
      </c>
      <c r="AA14" s="30" t="str">
        <f aca="false">IF($A14="","",SUMIFS(approvals!$S$2:$S$251,approvals!$H$2:$H$251,$A14,approvals!$B$2:$B$251,$B14,approvals!$P$2:$P$251,"Y"))</f>
        <v/>
      </c>
      <c r="AB14" s="30" t="str">
        <f aca="false">IF(OR($A14="",$P14=""),"",IF(COUNTIFS(stops!$B$2:$B$151,$B14,stops!$P$2:$P$151,"&lt;"&amp;$P14,stops!$L$2:$L$151,"&lt;&gt;not_delivered")=0,"Y","N"))</f>
        <v/>
      </c>
      <c r="AC14" s="30" t="str">
        <f aca="false">IF(OR($I14="",$J14=""),"",ROUND(($J14-$I14)*1440,0))</f>
        <v/>
      </c>
      <c r="AD14" s="30" t="str">
        <f aca="true">IF($A14="","",IF(COUNTIFS(stops!$A$2:$A$151,$A14,stops!$B$2:$B$151,$B14)&gt;1,"DUPLICATE stop; ","")&amp;IF(AND(OR(IFERROR(IF(INDEX(offices!$Z$2:$Z$61,MATCH($B14,offices!$A$2:$A$61,0))="","",INDEX(offices!$Z$2:$Z$61,MATCH($B14,offices!$A$2:$A$61,0))),"")="yes",IFERROR(IF(INDEX(offices!$Z$2:$Z$61,MATCH($B14,offices!$A$2:$A$61,0))="","",INDEX(offices!$Z$2:$Z$61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","")&amp;IF(AND($U14="front desk",$X14&lt;&gt;"Y"),"info: front desk not agreed: the owner must take it; ",""))</f>
        <v/>
      </c>
    </row>
    <row r="15" customFormat="false" ht="15" hidden="false" customHeight="false" outlineLevel="0" collapsed="false">
      <c r="D15" s="38"/>
      <c r="E15" s="11"/>
      <c r="F15" s="11"/>
      <c r="G15" s="11"/>
      <c r="I15" s="38"/>
      <c r="J15" s="38"/>
      <c r="K15" s="10"/>
      <c r="L15" s="10"/>
      <c r="N15" s="11"/>
      <c r="P15" s="31" t="str">
        <f aca="false">IF($A15="","",IF(IFERROR(IF(INDEX(drops!$I$2:$I$21,MATCH($A15,drops!$A$2:$A$21,0))="","",INDEX(drops!$I$2:$I$21,MATCH($A15,drops!$A$2:$A$21,0))),"")="OK",IFERROR(IF(INDEX(drops!$B$2:$B$21,MATCH($A15,drops!$A$2:$A$21,0))="","",INDEX(drops!$B$2:$B$21,MATCH($A15,drops!$A$2:$A$21,0))),""),""))</f>
        <v/>
      </c>
      <c r="Q15" s="30" t="str">
        <f aca="false">IF($B15="","",IFERROR(IF(INDEX(offices!$N$2:$N$61,MATCH($B15,offices!$A$2:$A$61,0))="","",INDEX(offices!$N$2:$N$61,MATCH($B15,offices!$A$2:$A$61,0))),""))</f>
        <v/>
      </c>
      <c r="R15" s="30" t="str">
        <f aca="false">IF($B15="","",IFERROR(IF(INDEX(offices!$O$2:$O$61,MATCH($B15,offices!$A$2:$A$61,0))="","",INDEX(offices!$O$2:$O$61,MATCH($B15,offices!$A$2:$A$61,0))),""))</f>
        <v/>
      </c>
      <c r="S15" s="30" t="str">
        <f aca="false">IF($B15="","",IFERROR(IF(INDEX(offices!$P$2:$P$61,MATCH($B15,offices!$A$2:$A$61,0))="","",INDEX(offices!$P$2:$P$61,MATCH($B15,offices!$A$2:$A$61,0))),""))</f>
        <v/>
      </c>
      <c r="T15" s="30" t="str">
        <f aca="false">IF($B15="","",IFERROR(IF(INDEX(offices!$Y$2:$Y$61,MATCH($B15,offices!$A$2:$A$61,0))="","",INDEX(offices!$Y$2:$Y$61,MATCH($B15,offices!$A$2:$A$61,0))),""))</f>
        <v/>
      </c>
      <c r="U15" s="30" t="str">
        <f aca="false">IF($B15="","",IFERROR(IF(INDEX(offices!$X$2:$X$61,MATCH($B15,offices!$A$2:$A$61,0))="","",INDEX(offices!$X$2:$X$61,MATCH($B15,offices!$A$2:$A$61,0))),""))</f>
        <v/>
      </c>
      <c r="V15" s="30" t="str">
        <f aca="false">IF($B15="","",IFERROR(IF(INDEX(offices!$U$2:$U$61,MATCH($B15,offices!$A$2:$A$61,0))="","",INDEX(offices!$U$2:$U$61,MATCH($B15,offices!$A$2:$A$61,0))),""))</f>
        <v/>
      </c>
      <c r="W15" s="30" t="str">
        <f aca="false">IF($B15="","",IFERROR(IF(INDEX(offices!$AI$2:$AI$61,MATCH($B15,offices!$A$2:$A$61,0))="","",INDEX(offices!$AI$2:$AI$61,MATCH($B15,offices!$A$2:$A$61,0))),""))</f>
        <v/>
      </c>
      <c r="X15" s="30" t="str">
        <f aca="false">IF($B15="","",IFERROR(IF(INDEX(offices!$G$2:$G$61,MATCH($B15,offices!$A$2:$A$61,0))="","",INDEX(offices!$G$2:$G$61,MATCH($B15,offices!$A$2:$A$61,0))),""))</f>
        <v/>
      </c>
      <c r="Y15" s="30" t="str">
        <f aca="false">IF($B15="","",IFERROR(IF(INDEX(offices!$I$2:$I$61,MATCH($B15,offices!$A$2:$A$61,0))="","",INDEX(offices!$I$2:$I$61,MATCH($B15,offices!$A$2:$A$61,0))),""))</f>
        <v/>
      </c>
      <c r="Z15" s="30" t="str">
        <f aca="false">IF($A15="","",COUNTIFS(approvals!$H$2:$H$251,$A15,approvals!$B$2:$B$251,$B15,approvals!$P$2:$P$251,"Y"))</f>
        <v/>
      </c>
      <c r="AA15" s="30" t="str">
        <f aca="false">IF($A15="","",SUMIFS(approvals!$S$2:$S$251,approvals!$H$2:$H$251,$A15,approvals!$B$2:$B$251,$B15,approvals!$P$2:$P$251,"Y"))</f>
        <v/>
      </c>
      <c r="AB15" s="30" t="str">
        <f aca="false">IF(OR($A15="",$P15=""),"",IF(COUNTIFS(stops!$B$2:$B$151,$B15,stops!$P$2:$P$151,"&lt;"&amp;$P15,stops!$L$2:$L$151,"&lt;&gt;not_delivered")=0,"Y","N"))</f>
        <v/>
      </c>
      <c r="AC15" s="30" t="str">
        <f aca="false">IF(OR($I15="",$J15=""),"",ROUND(($J15-$I15)*1440,0))</f>
        <v/>
      </c>
      <c r="AD15" s="30" t="str">
        <f aca="true">IF($A15="","",IF(COUNTIFS(stops!$A$2:$A$151,$A15,stops!$B$2:$B$151,$B15)&gt;1,"DUPLICATE stop; ","")&amp;IF(AND(OR(IFERROR(IF(INDEX(offices!$Z$2:$Z$61,MATCH($B15,offices!$A$2:$A$61,0))="","",INDEX(offices!$Z$2:$Z$61,MATCH($B15,offices!$A$2:$A$61,0))),"")="yes",IFERROR(IF(INDEX(offices!$Z$2:$Z$61,MATCH($B15,offices!$A$2:$A$61,0))="","",INDEX(offices!$Z$2:$Z$61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","")&amp;IF(AND($U15="front desk",$X15&lt;&gt;"Y"),"info: front desk not agreed: the owner must take it; ",""))</f>
        <v/>
      </c>
    </row>
    <row r="16" customFormat="false" ht="15" hidden="false" customHeight="false" outlineLevel="0" collapsed="false">
      <c r="D16" s="38"/>
      <c r="E16" s="11"/>
      <c r="F16" s="11"/>
      <c r="G16" s="11"/>
      <c r="I16" s="38"/>
      <c r="J16" s="38"/>
      <c r="K16" s="10"/>
      <c r="L16" s="10"/>
      <c r="N16" s="11"/>
      <c r="P16" s="31" t="str">
        <f aca="false">IF($A16="","",IF(IFERROR(IF(INDEX(drops!$I$2:$I$21,MATCH($A16,drops!$A$2:$A$21,0))="","",INDEX(drops!$I$2:$I$21,MATCH($A16,drops!$A$2:$A$21,0))),"")="OK",IFERROR(IF(INDEX(drops!$B$2:$B$21,MATCH($A16,drops!$A$2:$A$21,0))="","",INDEX(drops!$B$2:$B$21,MATCH($A16,drops!$A$2:$A$21,0))),""),""))</f>
        <v/>
      </c>
      <c r="Q16" s="30" t="str">
        <f aca="false">IF($B16="","",IFERROR(IF(INDEX(offices!$N$2:$N$61,MATCH($B16,offices!$A$2:$A$61,0))="","",INDEX(offices!$N$2:$N$61,MATCH($B16,offices!$A$2:$A$61,0))),""))</f>
        <v/>
      </c>
      <c r="R16" s="30" t="str">
        <f aca="false">IF($B16="","",IFERROR(IF(INDEX(offices!$O$2:$O$61,MATCH($B16,offices!$A$2:$A$61,0))="","",INDEX(offices!$O$2:$O$61,MATCH($B16,offices!$A$2:$A$61,0))),""))</f>
        <v/>
      </c>
      <c r="S16" s="30" t="str">
        <f aca="false">IF($B16="","",IFERROR(IF(INDEX(offices!$P$2:$P$61,MATCH($B16,offices!$A$2:$A$61,0))="","",INDEX(offices!$P$2:$P$61,MATCH($B16,offices!$A$2:$A$61,0))),""))</f>
        <v/>
      </c>
      <c r="T16" s="30" t="str">
        <f aca="false">IF($B16="","",IFERROR(IF(INDEX(offices!$Y$2:$Y$61,MATCH($B16,offices!$A$2:$A$61,0))="","",INDEX(offices!$Y$2:$Y$61,MATCH($B16,offices!$A$2:$A$61,0))),""))</f>
        <v/>
      </c>
      <c r="U16" s="30" t="str">
        <f aca="false">IF($B16="","",IFERROR(IF(INDEX(offices!$X$2:$X$61,MATCH($B16,offices!$A$2:$A$61,0))="","",INDEX(offices!$X$2:$X$61,MATCH($B16,offices!$A$2:$A$61,0))),""))</f>
        <v/>
      </c>
      <c r="V16" s="30" t="str">
        <f aca="false">IF($B16="","",IFERROR(IF(INDEX(offices!$U$2:$U$61,MATCH($B16,offices!$A$2:$A$61,0))="","",INDEX(offices!$U$2:$U$61,MATCH($B16,offices!$A$2:$A$61,0))),""))</f>
        <v/>
      </c>
      <c r="W16" s="30" t="str">
        <f aca="false">IF($B16="","",IFERROR(IF(INDEX(offices!$AI$2:$AI$61,MATCH($B16,offices!$A$2:$A$61,0))="","",INDEX(offices!$AI$2:$AI$61,MATCH($B16,offices!$A$2:$A$61,0))),""))</f>
        <v/>
      </c>
      <c r="X16" s="30" t="str">
        <f aca="false">IF($B16="","",IFERROR(IF(INDEX(offices!$G$2:$G$61,MATCH($B16,offices!$A$2:$A$61,0))="","",INDEX(offices!$G$2:$G$61,MATCH($B16,offices!$A$2:$A$61,0))),""))</f>
        <v/>
      </c>
      <c r="Y16" s="30" t="str">
        <f aca="false">IF($B16="","",IFERROR(IF(INDEX(offices!$I$2:$I$61,MATCH($B16,offices!$A$2:$A$61,0))="","",INDEX(offices!$I$2:$I$61,MATCH($B16,offices!$A$2:$A$61,0))),""))</f>
        <v/>
      </c>
      <c r="Z16" s="30" t="str">
        <f aca="false">IF($A16="","",COUNTIFS(approvals!$H$2:$H$251,$A16,approvals!$B$2:$B$251,$B16,approvals!$P$2:$P$251,"Y"))</f>
        <v/>
      </c>
      <c r="AA16" s="30" t="str">
        <f aca="false">IF($A16="","",SUMIFS(approvals!$S$2:$S$251,approvals!$H$2:$H$251,$A16,approvals!$B$2:$B$251,$B16,approvals!$P$2:$P$251,"Y"))</f>
        <v/>
      </c>
      <c r="AB16" s="30" t="str">
        <f aca="false">IF(OR($A16="",$P16=""),"",IF(COUNTIFS(stops!$B$2:$B$151,$B16,stops!$P$2:$P$151,"&lt;"&amp;$P16,stops!$L$2:$L$151,"&lt;&gt;not_delivered")=0,"Y","N"))</f>
        <v/>
      </c>
      <c r="AC16" s="30" t="str">
        <f aca="false">IF(OR($I16="",$J16=""),"",ROUND(($J16-$I16)*1440,0))</f>
        <v/>
      </c>
      <c r="AD16" s="30" t="str">
        <f aca="true">IF($A16="","",IF(COUNTIFS(stops!$A$2:$A$151,$A16,stops!$B$2:$B$151,$B16)&gt;1,"DUPLICATE stop; ","")&amp;IF(AND(OR(IFERROR(IF(INDEX(offices!$Z$2:$Z$61,MATCH($B16,offices!$A$2:$A$61,0))="","",INDEX(offices!$Z$2:$Z$61,MATCH($B16,offices!$A$2:$A$61,0))),"")="yes",IFERROR(IF(INDEX(offices!$Z$2:$Z$61,MATCH($B16,offices!$A$2:$A$61,0))="","",INDEX(offices!$Z$2:$Z$61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","")&amp;IF(AND($U16="front desk",$X16&lt;&gt;"Y"),"info: front desk not agreed: the owner must take it; ",""))</f>
        <v/>
      </c>
    </row>
    <row r="17" customFormat="false" ht="15" hidden="false" customHeight="false" outlineLevel="0" collapsed="false">
      <c r="D17" s="38"/>
      <c r="E17" s="11"/>
      <c r="F17" s="11"/>
      <c r="G17" s="11"/>
      <c r="I17" s="38"/>
      <c r="J17" s="38"/>
      <c r="K17" s="10"/>
      <c r="L17" s="10"/>
      <c r="N17" s="11"/>
      <c r="P17" s="31" t="str">
        <f aca="false">IF($A17="","",IF(IFERROR(IF(INDEX(drops!$I$2:$I$21,MATCH($A17,drops!$A$2:$A$21,0))="","",INDEX(drops!$I$2:$I$21,MATCH($A17,drops!$A$2:$A$21,0))),"")="OK",IFERROR(IF(INDEX(drops!$B$2:$B$21,MATCH($A17,drops!$A$2:$A$21,0))="","",INDEX(drops!$B$2:$B$21,MATCH($A17,drops!$A$2:$A$21,0))),""),""))</f>
        <v/>
      </c>
      <c r="Q17" s="30" t="str">
        <f aca="false">IF($B17="","",IFERROR(IF(INDEX(offices!$N$2:$N$61,MATCH($B17,offices!$A$2:$A$61,0))="","",INDEX(offices!$N$2:$N$61,MATCH($B17,offices!$A$2:$A$61,0))),""))</f>
        <v/>
      </c>
      <c r="R17" s="30" t="str">
        <f aca="false">IF($B17="","",IFERROR(IF(INDEX(offices!$O$2:$O$61,MATCH($B17,offices!$A$2:$A$61,0))="","",INDEX(offices!$O$2:$O$61,MATCH($B17,offices!$A$2:$A$61,0))),""))</f>
        <v/>
      </c>
      <c r="S17" s="30" t="str">
        <f aca="false">IF($B17="","",IFERROR(IF(INDEX(offices!$P$2:$P$61,MATCH($B17,offices!$A$2:$A$61,0))="","",INDEX(offices!$P$2:$P$61,MATCH($B17,offices!$A$2:$A$61,0))),""))</f>
        <v/>
      </c>
      <c r="T17" s="30" t="str">
        <f aca="false">IF($B17="","",IFERROR(IF(INDEX(offices!$Y$2:$Y$61,MATCH($B17,offices!$A$2:$A$61,0))="","",INDEX(offices!$Y$2:$Y$61,MATCH($B17,offices!$A$2:$A$61,0))),""))</f>
        <v/>
      </c>
      <c r="U17" s="30" t="str">
        <f aca="false">IF($B17="","",IFERROR(IF(INDEX(offices!$X$2:$X$61,MATCH($B17,offices!$A$2:$A$61,0))="","",INDEX(offices!$X$2:$X$61,MATCH($B17,offices!$A$2:$A$61,0))),""))</f>
        <v/>
      </c>
      <c r="V17" s="30" t="str">
        <f aca="false">IF($B17="","",IFERROR(IF(INDEX(offices!$U$2:$U$61,MATCH($B17,offices!$A$2:$A$61,0))="","",INDEX(offices!$U$2:$U$61,MATCH($B17,offices!$A$2:$A$61,0))),""))</f>
        <v/>
      </c>
      <c r="W17" s="30" t="str">
        <f aca="false">IF($B17="","",IFERROR(IF(INDEX(offices!$AI$2:$AI$61,MATCH($B17,offices!$A$2:$A$61,0))="","",INDEX(offices!$AI$2:$AI$61,MATCH($B17,offices!$A$2:$A$61,0))),""))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Z$2:$Z$61,MATCH($B17,offices!$A$2:$A$61,0))="","",INDEX(offices!$Z$2:$Z$61,MATCH($B17,offices!$A$2:$A$61,0))),"")="yes",IFERROR(IF(INDEX(offices!$Z$2:$Z$61,MATCH($B17,offices!$A$2:$A$61,0))="","",INDEX(offices!$Z$2:$Z$61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","")&amp;IF(AND($U17="front desk",$X17&lt;&gt;"Y"),"info: front desk not agreed: the owner must take it; ",""))</f>
        <v/>
      </c>
    </row>
    <row r="18" customFormat="false" ht="15" hidden="false" customHeight="false" outlineLevel="0" collapsed="false">
      <c r="D18" s="38"/>
      <c r="E18" s="11"/>
      <c r="F18" s="11"/>
      <c r="G18" s="11"/>
      <c r="I18" s="38"/>
      <c r="J18" s="38"/>
      <c r="K18" s="10"/>
      <c r="L18" s="10"/>
      <c r="N18" s="11"/>
      <c r="P18" s="31" t="str">
        <f aca="false">IF($A18="","",IF(IFERROR(IF(INDEX(drops!$I$2:$I$21,MATCH($A18,drops!$A$2:$A$21,0))="","",INDEX(drops!$I$2:$I$21,MATCH($A18,drops!$A$2:$A$21,0))),"")="OK",IFERROR(IF(INDEX(drops!$B$2:$B$21,MATCH($A18,drops!$A$2:$A$21,0))="","",INDEX(drops!$B$2:$B$21,MATCH($A18,drops!$A$2:$A$21,0))),""),""))</f>
        <v/>
      </c>
      <c r="Q18" s="30" t="str">
        <f aca="false">IF($B18="","",IFERROR(IF(INDEX(offices!$N$2:$N$61,MATCH($B18,offices!$A$2:$A$61,0))="","",INDEX(offices!$N$2:$N$61,MATCH($B18,offices!$A$2:$A$61,0))),""))</f>
        <v/>
      </c>
      <c r="R18" s="30" t="str">
        <f aca="false">IF($B18="","",IFERROR(IF(INDEX(offices!$O$2:$O$61,MATCH($B18,offices!$A$2:$A$61,0))="","",INDEX(offices!$O$2:$O$61,MATCH($B18,offices!$A$2:$A$61,0))),""))</f>
        <v/>
      </c>
      <c r="S18" s="30" t="str">
        <f aca="false">IF($B18="","",IFERROR(IF(INDEX(offices!$P$2:$P$61,MATCH($B18,offices!$A$2:$A$61,0))="","",INDEX(offices!$P$2:$P$61,MATCH($B18,offices!$A$2:$A$61,0))),""))</f>
        <v/>
      </c>
      <c r="T18" s="30" t="str">
        <f aca="false">IF($B18="","",IFERROR(IF(INDEX(offices!$Y$2:$Y$61,MATCH($B18,offices!$A$2:$A$61,0))="","",INDEX(offices!$Y$2:$Y$61,MATCH($B18,offices!$A$2:$A$61,0))),""))</f>
        <v/>
      </c>
      <c r="U18" s="30" t="str">
        <f aca="false">IF($B18="","",IFERROR(IF(INDEX(offices!$X$2:$X$61,MATCH($B18,offices!$A$2:$A$61,0))="","",INDEX(offices!$X$2:$X$61,MATCH($B18,offices!$A$2:$A$61,0))),""))</f>
        <v/>
      </c>
      <c r="V18" s="30" t="str">
        <f aca="false">IF($B18="","",IFERROR(IF(INDEX(offices!$U$2:$U$61,MATCH($B18,offices!$A$2:$A$61,0))="","",INDEX(offices!$U$2:$U$61,MATCH($B18,offices!$A$2:$A$61,0))),""))</f>
        <v/>
      </c>
      <c r="W18" s="30" t="str">
        <f aca="false">IF($B18="","",IFERROR(IF(INDEX(offices!$AI$2:$AI$61,MATCH($B18,offices!$A$2:$A$61,0))="","",INDEX(offices!$AI$2:$AI$61,MATCH($B18,offices!$A$2:$A$61,0))),""))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Z$2:$Z$61,MATCH($B18,offices!$A$2:$A$61,0))="","",INDEX(offices!$Z$2:$Z$61,MATCH($B18,offices!$A$2:$A$61,0))),"")="yes",IFERROR(IF(INDEX(offices!$Z$2:$Z$61,MATCH($B18,offices!$A$2:$A$61,0))="","",INDEX(offices!$Z$2:$Z$61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","")&amp;IF(AND($U18="front desk",$X18&lt;&gt;"Y"),"info: front desk not agreed: the owner must take it; ",""))</f>
        <v/>
      </c>
    </row>
    <row r="19" customFormat="false" ht="15" hidden="false" customHeight="false" outlineLevel="0" collapsed="false">
      <c r="D19" s="38"/>
      <c r="E19" s="11"/>
      <c r="F19" s="11"/>
      <c r="G19" s="11"/>
      <c r="I19" s="38"/>
      <c r="J19" s="38"/>
      <c r="K19" s="10"/>
      <c r="L19" s="10"/>
      <c r="N19" s="11"/>
      <c r="P19" s="31" t="str">
        <f aca="false">IF($A19="","",IF(IFERROR(IF(INDEX(drops!$I$2:$I$21,MATCH($A19,drops!$A$2:$A$21,0))="","",INDEX(drops!$I$2:$I$21,MATCH($A19,drops!$A$2:$A$21,0))),"")="OK",IFERROR(IF(INDEX(drops!$B$2:$B$21,MATCH($A19,drops!$A$2:$A$21,0))="","",INDEX(drops!$B$2:$B$21,MATCH($A19,drops!$A$2:$A$21,0))),""),""))</f>
        <v/>
      </c>
      <c r="Q19" s="30" t="str">
        <f aca="false">IF($B19="","",IFERROR(IF(INDEX(offices!$N$2:$N$61,MATCH($B19,offices!$A$2:$A$61,0))="","",INDEX(offices!$N$2:$N$61,MATCH($B19,offices!$A$2:$A$61,0))),""))</f>
        <v/>
      </c>
      <c r="R19" s="30" t="str">
        <f aca="false">IF($B19="","",IFERROR(IF(INDEX(offices!$O$2:$O$61,MATCH($B19,offices!$A$2:$A$61,0))="","",INDEX(offices!$O$2:$O$61,MATCH($B19,offices!$A$2:$A$61,0))),""))</f>
        <v/>
      </c>
      <c r="S19" s="30" t="str">
        <f aca="false">IF($B19="","",IFERROR(IF(INDEX(offices!$P$2:$P$61,MATCH($B19,offices!$A$2:$A$61,0))="","",INDEX(offices!$P$2:$P$61,MATCH($B19,offices!$A$2:$A$61,0))),""))</f>
        <v/>
      </c>
      <c r="T19" s="30" t="str">
        <f aca="false">IF($B19="","",IFERROR(IF(INDEX(offices!$Y$2:$Y$61,MATCH($B19,offices!$A$2:$A$61,0))="","",INDEX(offices!$Y$2:$Y$61,MATCH($B19,offices!$A$2:$A$61,0))),""))</f>
        <v/>
      </c>
      <c r="U19" s="30" t="str">
        <f aca="false">IF($B19="","",IFERROR(IF(INDEX(offices!$X$2:$X$61,MATCH($B19,offices!$A$2:$A$61,0))="","",INDEX(offices!$X$2:$X$61,MATCH($B19,offices!$A$2:$A$61,0))),""))</f>
        <v/>
      </c>
      <c r="V19" s="30" t="str">
        <f aca="false">IF($B19="","",IFERROR(IF(INDEX(offices!$U$2:$U$61,MATCH($B19,offices!$A$2:$A$61,0))="","",INDEX(offices!$U$2:$U$61,MATCH($B19,offices!$A$2:$A$61,0))),""))</f>
        <v/>
      </c>
      <c r="W19" s="30" t="str">
        <f aca="false">IF($B19="","",IFERROR(IF(INDEX(offices!$AI$2:$AI$61,MATCH($B19,offices!$A$2:$A$61,0))="","",INDEX(offices!$AI$2:$AI$61,MATCH($B19,offices!$A$2:$A$61,0))),""))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Z$2:$Z$61,MATCH($B19,offices!$A$2:$A$61,0))="","",INDEX(offices!$Z$2:$Z$61,MATCH($B19,offices!$A$2:$A$61,0))),"")="yes",IFERROR(IF(INDEX(offices!$Z$2:$Z$61,MATCH($B19,offices!$A$2:$A$61,0))="","",INDEX(offices!$Z$2:$Z$61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","")&amp;IF(AND($U19="front desk",$X19&lt;&gt;"Y"),"info: front desk not agreed: the owner must take it; ",""))</f>
        <v/>
      </c>
    </row>
    <row r="20" customFormat="false" ht="15" hidden="false" customHeight="false" outlineLevel="0" collapsed="false">
      <c r="D20" s="38"/>
      <c r="E20" s="11"/>
      <c r="F20" s="11"/>
      <c r="G20" s="11"/>
      <c r="I20" s="38"/>
      <c r="J20" s="38"/>
      <c r="K20" s="10"/>
      <c r="L20" s="10"/>
      <c r="N20" s="11"/>
      <c r="P20" s="31" t="str">
        <f aca="false">IF($A20="","",IF(IFERROR(IF(INDEX(drops!$I$2:$I$21,MATCH($A20,drops!$A$2:$A$21,0))="","",INDEX(drops!$I$2:$I$21,MATCH($A20,drops!$A$2:$A$21,0))),"")="OK",IFERROR(IF(INDEX(drops!$B$2:$B$21,MATCH($A20,drops!$A$2:$A$21,0))="","",INDEX(drops!$B$2:$B$21,MATCH($A20,drops!$A$2:$A$21,0))),""),""))</f>
        <v/>
      </c>
      <c r="Q20" s="30" t="str">
        <f aca="false">IF($B20="","",IFERROR(IF(INDEX(offices!$N$2:$N$61,MATCH($B20,offices!$A$2:$A$61,0))="","",INDEX(offices!$N$2:$N$61,MATCH($B20,offices!$A$2:$A$61,0))),""))</f>
        <v/>
      </c>
      <c r="R20" s="30" t="str">
        <f aca="false">IF($B20="","",IFERROR(IF(INDEX(offices!$O$2:$O$61,MATCH($B20,offices!$A$2:$A$61,0))="","",INDEX(offices!$O$2:$O$61,MATCH($B20,offices!$A$2:$A$61,0))),""))</f>
        <v/>
      </c>
      <c r="S20" s="30" t="str">
        <f aca="false">IF($B20="","",IFERROR(IF(INDEX(offices!$P$2:$P$61,MATCH($B20,offices!$A$2:$A$61,0))="","",INDEX(offices!$P$2:$P$61,MATCH($B20,offices!$A$2:$A$61,0))),""))</f>
        <v/>
      </c>
      <c r="T20" s="30" t="str">
        <f aca="false">IF($B20="","",IFERROR(IF(INDEX(offices!$Y$2:$Y$61,MATCH($B20,offices!$A$2:$A$61,0))="","",INDEX(offices!$Y$2:$Y$61,MATCH($B20,offices!$A$2:$A$61,0))),""))</f>
        <v/>
      </c>
      <c r="U20" s="30" t="str">
        <f aca="false">IF($B20="","",IFERROR(IF(INDEX(offices!$X$2:$X$61,MATCH($B20,offices!$A$2:$A$61,0))="","",INDEX(offices!$X$2:$X$61,MATCH($B20,offices!$A$2:$A$61,0))),""))</f>
        <v/>
      </c>
      <c r="V20" s="30" t="str">
        <f aca="false">IF($B20="","",IFERROR(IF(INDEX(offices!$U$2:$U$61,MATCH($B20,offices!$A$2:$A$61,0))="","",INDEX(offices!$U$2:$U$61,MATCH($B20,offices!$A$2:$A$61,0))),""))</f>
        <v/>
      </c>
      <c r="W20" s="30" t="str">
        <f aca="false">IF($B20="","",IFERROR(IF(INDEX(offices!$AI$2:$AI$61,MATCH($B20,offices!$A$2:$A$61,0))="","",INDEX(offices!$AI$2:$AI$61,MATCH($B20,offices!$A$2:$A$61,0))),""))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Z$2:$Z$61,MATCH($B20,offices!$A$2:$A$61,0))="","",INDEX(offices!$Z$2:$Z$61,MATCH($B20,offices!$A$2:$A$61,0))),"")="yes",IFERROR(IF(INDEX(offices!$Z$2:$Z$61,MATCH($B20,offices!$A$2:$A$61,0))="","",INDEX(offices!$Z$2:$Z$61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","")&amp;IF(AND($U20="front desk",$X20&lt;&gt;"Y"),"info: front desk not agreed: the owner must take it; ",""))</f>
        <v/>
      </c>
    </row>
    <row r="21" customFormat="false" ht="15" hidden="false" customHeight="false" outlineLevel="0" collapsed="false">
      <c r="D21" s="38"/>
      <c r="E21" s="11"/>
      <c r="F21" s="11"/>
      <c r="G21" s="11"/>
      <c r="I21" s="38"/>
      <c r="J21" s="38"/>
      <c r="K21" s="10"/>
      <c r="L21" s="10"/>
      <c r="N21" s="11"/>
      <c r="P21" s="31" t="str">
        <f aca="false">IF($A21="","",IF(IFERROR(IF(INDEX(drops!$I$2:$I$21,MATCH($A21,drops!$A$2:$A$21,0))="","",INDEX(drops!$I$2:$I$21,MATCH($A21,drops!$A$2:$A$21,0))),"")="OK",IFERROR(IF(INDEX(drops!$B$2:$B$21,MATCH($A21,drops!$A$2:$A$21,0))="","",INDEX(drops!$B$2:$B$21,MATCH($A21,drops!$A$2:$A$21,0))),""),""))</f>
        <v/>
      </c>
      <c r="Q21" s="30" t="str">
        <f aca="false">IF($B21="","",IFERROR(IF(INDEX(offices!$N$2:$N$61,MATCH($B21,offices!$A$2:$A$61,0))="","",INDEX(offices!$N$2:$N$61,MATCH($B21,offices!$A$2:$A$61,0))),""))</f>
        <v/>
      </c>
      <c r="R21" s="30" t="str">
        <f aca="false">IF($B21="","",IFERROR(IF(INDEX(offices!$O$2:$O$61,MATCH($B21,offices!$A$2:$A$61,0))="","",INDEX(offices!$O$2:$O$61,MATCH($B21,offices!$A$2:$A$61,0))),""))</f>
        <v/>
      </c>
      <c r="S21" s="30" t="str">
        <f aca="false">IF($B21="","",IFERROR(IF(INDEX(offices!$P$2:$P$61,MATCH($B21,offices!$A$2:$A$61,0))="","",INDEX(offices!$P$2:$P$61,MATCH($B21,offices!$A$2:$A$61,0))),""))</f>
        <v/>
      </c>
      <c r="T21" s="30" t="str">
        <f aca="false">IF($B21="","",IFERROR(IF(INDEX(offices!$Y$2:$Y$61,MATCH($B21,offices!$A$2:$A$61,0))="","",INDEX(offices!$Y$2:$Y$61,MATCH($B21,offices!$A$2:$A$61,0))),""))</f>
        <v/>
      </c>
      <c r="U21" s="30" t="str">
        <f aca="false">IF($B21="","",IFERROR(IF(INDEX(offices!$X$2:$X$61,MATCH($B21,offices!$A$2:$A$61,0))="","",INDEX(offices!$X$2:$X$61,MATCH($B21,offices!$A$2:$A$61,0))),""))</f>
        <v/>
      </c>
      <c r="V21" s="30" t="str">
        <f aca="false">IF($B21="","",IFERROR(IF(INDEX(offices!$U$2:$U$61,MATCH($B21,offices!$A$2:$A$61,0))="","",INDEX(offices!$U$2:$U$61,MATCH($B21,offices!$A$2:$A$61,0))),""))</f>
        <v/>
      </c>
      <c r="W21" s="30" t="str">
        <f aca="false">IF($B21="","",IFERROR(IF(INDEX(offices!$AI$2:$AI$61,MATCH($B21,offices!$A$2:$A$61,0))="","",INDEX(offices!$AI$2:$AI$61,MATCH($B21,offices!$A$2:$A$61,0))),""))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Z$2:$Z$61,MATCH($B21,offices!$A$2:$A$61,0))="","",INDEX(offices!$Z$2:$Z$61,MATCH($B21,offices!$A$2:$A$61,0))),"")="yes",IFERROR(IF(INDEX(offices!$Z$2:$Z$61,MATCH($B21,offices!$A$2:$A$61,0))="","",INDEX(offices!$Z$2:$Z$61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","")&amp;IF(AND($U21="front desk",$X21&lt;&gt;"Y"),"info: front desk not agreed: the owner must take it; ",""))</f>
        <v/>
      </c>
    </row>
    <row r="22" customFormat="false" ht="15" hidden="false" customHeight="false" outlineLevel="0" collapsed="false">
      <c r="D22" s="38"/>
      <c r="E22" s="11"/>
      <c r="F22" s="11"/>
      <c r="G22" s="11"/>
      <c r="I22" s="38"/>
      <c r="J22" s="38"/>
      <c r="K22" s="10"/>
      <c r="L22" s="10"/>
      <c r="N22" s="11"/>
      <c r="P22" s="31" t="str">
        <f aca="false">IF($A22="","",IF(IFERROR(IF(INDEX(drops!$I$2:$I$21,MATCH($A22,drops!$A$2:$A$21,0))="","",INDEX(drops!$I$2:$I$21,MATCH($A22,drops!$A$2:$A$21,0))),"")="OK",IFERROR(IF(INDEX(drops!$B$2:$B$21,MATCH($A22,drops!$A$2:$A$21,0))="","",INDEX(drops!$B$2:$B$21,MATCH($A22,drops!$A$2:$A$21,0))),""),""))</f>
        <v/>
      </c>
      <c r="Q22" s="30" t="str">
        <f aca="false">IF($B22="","",IFERROR(IF(INDEX(offices!$N$2:$N$61,MATCH($B22,offices!$A$2:$A$61,0))="","",INDEX(offices!$N$2:$N$61,MATCH($B22,offices!$A$2:$A$61,0))),""))</f>
        <v/>
      </c>
      <c r="R22" s="30" t="str">
        <f aca="false">IF($B22="","",IFERROR(IF(INDEX(offices!$O$2:$O$61,MATCH($B22,offices!$A$2:$A$61,0))="","",INDEX(offices!$O$2:$O$61,MATCH($B22,offices!$A$2:$A$61,0))),""))</f>
        <v/>
      </c>
      <c r="S22" s="30" t="str">
        <f aca="false">IF($B22="","",IFERROR(IF(INDEX(offices!$P$2:$P$61,MATCH($B22,offices!$A$2:$A$61,0))="","",INDEX(offices!$P$2:$P$61,MATCH($B22,offices!$A$2:$A$61,0))),""))</f>
        <v/>
      </c>
      <c r="T22" s="30" t="str">
        <f aca="false">IF($B22="","",IFERROR(IF(INDEX(offices!$Y$2:$Y$61,MATCH($B22,offices!$A$2:$A$61,0))="","",INDEX(offices!$Y$2:$Y$61,MATCH($B22,offices!$A$2:$A$61,0))),""))</f>
        <v/>
      </c>
      <c r="U22" s="30" t="str">
        <f aca="false">IF($B22="","",IFERROR(IF(INDEX(offices!$X$2:$X$61,MATCH($B22,offices!$A$2:$A$61,0))="","",INDEX(offices!$X$2:$X$61,MATCH($B22,offices!$A$2:$A$61,0))),""))</f>
        <v/>
      </c>
      <c r="V22" s="30" t="str">
        <f aca="false">IF($B22="","",IFERROR(IF(INDEX(offices!$U$2:$U$61,MATCH($B22,offices!$A$2:$A$61,0))="","",INDEX(offices!$U$2:$U$61,MATCH($B22,offices!$A$2:$A$61,0))),""))</f>
        <v/>
      </c>
      <c r="W22" s="30" t="str">
        <f aca="false">IF($B22="","",IFERROR(IF(INDEX(offices!$AI$2:$AI$61,MATCH($B22,offices!$A$2:$A$61,0))="","",INDEX(offices!$AI$2:$AI$61,MATCH($B22,offices!$A$2:$A$61,0))),""))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Z$2:$Z$61,MATCH($B22,offices!$A$2:$A$61,0))="","",INDEX(offices!$Z$2:$Z$61,MATCH($B22,offices!$A$2:$A$61,0))),"")="yes",IFERROR(IF(INDEX(offices!$Z$2:$Z$61,MATCH($B22,offices!$A$2:$A$61,0))="","",INDEX(offices!$Z$2:$Z$61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","")&amp;IF(AND($U22="front desk",$X22&lt;&gt;"Y"),"info: front desk not agreed: the owner must take it; ",""))</f>
        <v/>
      </c>
    </row>
    <row r="23" customFormat="false" ht="15" hidden="false" customHeight="false" outlineLevel="0" collapsed="false">
      <c r="D23" s="38"/>
      <c r="E23" s="11"/>
      <c r="F23" s="11"/>
      <c r="G23" s="11"/>
      <c r="I23" s="38"/>
      <c r="J23" s="38"/>
      <c r="K23" s="10"/>
      <c r="L23" s="10"/>
      <c r="N23" s="11"/>
      <c r="P23" s="31" t="str">
        <f aca="false">IF($A23="","",IF(IFERROR(IF(INDEX(drops!$I$2:$I$21,MATCH($A23,drops!$A$2:$A$21,0))="","",INDEX(drops!$I$2:$I$21,MATCH($A23,drops!$A$2:$A$21,0))),"")="OK",IFERROR(IF(INDEX(drops!$B$2:$B$21,MATCH($A23,drops!$A$2:$A$21,0))="","",INDEX(drops!$B$2:$B$21,MATCH($A23,drops!$A$2:$A$21,0))),""),""))</f>
        <v/>
      </c>
      <c r="Q23" s="30" t="str">
        <f aca="false">IF($B23="","",IFERROR(IF(INDEX(offices!$N$2:$N$61,MATCH($B23,offices!$A$2:$A$61,0))="","",INDEX(offices!$N$2:$N$61,MATCH($B23,offices!$A$2:$A$61,0))),""))</f>
        <v/>
      </c>
      <c r="R23" s="30" t="str">
        <f aca="false">IF($B23="","",IFERROR(IF(INDEX(offices!$O$2:$O$61,MATCH($B23,offices!$A$2:$A$61,0))="","",INDEX(offices!$O$2:$O$61,MATCH($B23,offices!$A$2:$A$61,0))),""))</f>
        <v/>
      </c>
      <c r="S23" s="30" t="str">
        <f aca="false">IF($B23="","",IFERROR(IF(INDEX(offices!$P$2:$P$61,MATCH($B23,offices!$A$2:$A$61,0))="","",INDEX(offices!$P$2:$P$61,MATCH($B23,offices!$A$2:$A$61,0))),""))</f>
        <v/>
      </c>
      <c r="T23" s="30" t="str">
        <f aca="false">IF($B23="","",IFERROR(IF(INDEX(offices!$Y$2:$Y$61,MATCH($B23,offices!$A$2:$A$61,0))="","",INDEX(offices!$Y$2:$Y$61,MATCH($B23,offices!$A$2:$A$61,0))),""))</f>
        <v/>
      </c>
      <c r="U23" s="30" t="str">
        <f aca="false">IF($B23="","",IFERROR(IF(INDEX(offices!$X$2:$X$61,MATCH($B23,offices!$A$2:$A$61,0))="","",INDEX(offices!$X$2:$X$61,MATCH($B23,offices!$A$2:$A$61,0))),""))</f>
        <v/>
      </c>
      <c r="V23" s="30" t="str">
        <f aca="false">IF($B23="","",IFERROR(IF(INDEX(offices!$U$2:$U$61,MATCH($B23,offices!$A$2:$A$61,0))="","",INDEX(offices!$U$2:$U$61,MATCH($B23,offices!$A$2:$A$61,0))),""))</f>
        <v/>
      </c>
      <c r="W23" s="30" t="str">
        <f aca="false">IF($B23="","",IFERROR(IF(INDEX(offices!$AI$2:$AI$61,MATCH($B23,offices!$A$2:$A$61,0))="","",INDEX(offices!$AI$2:$AI$61,MATCH($B23,offices!$A$2:$A$61,0))),""))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Z$2:$Z$61,MATCH($B23,offices!$A$2:$A$61,0))="","",INDEX(offices!$Z$2:$Z$61,MATCH($B23,offices!$A$2:$A$61,0))),"")="yes",IFERROR(IF(INDEX(offices!$Z$2:$Z$61,MATCH($B23,offices!$A$2:$A$61,0))="","",INDEX(offices!$Z$2:$Z$61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","")&amp;IF(AND($U23="front desk",$X23&lt;&gt;"Y"),"info: front desk not agreed: the owner must take it; ",""))</f>
        <v/>
      </c>
    </row>
    <row r="24" customFormat="false" ht="15" hidden="false" customHeight="false" outlineLevel="0" collapsed="false">
      <c r="D24" s="38"/>
      <c r="E24" s="11"/>
      <c r="F24" s="11"/>
      <c r="G24" s="11"/>
      <c r="I24" s="38"/>
      <c r="J24" s="38"/>
      <c r="K24" s="10"/>
      <c r="L24" s="10"/>
      <c r="N24" s="11"/>
      <c r="P24" s="31" t="str">
        <f aca="false">IF($A24="","",IF(IFERROR(IF(INDEX(drops!$I$2:$I$21,MATCH($A24,drops!$A$2:$A$21,0))="","",INDEX(drops!$I$2:$I$21,MATCH($A24,drops!$A$2:$A$21,0))),"")="OK",IFERROR(IF(INDEX(drops!$B$2:$B$21,MATCH($A24,drops!$A$2:$A$21,0))="","",INDEX(drops!$B$2:$B$21,MATCH($A24,drops!$A$2:$A$21,0))),""),""))</f>
        <v/>
      </c>
      <c r="Q24" s="30" t="str">
        <f aca="false">IF($B24="","",IFERROR(IF(INDEX(offices!$N$2:$N$61,MATCH($B24,offices!$A$2:$A$61,0))="","",INDEX(offices!$N$2:$N$61,MATCH($B24,offices!$A$2:$A$61,0))),""))</f>
        <v/>
      </c>
      <c r="R24" s="30" t="str">
        <f aca="false">IF($B24="","",IFERROR(IF(INDEX(offices!$O$2:$O$61,MATCH($B24,offices!$A$2:$A$61,0))="","",INDEX(offices!$O$2:$O$61,MATCH($B24,offices!$A$2:$A$61,0))),""))</f>
        <v/>
      </c>
      <c r="S24" s="30" t="str">
        <f aca="false">IF($B24="","",IFERROR(IF(INDEX(offices!$P$2:$P$61,MATCH($B24,offices!$A$2:$A$61,0))="","",INDEX(offices!$P$2:$P$61,MATCH($B24,offices!$A$2:$A$61,0))),""))</f>
        <v/>
      </c>
      <c r="T24" s="30" t="str">
        <f aca="false">IF($B24="","",IFERROR(IF(INDEX(offices!$Y$2:$Y$61,MATCH($B24,offices!$A$2:$A$61,0))="","",INDEX(offices!$Y$2:$Y$61,MATCH($B24,offices!$A$2:$A$61,0))),""))</f>
        <v/>
      </c>
      <c r="U24" s="30" t="str">
        <f aca="false">IF($B24="","",IFERROR(IF(INDEX(offices!$X$2:$X$61,MATCH($B24,offices!$A$2:$A$61,0))="","",INDEX(offices!$X$2:$X$61,MATCH($B24,offices!$A$2:$A$61,0))),""))</f>
        <v/>
      </c>
      <c r="V24" s="30" t="str">
        <f aca="false">IF($B24="","",IFERROR(IF(INDEX(offices!$U$2:$U$61,MATCH($B24,offices!$A$2:$A$61,0))="","",INDEX(offices!$U$2:$U$61,MATCH($B24,offices!$A$2:$A$61,0))),""))</f>
        <v/>
      </c>
      <c r="W24" s="30" t="str">
        <f aca="false">IF($B24="","",IFERROR(IF(INDEX(offices!$AI$2:$AI$61,MATCH($B24,offices!$A$2:$A$61,0))="","",INDEX(offices!$AI$2:$AI$61,MATCH($B24,offices!$A$2:$A$61,0))),""))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Z$2:$Z$61,MATCH($B24,offices!$A$2:$A$61,0))="","",INDEX(offices!$Z$2:$Z$61,MATCH($B24,offices!$A$2:$A$61,0))),"")="yes",IFERROR(IF(INDEX(offices!$Z$2:$Z$61,MATCH($B24,offices!$A$2:$A$61,0))="","",INDEX(offices!$Z$2:$Z$61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","")&amp;IF(AND($U24="front desk",$X24&lt;&gt;"Y"),"info: front desk not agreed: the owner must take it; ",""))</f>
        <v/>
      </c>
    </row>
    <row r="25" customFormat="false" ht="15" hidden="false" customHeight="false" outlineLevel="0" collapsed="false">
      <c r="D25" s="38"/>
      <c r="E25" s="11"/>
      <c r="F25" s="11"/>
      <c r="G25" s="11"/>
      <c r="I25" s="38"/>
      <c r="J25" s="38"/>
      <c r="K25" s="10"/>
      <c r="L25" s="10"/>
      <c r="N25" s="11"/>
      <c r="P25" s="31" t="str">
        <f aca="false">IF($A25="","",IF(IFERROR(IF(INDEX(drops!$I$2:$I$21,MATCH($A25,drops!$A$2:$A$21,0))="","",INDEX(drops!$I$2:$I$21,MATCH($A25,drops!$A$2:$A$21,0))),"")="OK",IFERROR(IF(INDEX(drops!$B$2:$B$21,MATCH($A25,drops!$A$2:$A$21,0))="","",INDEX(drops!$B$2:$B$21,MATCH($A25,drops!$A$2:$A$21,0))),""),""))</f>
        <v/>
      </c>
      <c r="Q25" s="30" t="str">
        <f aca="false">IF($B25="","",IFERROR(IF(INDEX(offices!$N$2:$N$61,MATCH($B25,offices!$A$2:$A$61,0))="","",INDEX(offices!$N$2:$N$61,MATCH($B25,offices!$A$2:$A$61,0))),""))</f>
        <v/>
      </c>
      <c r="R25" s="30" t="str">
        <f aca="false">IF($B25="","",IFERROR(IF(INDEX(offices!$O$2:$O$61,MATCH($B25,offices!$A$2:$A$61,0))="","",INDEX(offices!$O$2:$O$61,MATCH($B25,offices!$A$2:$A$61,0))),""))</f>
        <v/>
      </c>
      <c r="S25" s="30" t="str">
        <f aca="false">IF($B25="","",IFERROR(IF(INDEX(offices!$P$2:$P$61,MATCH($B25,offices!$A$2:$A$61,0))="","",INDEX(offices!$P$2:$P$61,MATCH($B25,offices!$A$2:$A$61,0))),""))</f>
        <v/>
      </c>
      <c r="T25" s="30" t="str">
        <f aca="false">IF($B25="","",IFERROR(IF(INDEX(offices!$Y$2:$Y$61,MATCH($B25,offices!$A$2:$A$61,0))="","",INDEX(offices!$Y$2:$Y$61,MATCH($B25,offices!$A$2:$A$61,0))),""))</f>
        <v/>
      </c>
      <c r="U25" s="30" t="str">
        <f aca="false">IF($B25="","",IFERROR(IF(INDEX(offices!$X$2:$X$61,MATCH($B25,offices!$A$2:$A$61,0))="","",INDEX(offices!$X$2:$X$61,MATCH($B25,offices!$A$2:$A$61,0))),""))</f>
        <v/>
      </c>
      <c r="V25" s="30" t="str">
        <f aca="false">IF($B25="","",IFERROR(IF(INDEX(offices!$U$2:$U$61,MATCH($B25,offices!$A$2:$A$61,0))="","",INDEX(offices!$U$2:$U$61,MATCH($B25,offices!$A$2:$A$61,0))),""))</f>
        <v/>
      </c>
      <c r="W25" s="30" t="str">
        <f aca="false">IF($B25="","",IFERROR(IF(INDEX(offices!$AI$2:$AI$61,MATCH($B25,offices!$A$2:$A$61,0))="","",INDEX(offices!$AI$2:$AI$61,MATCH($B25,offices!$A$2:$A$61,0))),""))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Z$2:$Z$61,MATCH($B25,offices!$A$2:$A$61,0))="","",INDEX(offices!$Z$2:$Z$61,MATCH($B25,offices!$A$2:$A$61,0))),"")="yes",IFERROR(IF(INDEX(offices!$Z$2:$Z$61,MATCH($B25,offices!$A$2:$A$61,0))="","",INDEX(offices!$Z$2:$Z$61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","")&amp;IF(AND($U25="front desk",$X25&lt;&gt;"Y"),"info: front desk not agreed: the owner must take it; ",""))</f>
        <v/>
      </c>
    </row>
    <row r="26" customFormat="false" ht="15" hidden="false" customHeight="false" outlineLevel="0" collapsed="false">
      <c r="D26" s="38"/>
      <c r="E26" s="11"/>
      <c r="F26" s="11"/>
      <c r="G26" s="11"/>
      <c r="I26" s="38"/>
      <c r="J26" s="38"/>
      <c r="K26" s="10"/>
      <c r="L26" s="10"/>
      <c r="N26" s="11"/>
      <c r="P26" s="31" t="str">
        <f aca="false">IF($A26="","",IF(IFERROR(IF(INDEX(drops!$I$2:$I$21,MATCH($A26,drops!$A$2:$A$21,0))="","",INDEX(drops!$I$2:$I$21,MATCH($A26,drops!$A$2:$A$21,0))),"")="OK",IFERROR(IF(INDEX(drops!$B$2:$B$21,MATCH($A26,drops!$A$2:$A$21,0))="","",INDEX(drops!$B$2:$B$21,MATCH($A26,drops!$A$2:$A$21,0))),""),""))</f>
        <v/>
      </c>
      <c r="Q26" s="30" t="str">
        <f aca="false">IF($B26="","",IFERROR(IF(INDEX(offices!$N$2:$N$61,MATCH($B26,offices!$A$2:$A$61,0))="","",INDEX(offices!$N$2:$N$61,MATCH($B26,offices!$A$2:$A$61,0))),""))</f>
        <v/>
      </c>
      <c r="R26" s="30" t="str">
        <f aca="false">IF($B26="","",IFERROR(IF(INDEX(offices!$O$2:$O$61,MATCH($B26,offices!$A$2:$A$61,0))="","",INDEX(offices!$O$2:$O$61,MATCH($B26,offices!$A$2:$A$61,0))),""))</f>
        <v/>
      </c>
      <c r="S26" s="30" t="str">
        <f aca="false">IF($B26="","",IFERROR(IF(INDEX(offices!$P$2:$P$61,MATCH($B26,offices!$A$2:$A$61,0))="","",INDEX(offices!$P$2:$P$61,MATCH($B26,offices!$A$2:$A$61,0))),""))</f>
        <v/>
      </c>
      <c r="T26" s="30" t="str">
        <f aca="false">IF($B26="","",IFERROR(IF(INDEX(offices!$Y$2:$Y$61,MATCH($B26,offices!$A$2:$A$61,0))="","",INDEX(offices!$Y$2:$Y$61,MATCH($B26,offices!$A$2:$A$61,0))),""))</f>
        <v/>
      </c>
      <c r="U26" s="30" t="str">
        <f aca="false">IF($B26="","",IFERROR(IF(INDEX(offices!$X$2:$X$61,MATCH($B26,offices!$A$2:$A$61,0))="","",INDEX(offices!$X$2:$X$61,MATCH($B26,offices!$A$2:$A$61,0))),""))</f>
        <v/>
      </c>
      <c r="V26" s="30" t="str">
        <f aca="false">IF($B26="","",IFERROR(IF(INDEX(offices!$U$2:$U$61,MATCH($B26,offices!$A$2:$A$61,0))="","",INDEX(offices!$U$2:$U$61,MATCH($B26,offices!$A$2:$A$61,0))),""))</f>
        <v/>
      </c>
      <c r="W26" s="30" t="str">
        <f aca="false">IF($B26="","",IFERROR(IF(INDEX(offices!$AI$2:$AI$61,MATCH($B26,offices!$A$2:$A$61,0))="","",INDEX(offices!$AI$2:$AI$61,MATCH($B26,offices!$A$2:$A$61,0))),""))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Z$2:$Z$61,MATCH($B26,offices!$A$2:$A$61,0))="","",INDEX(offices!$Z$2:$Z$61,MATCH($B26,offices!$A$2:$A$61,0))),"")="yes",IFERROR(IF(INDEX(offices!$Z$2:$Z$61,MATCH($B26,offices!$A$2:$A$61,0))="","",INDEX(offices!$Z$2:$Z$61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","")&amp;IF(AND($U26="front desk",$X26&lt;&gt;"Y"),"info: front desk not agreed: the owner must take it; ",""))</f>
        <v/>
      </c>
    </row>
    <row r="27" customFormat="false" ht="15" hidden="false" customHeight="false" outlineLevel="0" collapsed="false">
      <c r="D27" s="38"/>
      <c r="E27" s="11"/>
      <c r="F27" s="11"/>
      <c r="G27" s="11"/>
      <c r="I27" s="38"/>
      <c r="J27" s="38"/>
      <c r="K27" s="10"/>
      <c r="L27" s="10"/>
      <c r="N27" s="11"/>
      <c r="P27" s="31" t="str">
        <f aca="false">IF($A27="","",IF(IFERROR(IF(INDEX(drops!$I$2:$I$21,MATCH($A27,drops!$A$2:$A$21,0))="","",INDEX(drops!$I$2:$I$21,MATCH($A27,drops!$A$2:$A$21,0))),"")="OK",IFERROR(IF(INDEX(drops!$B$2:$B$21,MATCH($A27,drops!$A$2:$A$21,0))="","",INDEX(drops!$B$2:$B$21,MATCH($A27,drops!$A$2:$A$21,0))),""),""))</f>
        <v/>
      </c>
      <c r="Q27" s="30" t="str">
        <f aca="false">IF($B27="","",IFERROR(IF(INDEX(offices!$N$2:$N$61,MATCH($B27,offices!$A$2:$A$61,0))="","",INDEX(offices!$N$2:$N$61,MATCH($B27,offices!$A$2:$A$61,0))),""))</f>
        <v/>
      </c>
      <c r="R27" s="30" t="str">
        <f aca="false">IF($B27="","",IFERROR(IF(INDEX(offices!$O$2:$O$61,MATCH($B27,offices!$A$2:$A$61,0))="","",INDEX(offices!$O$2:$O$61,MATCH($B27,offices!$A$2:$A$61,0))),""))</f>
        <v/>
      </c>
      <c r="S27" s="30" t="str">
        <f aca="false">IF($B27="","",IFERROR(IF(INDEX(offices!$P$2:$P$61,MATCH($B27,offices!$A$2:$A$61,0))="","",INDEX(offices!$P$2:$P$61,MATCH($B27,offices!$A$2:$A$61,0))),""))</f>
        <v/>
      </c>
      <c r="T27" s="30" t="str">
        <f aca="false">IF($B27="","",IFERROR(IF(INDEX(offices!$Y$2:$Y$61,MATCH($B27,offices!$A$2:$A$61,0))="","",INDEX(offices!$Y$2:$Y$61,MATCH($B27,offices!$A$2:$A$61,0))),""))</f>
        <v/>
      </c>
      <c r="U27" s="30" t="str">
        <f aca="false">IF($B27="","",IFERROR(IF(INDEX(offices!$X$2:$X$61,MATCH($B27,offices!$A$2:$A$61,0))="","",INDEX(offices!$X$2:$X$61,MATCH($B27,offices!$A$2:$A$61,0))),""))</f>
        <v/>
      </c>
      <c r="V27" s="30" t="str">
        <f aca="false">IF($B27="","",IFERROR(IF(INDEX(offices!$U$2:$U$61,MATCH($B27,offices!$A$2:$A$61,0))="","",INDEX(offices!$U$2:$U$61,MATCH($B27,offices!$A$2:$A$61,0))),""))</f>
        <v/>
      </c>
      <c r="W27" s="30" t="str">
        <f aca="false">IF($B27="","",IFERROR(IF(INDEX(offices!$AI$2:$AI$61,MATCH($B27,offices!$A$2:$A$61,0))="","",INDEX(offices!$AI$2:$AI$61,MATCH($B27,offices!$A$2:$A$61,0))),""))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Z$2:$Z$61,MATCH($B27,offices!$A$2:$A$61,0))="","",INDEX(offices!$Z$2:$Z$61,MATCH($B27,offices!$A$2:$A$61,0))),"")="yes",IFERROR(IF(INDEX(offices!$Z$2:$Z$61,MATCH($B27,offices!$A$2:$A$61,0))="","",INDEX(offices!$Z$2:$Z$61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","")&amp;IF(AND($U27="front desk",$X27&lt;&gt;"Y"),"info: front desk not agreed: the owner must take it; ",""))</f>
        <v/>
      </c>
    </row>
    <row r="28" customFormat="false" ht="15" hidden="false" customHeight="false" outlineLevel="0" collapsed="false">
      <c r="D28" s="38"/>
      <c r="E28" s="11"/>
      <c r="F28" s="11"/>
      <c r="G28" s="11"/>
      <c r="I28" s="38"/>
      <c r="J28" s="38"/>
      <c r="K28" s="10"/>
      <c r="L28" s="10"/>
      <c r="N28" s="11"/>
      <c r="P28" s="31" t="str">
        <f aca="false">IF($A28="","",IF(IFERROR(IF(INDEX(drops!$I$2:$I$21,MATCH($A28,drops!$A$2:$A$21,0))="","",INDEX(drops!$I$2:$I$21,MATCH($A28,drops!$A$2:$A$21,0))),"")="OK",IFERROR(IF(INDEX(drops!$B$2:$B$21,MATCH($A28,drops!$A$2:$A$21,0))="","",INDEX(drops!$B$2:$B$21,MATCH($A28,drops!$A$2:$A$21,0))),""),""))</f>
        <v/>
      </c>
      <c r="Q28" s="30" t="str">
        <f aca="false">IF($B28="","",IFERROR(IF(INDEX(offices!$N$2:$N$61,MATCH($B28,offices!$A$2:$A$61,0))="","",INDEX(offices!$N$2:$N$61,MATCH($B28,offices!$A$2:$A$61,0))),""))</f>
        <v/>
      </c>
      <c r="R28" s="30" t="str">
        <f aca="false">IF($B28="","",IFERROR(IF(INDEX(offices!$O$2:$O$61,MATCH($B28,offices!$A$2:$A$61,0))="","",INDEX(offices!$O$2:$O$61,MATCH($B28,offices!$A$2:$A$61,0))),""))</f>
        <v/>
      </c>
      <c r="S28" s="30" t="str">
        <f aca="false">IF($B28="","",IFERROR(IF(INDEX(offices!$P$2:$P$61,MATCH($B28,offices!$A$2:$A$61,0))="","",INDEX(offices!$P$2:$P$61,MATCH($B28,offices!$A$2:$A$61,0))),""))</f>
        <v/>
      </c>
      <c r="T28" s="30" t="str">
        <f aca="false">IF($B28="","",IFERROR(IF(INDEX(offices!$Y$2:$Y$61,MATCH($B28,offices!$A$2:$A$61,0))="","",INDEX(offices!$Y$2:$Y$61,MATCH($B28,offices!$A$2:$A$61,0))),""))</f>
        <v/>
      </c>
      <c r="U28" s="30" t="str">
        <f aca="false">IF($B28="","",IFERROR(IF(INDEX(offices!$X$2:$X$61,MATCH($B28,offices!$A$2:$A$61,0))="","",INDEX(offices!$X$2:$X$61,MATCH($B28,offices!$A$2:$A$61,0))),""))</f>
        <v/>
      </c>
      <c r="V28" s="30" t="str">
        <f aca="false">IF($B28="","",IFERROR(IF(INDEX(offices!$U$2:$U$61,MATCH($B28,offices!$A$2:$A$61,0))="","",INDEX(offices!$U$2:$U$61,MATCH($B28,offices!$A$2:$A$61,0))),""))</f>
        <v/>
      </c>
      <c r="W28" s="30" t="str">
        <f aca="false">IF($B28="","",IFERROR(IF(INDEX(offices!$AI$2:$AI$61,MATCH($B28,offices!$A$2:$A$61,0))="","",INDEX(offices!$AI$2:$AI$61,MATCH($B28,offices!$A$2:$A$61,0))),""))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Z$2:$Z$61,MATCH($B28,offices!$A$2:$A$61,0))="","",INDEX(offices!$Z$2:$Z$61,MATCH($B28,offices!$A$2:$A$61,0))),"")="yes",IFERROR(IF(INDEX(offices!$Z$2:$Z$61,MATCH($B28,offices!$A$2:$A$61,0))="","",INDEX(offices!$Z$2:$Z$61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","")&amp;IF(AND($U28="front desk",$X28&lt;&gt;"Y"),"info: front desk not agreed: the owner must take it; ",""))</f>
        <v/>
      </c>
    </row>
    <row r="29" customFormat="false" ht="15" hidden="false" customHeight="false" outlineLevel="0" collapsed="false">
      <c r="D29" s="38"/>
      <c r="E29" s="11"/>
      <c r="F29" s="11"/>
      <c r="G29" s="11"/>
      <c r="I29" s="38"/>
      <c r="J29" s="38"/>
      <c r="K29" s="10"/>
      <c r="L29" s="10"/>
      <c r="N29" s="11"/>
      <c r="P29" s="31" t="str">
        <f aca="false">IF($A29="","",IF(IFERROR(IF(INDEX(drops!$I$2:$I$21,MATCH($A29,drops!$A$2:$A$21,0))="","",INDEX(drops!$I$2:$I$21,MATCH($A29,drops!$A$2:$A$21,0))),"")="OK",IFERROR(IF(INDEX(drops!$B$2:$B$21,MATCH($A29,drops!$A$2:$A$21,0))="","",INDEX(drops!$B$2:$B$21,MATCH($A29,drops!$A$2:$A$21,0))),""),""))</f>
        <v/>
      </c>
      <c r="Q29" s="30" t="str">
        <f aca="false">IF($B29="","",IFERROR(IF(INDEX(offices!$N$2:$N$61,MATCH($B29,offices!$A$2:$A$61,0))="","",INDEX(offices!$N$2:$N$61,MATCH($B29,offices!$A$2:$A$61,0))),""))</f>
        <v/>
      </c>
      <c r="R29" s="30" t="str">
        <f aca="false">IF($B29="","",IFERROR(IF(INDEX(offices!$O$2:$O$61,MATCH($B29,offices!$A$2:$A$61,0))="","",INDEX(offices!$O$2:$O$61,MATCH($B29,offices!$A$2:$A$61,0))),""))</f>
        <v/>
      </c>
      <c r="S29" s="30" t="str">
        <f aca="false">IF($B29="","",IFERROR(IF(INDEX(offices!$P$2:$P$61,MATCH($B29,offices!$A$2:$A$61,0))="","",INDEX(offices!$P$2:$P$61,MATCH($B29,offices!$A$2:$A$61,0))),""))</f>
        <v/>
      </c>
      <c r="T29" s="30" t="str">
        <f aca="false">IF($B29="","",IFERROR(IF(INDEX(offices!$Y$2:$Y$61,MATCH($B29,offices!$A$2:$A$61,0))="","",INDEX(offices!$Y$2:$Y$61,MATCH($B29,offices!$A$2:$A$61,0))),""))</f>
        <v/>
      </c>
      <c r="U29" s="30" t="str">
        <f aca="false">IF($B29="","",IFERROR(IF(INDEX(offices!$X$2:$X$61,MATCH($B29,offices!$A$2:$A$61,0))="","",INDEX(offices!$X$2:$X$61,MATCH($B29,offices!$A$2:$A$61,0))),""))</f>
        <v/>
      </c>
      <c r="V29" s="30" t="str">
        <f aca="false">IF($B29="","",IFERROR(IF(INDEX(offices!$U$2:$U$61,MATCH($B29,offices!$A$2:$A$61,0))="","",INDEX(offices!$U$2:$U$61,MATCH($B29,offices!$A$2:$A$61,0))),""))</f>
        <v/>
      </c>
      <c r="W29" s="30" t="str">
        <f aca="false">IF($B29="","",IFERROR(IF(INDEX(offices!$AI$2:$AI$61,MATCH($B29,offices!$A$2:$A$61,0))="","",INDEX(offices!$AI$2:$AI$61,MATCH($B29,offices!$A$2:$A$61,0))),""))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Z$2:$Z$61,MATCH($B29,offices!$A$2:$A$61,0))="","",INDEX(offices!$Z$2:$Z$61,MATCH($B29,offices!$A$2:$A$61,0))),"")="yes",IFERROR(IF(INDEX(offices!$Z$2:$Z$61,MATCH($B29,offices!$A$2:$A$61,0))="","",INDEX(offices!$Z$2:$Z$61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","")&amp;IF(AND($U29="front desk",$X29&lt;&gt;"Y"),"info: front desk not agreed: the owner must take it; ",""))</f>
        <v/>
      </c>
    </row>
    <row r="30" customFormat="false" ht="15" hidden="false" customHeight="false" outlineLevel="0" collapsed="false">
      <c r="D30" s="38"/>
      <c r="E30" s="11"/>
      <c r="F30" s="11"/>
      <c r="G30" s="11"/>
      <c r="I30" s="38"/>
      <c r="J30" s="38"/>
      <c r="K30" s="10"/>
      <c r="L30" s="10"/>
      <c r="N30" s="11"/>
      <c r="P30" s="31" t="str">
        <f aca="false">IF($A30="","",IF(IFERROR(IF(INDEX(drops!$I$2:$I$21,MATCH($A30,drops!$A$2:$A$21,0))="","",INDEX(drops!$I$2:$I$21,MATCH($A30,drops!$A$2:$A$21,0))),"")="OK",IFERROR(IF(INDEX(drops!$B$2:$B$21,MATCH($A30,drops!$A$2:$A$21,0))="","",INDEX(drops!$B$2:$B$21,MATCH($A30,drops!$A$2:$A$21,0))),""),""))</f>
        <v/>
      </c>
      <c r="Q30" s="30" t="str">
        <f aca="false">IF($B30="","",IFERROR(IF(INDEX(offices!$N$2:$N$61,MATCH($B30,offices!$A$2:$A$61,0))="","",INDEX(offices!$N$2:$N$61,MATCH($B30,offices!$A$2:$A$61,0))),""))</f>
        <v/>
      </c>
      <c r="R30" s="30" t="str">
        <f aca="false">IF($B30="","",IFERROR(IF(INDEX(offices!$O$2:$O$61,MATCH($B30,offices!$A$2:$A$61,0))="","",INDEX(offices!$O$2:$O$61,MATCH($B30,offices!$A$2:$A$61,0))),""))</f>
        <v/>
      </c>
      <c r="S30" s="30" t="str">
        <f aca="false">IF($B30="","",IFERROR(IF(INDEX(offices!$P$2:$P$61,MATCH($B30,offices!$A$2:$A$61,0))="","",INDEX(offices!$P$2:$P$61,MATCH($B30,offices!$A$2:$A$61,0))),""))</f>
        <v/>
      </c>
      <c r="T30" s="30" t="str">
        <f aca="false">IF($B30="","",IFERROR(IF(INDEX(offices!$Y$2:$Y$61,MATCH($B30,offices!$A$2:$A$61,0))="","",INDEX(offices!$Y$2:$Y$61,MATCH($B30,offices!$A$2:$A$61,0))),""))</f>
        <v/>
      </c>
      <c r="U30" s="30" t="str">
        <f aca="false">IF($B30="","",IFERROR(IF(INDEX(offices!$X$2:$X$61,MATCH($B30,offices!$A$2:$A$61,0))="","",INDEX(offices!$X$2:$X$61,MATCH($B30,offices!$A$2:$A$61,0))),""))</f>
        <v/>
      </c>
      <c r="V30" s="30" t="str">
        <f aca="false">IF($B30="","",IFERROR(IF(INDEX(offices!$U$2:$U$61,MATCH($B30,offices!$A$2:$A$61,0))="","",INDEX(offices!$U$2:$U$61,MATCH($B30,offices!$A$2:$A$61,0))),""))</f>
        <v/>
      </c>
      <c r="W30" s="30" t="str">
        <f aca="false">IF($B30="","",IFERROR(IF(INDEX(offices!$AI$2:$AI$61,MATCH($B30,offices!$A$2:$A$61,0))="","",INDEX(offices!$AI$2:$AI$61,MATCH($B30,offices!$A$2:$A$61,0))),""))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Z$2:$Z$61,MATCH($B30,offices!$A$2:$A$61,0))="","",INDEX(offices!$Z$2:$Z$61,MATCH($B30,offices!$A$2:$A$61,0))),"")="yes",IFERROR(IF(INDEX(offices!$Z$2:$Z$61,MATCH($B30,offices!$A$2:$A$61,0))="","",INDEX(offices!$Z$2:$Z$61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","")&amp;IF(AND($U30="front desk",$X30&lt;&gt;"Y"),"info: front desk not agreed: the owner must take it; ",""))</f>
        <v/>
      </c>
    </row>
    <row r="31" customFormat="false" ht="15" hidden="false" customHeight="false" outlineLevel="0" collapsed="false">
      <c r="D31" s="38"/>
      <c r="E31" s="11"/>
      <c r="F31" s="11"/>
      <c r="G31" s="11"/>
      <c r="I31" s="38"/>
      <c r="J31" s="38"/>
      <c r="K31" s="10"/>
      <c r="L31" s="10"/>
      <c r="N31" s="11"/>
      <c r="P31" s="31" t="str">
        <f aca="false">IF($A31="","",IF(IFERROR(IF(INDEX(drops!$I$2:$I$21,MATCH($A31,drops!$A$2:$A$21,0))="","",INDEX(drops!$I$2:$I$21,MATCH($A31,drops!$A$2:$A$21,0))),"")="OK",IFERROR(IF(INDEX(drops!$B$2:$B$21,MATCH($A31,drops!$A$2:$A$21,0))="","",INDEX(drops!$B$2:$B$21,MATCH($A31,drops!$A$2:$A$21,0))),""),""))</f>
        <v/>
      </c>
      <c r="Q31" s="30" t="str">
        <f aca="false">IF($B31="","",IFERROR(IF(INDEX(offices!$N$2:$N$61,MATCH($B31,offices!$A$2:$A$61,0))="","",INDEX(offices!$N$2:$N$61,MATCH($B31,offices!$A$2:$A$61,0))),""))</f>
        <v/>
      </c>
      <c r="R31" s="30" t="str">
        <f aca="false">IF($B31="","",IFERROR(IF(INDEX(offices!$O$2:$O$61,MATCH($B31,offices!$A$2:$A$61,0))="","",INDEX(offices!$O$2:$O$61,MATCH($B31,offices!$A$2:$A$61,0))),""))</f>
        <v/>
      </c>
      <c r="S31" s="30" t="str">
        <f aca="false">IF($B31="","",IFERROR(IF(INDEX(offices!$P$2:$P$61,MATCH($B31,offices!$A$2:$A$61,0))="","",INDEX(offices!$P$2:$P$61,MATCH($B31,offices!$A$2:$A$61,0))),""))</f>
        <v/>
      </c>
      <c r="T31" s="30" t="str">
        <f aca="false">IF($B31="","",IFERROR(IF(INDEX(offices!$Y$2:$Y$61,MATCH($B31,offices!$A$2:$A$61,0))="","",INDEX(offices!$Y$2:$Y$61,MATCH($B31,offices!$A$2:$A$61,0))),""))</f>
        <v/>
      </c>
      <c r="U31" s="30" t="str">
        <f aca="false">IF($B31="","",IFERROR(IF(INDEX(offices!$X$2:$X$61,MATCH($B31,offices!$A$2:$A$61,0))="","",INDEX(offices!$X$2:$X$61,MATCH($B31,offices!$A$2:$A$61,0))),""))</f>
        <v/>
      </c>
      <c r="V31" s="30" t="str">
        <f aca="false">IF($B31="","",IFERROR(IF(INDEX(offices!$U$2:$U$61,MATCH($B31,offices!$A$2:$A$61,0))="","",INDEX(offices!$U$2:$U$61,MATCH($B31,offices!$A$2:$A$61,0))),""))</f>
        <v/>
      </c>
      <c r="W31" s="30" t="str">
        <f aca="false">IF($B31="","",IFERROR(IF(INDEX(offices!$AI$2:$AI$61,MATCH($B31,offices!$A$2:$A$61,0))="","",INDEX(offices!$AI$2:$AI$61,MATCH($B31,offices!$A$2:$A$61,0))),""))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Z$2:$Z$61,MATCH($B31,offices!$A$2:$A$61,0))="","",INDEX(offices!$Z$2:$Z$61,MATCH($B31,offices!$A$2:$A$61,0))),"")="yes",IFERROR(IF(INDEX(offices!$Z$2:$Z$61,MATCH($B31,offices!$A$2:$A$61,0))="","",INDEX(offices!$Z$2:$Z$61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","")&amp;IF(AND($U31="front desk",$X31&lt;&gt;"Y"),"info: front desk not agreed: the owner must take it; ",""))</f>
        <v/>
      </c>
    </row>
    <row r="32" customFormat="false" ht="15" hidden="false" customHeight="false" outlineLevel="0" collapsed="false">
      <c r="D32" s="38"/>
      <c r="E32" s="11"/>
      <c r="F32" s="11"/>
      <c r="G32" s="11"/>
      <c r="I32" s="38"/>
      <c r="J32" s="38"/>
      <c r="K32" s="10"/>
      <c r="L32" s="10"/>
      <c r="N32" s="11"/>
      <c r="P32" s="31" t="str">
        <f aca="false">IF($A32="","",IF(IFERROR(IF(INDEX(drops!$I$2:$I$21,MATCH($A32,drops!$A$2:$A$21,0))="","",INDEX(drops!$I$2:$I$21,MATCH($A32,drops!$A$2:$A$21,0))),"")="OK",IFERROR(IF(INDEX(drops!$B$2:$B$21,MATCH($A32,drops!$A$2:$A$21,0))="","",INDEX(drops!$B$2:$B$21,MATCH($A32,drops!$A$2:$A$21,0))),""),""))</f>
        <v/>
      </c>
      <c r="Q32" s="30" t="str">
        <f aca="false">IF($B32="","",IFERROR(IF(INDEX(offices!$N$2:$N$61,MATCH($B32,offices!$A$2:$A$61,0))="","",INDEX(offices!$N$2:$N$61,MATCH($B32,offices!$A$2:$A$61,0))),""))</f>
        <v/>
      </c>
      <c r="R32" s="30" t="str">
        <f aca="false">IF($B32="","",IFERROR(IF(INDEX(offices!$O$2:$O$61,MATCH($B32,offices!$A$2:$A$61,0))="","",INDEX(offices!$O$2:$O$61,MATCH($B32,offices!$A$2:$A$61,0))),""))</f>
        <v/>
      </c>
      <c r="S32" s="30" t="str">
        <f aca="false">IF($B32="","",IFERROR(IF(INDEX(offices!$P$2:$P$61,MATCH($B32,offices!$A$2:$A$61,0))="","",INDEX(offices!$P$2:$P$61,MATCH($B32,offices!$A$2:$A$61,0))),""))</f>
        <v/>
      </c>
      <c r="T32" s="30" t="str">
        <f aca="false">IF($B32="","",IFERROR(IF(INDEX(offices!$Y$2:$Y$61,MATCH($B32,offices!$A$2:$A$61,0))="","",INDEX(offices!$Y$2:$Y$61,MATCH($B32,offices!$A$2:$A$61,0))),""))</f>
        <v/>
      </c>
      <c r="U32" s="30" t="str">
        <f aca="false">IF($B32="","",IFERROR(IF(INDEX(offices!$X$2:$X$61,MATCH($B32,offices!$A$2:$A$61,0))="","",INDEX(offices!$X$2:$X$61,MATCH($B32,offices!$A$2:$A$61,0))),""))</f>
        <v/>
      </c>
      <c r="V32" s="30" t="str">
        <f aca="false">IF($B32="","",IFERROR(IF(INDEX(offices!$U$2:$U$61,MATCH($B32,offices!$A$2:$A$61,0))="","",INDEX(offices!$U$2:$U$61,MATCH($B32,offices!$A$2:$A$61,0))),""))</f>
        <v/>
      </c>
      <c r="W32" s="30" t="str">
        <f aca="false">IF($B32="","",IFERROR(IF(INDEX(offices!$AI$2:$AI$61,MATCH($B32,offices!$A$2:$A$61,0))="","",INDEX(offices!$AI$2:$AI$61,MATCH($B32,offices!$A$2:$A$61,0))),""))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Z$2:$Z$61,MATCH($B32,offices!$A$2:$A$61,0))="","",INDEX(offices!$Z$2:$Z$61,MATCH($B32,offices!$A$2:$A$61,0))),"")="yes",IFERROR(IF(INDEX(offices!$Z$2:$Z$61,MATCH($B32,offices!$A$2:$A$61,0))="","",INDEX(offices!$Z$2:$Z$61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","")&amp;IF(AND($U32="front desk",$X32&lt;&gt;"Y"),"info: front desk not agreed: the owner must take it; ",""))</f>
        <v/>
      </c>
    </row>
    <row r="33" customFormat="false" ht="15" hidden="false" customHeight="false" outlineLevel="0" collapsed="false">
      <c r="D33" s="38"/>
      <c r="E33" s="11"/>
      <c r="F33" s="11"/>
      <c r="G33" s="11"/>
      <c r="I33" s="38"/>
      <c r="J33" s="38"/>
      <c r="K33" s="10"/>
      <c r="L33" s="10"/>
      <c r="N33" s="11"/>
      <c r="P33" s="31" t="str">
        <f aca="false">IF($A33="","",IF(IFERROR(IF(INDEX(drops!$I$2:$I$21,MATCH($A33,drops!$A$2:$A$21,0))="","",INDEX(drops!$I$2:$I$21,MATCH($A33,drops!$A$2:$A$21,0))),"")="OK",IFERROR(IF(INDEX(drops!$B$2:$B$21,MATCH($A33,drops!$A$2:$A$21,0))="","",INDEX(drops!$B$2:$B$21,MATCH($A33,drops!$A$2:$A$21,0))),""),""))</f>
        <v/>
      </c>
      <c r="Q33" s="30" t="str">
        <f aca="false">IF($B33="","",IFERROR(IF(INDEX(offices!$N$2:$N$61,MATCH($B33,offices!$A$2:$A$61,0))="","",INDEX(offices!$N$2:$N$61,MATCH($B33,offices!$A$2:$A$61,0))),""))</f>
        <v/>
      </c>
      <c r="R33" s="30" t="str">
        <f aca="false">IF($B33="","",IFERROR(IF(INDEX(offices!$O$2:$O$61,MATCH($B33,offices!$A$2:$A$61,0))="","",INDEX(offices!$O$2:$O$61,MATCH($B33,offices!$A$2:$A$61,0))),""))</f>
        <v/>
      </c>
      <c r="S33" s="30" t="str">
        <f aca="false">IF($B33="","",IFERROR(IF(INDEX(offices!$P$2:$P$61,MATCH($B33,offices!$A$2:$A$61,0))="","",INDEX(offices!$P$2:$P$61,MATCH($B33,offices!$A$2:$A$61,0))),""))</f>
        <v/>
      </c>
      <c r="T33" s="30" t="str">
        <f aca="false">IF($B33="","",IFERROR(IF(INDEX(offices!$Y$2:$Y$61,MATCH($B33,offices!$A$2:$A$61,0))="","",INDEX(offices!$Y$2:$Y$61,MATCH($B33,offices!$A$2:$A$61,0))),""))</f>
        <v/>
      </c>
      <c r="U33" s="30" t="str">
        <f aca="false">IF($B33="","",IFERROR(IF(INDEX(offices!$X$2:$X$61,MATCH($B33,offices!$A$2:$A$61,0))="","",INDEX(offices!$X$2:$X$61,MATCH($B33,offices!$A$2:$A$61,0))),""))</f>
        <v/>
      </c>
      <c r="V33" s="30" t="str">
        <f aca="false">IF($B33="","",IFERROR(IF(INDEX(offices!$U$2:$U$61,MATCH($B33,offices!$A$2:$A$61,0))="","",INDEX(offices!$U$2:$U$61,MATCH($B33,offices!$A$2:$A$61,0))),""))</f>
        <v/>
      </c>
      <c r="W33" s="30" t="str">
        <f aca="false">IF($B33="","",IFERROR(IF(INDEX(offices!$AI$2:$AI$61,MATCH($B33,offices!$A$2:$A$61,0))="","",INDEX(offices!$AI$2:$AI$61,MATCH($B33,offices!$A$2:$A$61,0))),""))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Z$2:$Z$61,MATCH($B33,offices!$A$2:$A$61,0))="","",INDEX(offices!$Z$2:$Z$61,MATCH($B33,offices!$A$2:$A$61,0))),"")="yes",IFERROR(IF(INDEX(offices!$Z$2:$Z$61,MATCH($B33,offices!$A$2:$A$61,0))="","",INDEX(offices!$Z$2:$Z$61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","")&amp;IF(AND($U33="front desk",$X33&lt;&gt;"Y"),"info: front desk not agreed: the owner must take it; ",""))</f>
        <v/>
      </c>
    </row>
    <row r="34" customFormat="false" ht="15" hidden="false" customHeight="false" outlineLevel="0" collapsed="false">
      <c r="D34" s="38"/>
      <c r="E34" s="11"/>
      <c r="F34" s="11"/>
      <c r="G34" s="11"/>
      <c r="I34" s="38"/>
      <c r="J34" s="38"/>
      <c r="K34" s="10"/>
      <c r="L34" s="10"/>
      <c r="N34" s="11"/>
      <c r="P34" s="31" t="str">
        <f aca="false">IF($A34="","",IF(IFERROR(IF(INDEX(drops!$I$2:$I$21,MATCH($A34,drops!$A$2:$A$21,0))="","",INDEX(drops!$I$2:$I$21,MATCH($A34,drops!$A$2:$A$21,0))),"")="OK",IFERROR(IF(INDEX(drops!$B$2:$B$21,MATCH($A34,drops!$A$2:$A$21,0))="","",INDEX(drops!$B$2:$B$21,MATCH($A34,drops!$A$2:$A$21,0))),""),""))</f>
        <v/>
      </c>
      <c r="Q34" s="30" t="str">
        <f aca="false">IF($B34="","",IFERROR(IF(INDEX(offices!$N$2:$N$61,MATCH($B34,offices!$A$2:$A$61,0))="","",INDEX(offices!$N$2:$N$61,MATCH($B34,offices!$A$2:$A$61,0))),""))</f>
        <v/>
      </c>
      <c r="R34" s="30" t="str">
        <f aca="false">IF($B34="","",IFERROR(IF(INDEX(offices!$O$2:$O$61,MATCH($B34,offices!$A$2:$A$61,0))="","",INDEX(offices!$O$2:$O$61,MATCH($B34,offices!$A$2:$A$61,0))),""))</f>
        <v/>
      </c>
      <c r="S34" s="30" t="str">
        <f aca="false">IF($B34="","",IFERROR(IF(INDEX(offices!$P$2:$P$61,MATCH($B34,offices!$A$2:$A$61,0))="","",INDEX(offices!$P$2:$P$61,MATCH($B34,offices!$A$2:$A$61,0))),""))</f>
        <v/>
      </c>
      <c r="T34" s="30" t="str">
        <f aca="false">IF($B34="","",IFERROR(IF(INDEX(offices!$Y$2:$Y$61,MATCH($B34,offices!$A$2:$A$61,0))="","",INDEX(offices!$Y$2:$Y$61,MATCH($B34,offices!$A$2:$A$61,0))),""))</f>
        <v/>
      </c>
      <c r="U34" s="30" t="str">
        <f aca="false">IF($B34="","",IFERROR(IF(INDEX(offices!$X$2:$X$61,MATCH($B34,offices!$A$2:$A$61,0))="","",INDEX(offices!$X$2:$X$61,MATCH($B34,offices!$A$2:$A$61,0))),""))</f>
        <v/>
      </c>
      <c r="V34" s="30" t="str">
        <f aca="false">IF($B34="","",IFERROR(IF(INDEX(offices!$U$2:$U$61,MATCH($B34,offices!$A$2:$A$61,0))="","",INDEX(offices!$U$2:$U$61,MATCH($B34,offices!$A$2:$A$61,0))),""))</f>
        <v/>
      </c>
      <c r="W34" s="30" t="str">
        <f aca="false">IF($B34="","",IFERROR(IF(INDEX(offices!$AI$2:$AI$61,MATCH($B34,offices!$A$2:$A$61,0))="","",INDEX(offices!$AI$2:$AI$61,MATCH($B34,offices!$A$2:$A$61,0))),""))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Z$2:$Z$61,MATCH($B34,offices!$A$2:$A$61,0))="","",INDEX(offices!$Z$2:$Z$61,MATCH($B34,offices!$A$2:$A$61,0))),"")="yes",IFERROR(IF(INDEX(offices!$Z$2:$Z$61,MATCH($B34,offices!$A$2:$A$61,0))="","",INDEX(offices!$Z$2:$Z$61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","")&amp;IF(AND($U34="front desk",$X34&lt;&gt;"Y"),"info: front desk not agreed: the owner must take it; ",""))</f>
        <v/>
      </c>
    </row>
    <row r="35" customFormat="false" ht="15" hidden="false" customHeight="false" outlineLevel="0" collapsed="false">
      <c r="D35" s="38"/>
      <c r="E35" s="11"/>
      <c r="F35" s="11"/>
      <c r="G35" s="11"/>
      <c r="I35" s="38"/>
      <c r="J35" s="38"/>
      <c r="K35" s="10"/>
      <c r="L35" s="10"/>
      <c r="N35" s="11"/>
      <c r="P35" s="31" t="str">
        <f aca="false">IF($A35="","",IF(IFERROR(IF(INDEX(drops!$I$2:$I$21,MATCH($A35,drops!$A$2:$A$21,0))="","",INDEX(drops!$I$2:$I$21,MATCH($A35,drops!$A$2:$A$21,0))),"")="OK",IFERROR(IF(INDEX(drops!$B$2:$B$21,MATCH($A35,drops!$A$2:$A$21,0))="","",INDEX(drops!$B$2:$B$21,MATCH($A35,drops!$A$2:$A$21,0))),""),""))</f>
        <v/>
      </c>
      <c r="Q35" s="30" t="str">
        <f aca="false">IF($B35="","",IFERROR(IF(INDEX(offices!$N$2:$N$61,MATCH($B35,offices!$A$2:$A$61,0))="","",INDEX(offices!$N$2:$N$61,MATCH($B35,offices!$A$2:$A$61,0))),""))</f>
        <v/>
      </c>
      <c r="R35" s="30" t="str">
        <f aca="false">IF($B35="","",IFERROR(IF(INDEX(offices!$O$2:$O$61,MATCH($B35,offices!$A$2:$A$61,0))="","",INDEX(offices!$O$2:$O$61,MATCH($B35,offices!$A$2:$A$61,0))),""))</f>
        <v/>
      </c>
      <c r="S35" s="30" t="str">
        <f aca="false">IF($B35="","",IFERROR(IF(INDEX(offices!$P$2:$P$61,MATCH($B35,offices!$A$2:$A$61,0))="","",INDEX(offices!$P$2:$P$61,MATCH($B35,offices!$A$2:$A$61,0))),""))</f>
        <v/>
      </c>
      <c r="T35" s="30" t="str">
        <f aca="false">IF($B35="","",IFERROR(IF(INDEX(offices!$Y$2:$Y$61,MATCH($B35,offices!$A$2:$A$61,0))="","",INDEX(offices!$Y$2:$Y$61,MATCH($B35,offices!$A$2:$A$61,0))),""))</f>
        <v/>
      </c>
      <c r="U35" s="30" t="str">
        <f aca="false">IF($B35="","",IFERROR(IF(INDEX(offices!$X$2:$X$61,MATCH($B35,offices!$A$2:$A$61,0))="","",INDEX(offices!$X$2:$X$61,MATCH($B35,offices!$A$2:$A$61,0))),""))</f>
        <v/>
      </c>
      <c r="V35" s="30" t="str">
        <f aca="false">IF($B35="","",IFERROR(IF(INDEX(offices!$U$2:$U$61,MATCH($B35,offices!$A$2:$A$61,0))="","",INDEX(offices!$U$2:$U$61,MATCH($B35,offices!$A$2:$A$61,0))),""))</f>
        <v/>
      </c>
      <c r="W35" s="30" t="str">
        <f aca="false">IF($B35="","",IFERROR(IF(INDEX(offices!$AI$2:$AI$61,MATCH($B35,offices!$A$2:$A$61,0))="","",INDEX(offices!$AI$2:$AI$61,MATCH($B35,offices!$A$2:$A$61,0))),""))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Z$2:$Z$61,MATCH($B35,offices!$A$2:$A$61,0))="","",INDEX(offices!$Z$2:$Z$61,MATCH($B35,offices!$A$2:$A$61,0))),"")="yes",IFERROR(IF(INDEX(offices!$Z$2:$Z$61,MATCH($B35,offices!$A$2:$A$61,0))="","",INDEX(offices!$Z$2:$Z$61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","")&amp;IF(AND($U35="front desk",$X35&lt;&gt;"Y"),"info: front desk not agreed: the owner must take it; ",""))</f>
        <v/>
      </c>
    </row>
    <row r="36" customFormat="false" ht="15" hidden="false" customHeight="false" outlineLevel="0" collapsed="false">
      <c r="D36" s="38"/>
      <c r="E36" s="11"/>
      <c r="F36" s="11"/>
      <c r="G36" s="11"/>
      <c r="I36" s="38"/>
      <c r="J36" s="38"/>
      <c r="K36" s="10"/>
      <c r="L36" s="10"/>
      <c r="N36" s="11"/>
      <c r="P36" s="31" t="str">
        <f aca="false">IF($A36="","",IF(IFERROR(IF(INDEX(drops!$I$2:$I$21,MATCH($A36,drops!$A$2:$A$21,0))="","",INDEX(drops!$I$2:$I$21,MATCH($A36,drops!$A$2:$A$21,0))),"")="OK",IFERROR(IF(INDEX(drops!$B$2:$B$21,MATCH($A36,drops!$A$2:$A$21,0))="","",INDEX(drops!$B$2:$B$21,MATCH($A36,drops!$A$2:$A$21,0))),""),""))</f>
        <v/>
      </c>
      <c r="Q36" s="30" t="str">
        <f aca="false">IF($B36="","",IFERROR(IF(INDEX(offices!$N$2:$N$61,MATCH($B36,offices!$A$2:$A$61,0))="","",INDEX(offices!$N$2:$N$61,MATCH($B36,offices!$A$2:$A$61,0))),""))</f>
        <v/>
      </c>
      <c r="R36" s="30" t="str">
        <f aca="false">IF($B36="","",IFERROR(IF(INDEX(offices!$O$2:$O$61,MATCH($B36,offices!$A$2:$A$61,0))="","",INDEX(offices!$O$2:$O$61,MATCH($B36,offices!$A$2:$A$61,0))),""))</f>
        <v/>
      </c>
      <c r="S36" s="30" t="str">
        <f aca="false">IF($B36="","",IFERROR(IF(INDEX(offices!$P$2:$P$61,MATCH($B36,offices!$A$2:$A$61,0))="","",INDEX(offices!$P$2:$P$61,MATCH($B36,offices!$A$2:$A$61,0))),""))</f>
        <v/>
      </c>
      <c r="T36" s="30" t="str">
        <f aca="false">IF($B36="","",IFERROR(IF(INDEX(offices!$Y$2:$Y$61,MATCH($B36,offices!$A$2:$A$61,0))="","",INDEX(offices!$Y$2:$Y$61,MATCH($B36,offices!$A$2:$A$61,0))),""))</f>
        <v/>
      </c>
      <c r="U36" s="30" t="str">
        <f aca="false">IF($B36="","",IFERROR(IF(INDEX(offices!$X$2:$X$61,MATCH($B36,offices!$A$2:$A$61,0))="","",INDEX(offices!$X$2:$X$61,MATCH($B36,offices!$A$2:$A$61,0))),""))</f>
        <v/>
      </c>
      <c r="V36" s="30" t="str">
        <f aca="false">IF($B36="","",IFERROR(IF(INDEX(offices!$U$2:$U$61,MATCH($B36,offices!$A$2:$A$61,0))="","",INDEX(offices!$U$2:$U$61,MATCH($B36,offices!$A$2:$A$61,0))),""))</f>
        <v/>
      </c>
      <c r="W36" s="30" t="str">
        <f aca="false">IF($B36="","",IFERROR(IF(INDEX(offices!$AI$2:$AI$61,MATCH($B36,offices!$A$2:$A$61,0))="","",INDEX(offices!$AI$2:$AI$61,MATCH($B36,offices!$A$2:$A$61,0))),""))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Z$2:$Z$61,MATCH($B36,offices!$A$2:$A$61,0))="","",INDEX(offices!$Z$2:$Z$61,MATCH($B36,offices!$A$2:$A$61,0))),"")="yes",IFERROR(IF(INDEX(offices!$Z$2:$Z$61,MATCH($B36,offices!$A$2:$A$61,0))="","",INDEX(offices!$Z$2:$Z$61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","")&amp;IF(AND($U36="front desk",$X36&lt;&gt;"Y"),"info: front desk not agreed: the owner must take it; ",""))</f>
        <v/>
      </c>
    </row>
    <row r="37" customFormat="false" ht="15" hidden="false" customHeight="false" outlineLevel="0" collapsed="false">
      <c r="D37" s="38"/>
      <c r="E37" s="11"/>
      <c r="F37" s="11"/>
      <c r="G37" s="11"/>
      <c r="I37" s="38"/>
      <c r="J37" s="38"/>
      <c r="K37" s="10"/>
      <c r="L37" s="10"/>
      <c r="N37" s="11"/>
      <c r="P37" s="31" t="str">
        <f aca="false">IF($A37="","",IF(IFERROR(IF(INDEX(drops!$I$2:$I$21,MATCH($A37,drops!$A$2:$A$21,0))="","",INDEX(drops!$I$2:$I$21,MATCH($A37,drops!$A$2:$A$21,0))),"")="OK",IFERROR(IF(INDEX(drops!$B$2:$B$21,MATCH($A37,drops!$A$2:$A$21,0))="","",INDEX(drops!$B$2:$B$21,MATCH($A37,drops!$A$2:$A$21,0))),""),""))</f>
        <v/>
      </c>
      <c r="Q37" s="30" t="str">
        <f aca="false">IF($B37="","",IFERROR(IF(INDEX(offices!$N$2:$N$61,MATCH($B37,offices!$A$2:$A$61,0))="","",INDEX(offices!$N$2:$N$61,MATCH($B37,offices!$A$2:$A$61,0))),""))</f>
        <v/>
      </c>
      <c r="R37" s="30" t="str">
        <f aca="false">IF($B37="","",IFERROR(IF(INDEX(offices!$O$2:$O$61,MATCH($B37,offices!$A$2:$A$61,0))="","",INDEX(offices!$O$2:$O$61,MATCH($B37,offices!$A$2:$A$61,0))),""))</f>
        <v/>
      </c>
      <c r="S37" s="30" t="str">
        <f aca="false">IF($B37="","",IFERROR(IF(INDEX(offices!$P$2:$P$61,MATCH($B37,offices!$A$2:$A$61,0))="","",INDEX(offices!$P$2:$P$61,MATCH($B37,offices!$A$2:$A$61,0))),""))</f>
        <v/>
      </c>
      <c r="T37" s="30" t="str">
        <f aca="false">IF($B37="","",IFERROR(IF(INDEX(offices!$Y$2:$Y$61,MATCH($B37,offices!$A$2:$A$61,0))="","",INDEX(offices!$Y$2:$Y$61,MATCH($B37,offices!$A$2:$A$61,0))),""))</f>
        <v/>
      </c>
      <c r="U37" s="30" t="str">
        <f aca="false">IF($B37="","",IFERROR(IF(INDEX(offices!$X$2:$X$61,MATCH($B37,offices!$A$2:$A$61,0))="","",INDEX(offices!$X$2:$X$61,MATCH($B37,offices!$A$2:$A$61,0))),""))</f>
        <v/>
      </c>
      <c r="V37" s="30" t="str">
        <f aca="false">IF($B37="","",IFERROR(IF(INDEX(offices!$U$2:$U$61,MATCH($B37,offices!$A$2:$A$61,0))="","",INDEX(offices!$U$2:$U$61,MATCH($B37,offices!$A$2:$A$61,0))),""))</f>
        <v/>
      </c>
      <c r="W37" s="30" t="str">
        <f aca="false">IF($B37="","",IFERROR(IF(INDEX(offices!$AI$2:$AI$61,MATCH($B37,offices!$A$2:$A$61,0))="","",INDEX(offices!$AI$2:$AI$61,MATCH($B37,offices!$A$2:$A$61,0))),""))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Z$2:$Z$61,MATCH($B37,offices!$A$2:$A$61,0))="","",INDEX(offices!$Z$2:$Z$61,MATCH($B37,offices!$A$2:$A$61,0))),"")="yes",IFERROR(IF(INDEX(offices!$Z$2:$Z$61,MATCH($B37,offices!$A$2:$A$61,0))="","",INDEX(offices!$Z$2:$Z$61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","")&amp;IF(AND($U37="front desk",$X37&lt;&gt;"Y"),"info: front desk not agreed: the owner must take it; ",""))</f>
        <v/>
      </c>
    </row>
    <row r="38" customFormat="false" ht="15" hidden="false" customHeight="false" outlineLevel="0" collapsed="false">
      <c r="D38" s="38"/>
      <c r="E38" s="11"/>
      <c r="F38" s="11"/>
      <c r="G38" s="11"/>
      <c r="I38" s="38"/>
      <c r="J38" s="38"/>
      <c r="K38" s="10"/>
      <c r="L38" s="10"/>
      <c r="N38" s="11"/>
      <c r="P38" s="31" t="str">
        <f aca="false">IF($A38="","",IF(IFERROR(IF(INDEX(drops!$I$2:$I$21,MATCH($A38,drops!$A$2:$A$21,0))="","",INDEX(drops!$I$2:$I$21,MATCH($A38,drops!$A$2:$A$21,0))),"")="OK",IFERROR(IF(INDEX(drops!$B$2:$B$21,MATCH($A38,drops!$A$2:$A$21,0))="","",INDEX(drops!$B$2:$B$21,MATCH($A38,drops!$A$2:$A$21,0))),""),""))</f>
        <v/>
      </c>
      <c r="Q38" s="30" t="str">
        <f aca="false">IF($B38="","",IFERROR(IF(INDEX(offices!$N$2:$N$61,MATCH($B38,offices!$A$2:$A$61,0))="","",INDEX(offices!$N$2:$N$61,MATCH($B38,offices!$A$2:$A$61,0))),""))</f>
        <v/>
      </c>
      <c r="R38" s="30" t="str">
        <f aca="false">IF($B38="","",IFERROR(IF(INDEX(offices!$O$2:$O$61,MATCH($B38,offices!$A$2:$A$61,0))="","",INDEX(offices!$O$2:$O$61,MATCH($B38,offices!$A$2:$A$61,0))),""))</f>
        <v/>
      </c>
      <c r="S38" s="30" t="str">
        <f aca="false">IF($B38="","",IFERROR(IF(INDEX(offices!$P$2:$P$61,MATCH($B38,offices!$A$2:$A$61,0))="","",INDEX(offices!$P$2:$P$61,MATCH($B38,offices!$A$2:$A$61,0))),""))</f>
        <v/>
      </c>
      <c r="T38" s="30" t="str">
        <f aca="false">IF($B38="","",IFERROR(IF(INDEX(offices!$Y$2:$Y$61,MATCH($B38,offices!$A$2:$A$61,0))="","",INDEX(offices!$Y$2:$Y$61,MATCH($B38,offices!$A$2:$A$61,0))),""))</f>
        <v/>
      </c>
      <c r="U38" s="30" t="str">
        <f aca="false">IF($B38="","",IFERROR(IF(INDEX(offices!$X$2:$X$61,MATCH($B38,offices!$A$2:$A$61,0))="","",INDEX(offices!$X$2:$X$61,MATCH($B38,offices!$A$2:$A$61,0))),""))</f>
        <v/>
      </c>
      <c r="V38" s="30" t="str">
        <f aca="false">IF($B38="","",IFERROR(IF(INDEX(offices!$U$2:$U$61,MATCH($B38,offices!$A$2:$A$61,0))="","",INDEX(offices!$U$2:$U$61,MATCH($B38,offices!$A$2:$A$61,0))),""))</f>
        <v/>
      </c>
      <c r="W38" s="30" t="str">
        <f aca="false">IF($B38="","",IFERROR(IF(INDEX(offices!$AI$2:$AI$61,MATCH($B38,offices!$A$2:$A$61,0))="","",INDEX(offices!$AI$2:$AI$61,MATCH($B38,offices!$A$2:$A$61,0))),""))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Z$2:$Z$61,MATCH($B38,offices!$A$2:$A$61,0))="","",INDEX(offices!$Z$2:$Z$61,MATCH($B38,offices!$A$2:$A$61,0))),"")="yes",IFERROR(IF(INDEX(offices!$Z$2:$Z$61,MATCH($B38,offices!$A$2:$A$61,0))="","",INDEX(offices!$Z$2:$Z$61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","")&amp;IF(AND($U38="front desk",$X38&lt;&gt;"Y"),"info: front desk not agreed: the owner must take it; ",""))</f>
        <v/>
      </c>
    </row>
    <row r="39" customFormat="false" ht="15" hidden="false" customHeight="false" outlineLevel="0" collapsed="false">
      <c r="D39" s="38"/>
      <c r="E39" s="11"/>
      <c r="F39" s="11"/>
      <c r="G39" s="11"/>
      <c r="I39" s="38"/>
      <c r="J39" s="38"/>
      <c r="K39" s="10"/>
      <c r="L39" s="10"/>
      <c r="N39" s="11"/>
      <c r="P39" s="31" t="str">
        <f aca="false">IF($A39="","",IF(IFERROR(IF(INDEX(drops!$I$2:$I$21,MATCH($A39,drops!$A$2:$A$21,0))="","",INDEX(drops!$I$2:$I$21,MATCH($A39,drops!$A$2:$A$21,0))),"")="OK",IFERROR(IF(INDEX(drops!$B$2:$B$21,MATCH($A39,drops!$A$2:$A$21,0))="","",INDEX(drops!$B$2:$B$21,MATCH($A39,drops!$A$2:$A$21,0))),""),""))</f>
        <v/>
      </c>
      <c r="Q39" s="30" t="str">
        <f aca="false">IF($B39="","",IFERROR(IF(INDEX(offices!$N$2:$N$61,MATCH($B39,offices!$A$2:$A$61,0))="","",INDEX(offices!$N$2:$N$61,MATCH($B39,offices!$A$2:$A$61,0))),""))</f>
        <v/>
      </c>
      <c r="R39" s="30" t="str">
        <f aca="false">IF($B39="","",IFERROR(IF(INDEX(offices!$O$2:$O$61,MATCH($B39,offices!$A$2:$A$61,0))="","",INDEX(offices!$O$2:$O$61,MATCH($B39,offices!$A$2:$A$61,0))),""))</f>
        <v/>
      </c>
      <c r="S39" s="30" t="str">
        <f aca="false">IF($B39="","",IFERROR(IF(INDEX(offices!$P$2:$P$61,MATCH($B39,offices!$A$2:$A$61,0))="","",INDEX(offices!$P$2:$P$61,MATCH($B39,offices!$A$2:$A$61,0))),""))</f>
        <v/>
      </c>
      <c r="T39" s="30" t="str">
        <f aca="false">IF($B39="","",IFERROR(IF(INDEX(offices!$Y$2:$Y$61,MATCH($B39,offices!$A$2:$A$61,0))="","",INDEX(offices!$Y$2:$Y$61,MATCH($B39,offices!$A$2:$A$61,0))),""))</f>
        <v/>
      </c>
      <c r="U39" s="30" t="str">
        <f aca="false">IF($B39="","",IFERROR(IF(INDEX(offices!$X$2:$X$61,MATCH($B39,offices!$A$2:$A$61,0))="","",INDEX(offices!$X$2:$X$61,MATCH($B39,offices!$A$2:$A$61,0))),""))</f>
        <v/>
      </c>
      <c r="V39" s="30" t="str">
        <f aca="false">IF($B39="","",IFERROR(IF(INDEX(offices!$U$2:$U$61,MATCH($B39,offices!$A$2:$A$61,0))="","",INDEX(offices!$U$2:$U$61,MATCH($B39,offices!$A$2:$A$61,0))),""))</f>
        <v/>
      </c>
      <c r="W39" s="30" t="str">
        <f aca="false">IF($B39="","",IFERROR(IF(INDEX(offices!$AI$2:$AI$61,MATCH($B39,offices!$A$2:$A$61,0))="","",INDEX(offices!$AI$2:$AI$61,MATCH($B39,offices!$A$2:$A$61,0))),""))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Z$2:$Z$61,MATCH($B39,offices!$A$2:$A$61,0))="","",INDEX(offices!$Z$2:$Z$61,MATCH($B39,offices!$A$2:$A$61,0))),"")="yes",IFERROR(IF(INDEX(offices!$Z$2:$Z$61,MATCH($B39,offices!$A$2:$A$61,0))="","",INDEX(offices!$Z$2:$Z$61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","")&amp;IF(AND($U39="front desk",$X39&lt;&gt;"Y"),"info: front desk not agreed: the owner must take it; ",""))</f>
        <v/>
      </c>
    </row>
    <row r="40" customFormat="false" ht="15" hidden="false" customHeight="false" outlineLevel="0" collapsed="false">
      <c r="D40" s="38"/>
      <c r="E40" s="11"/>
      <c r="F40" s="11"/>
      <c r="G40" s="11"/>
      <c r="I40" s="38"/>
      <c r="J40" s="38"/>
      <c r="K40" s="10"/>
      <c r="L40" s="10"/>
      <c r="N40" s="11"/>
      <c r="P40" s="31" t="str">
        <f aca="false">IF($A40="","",IF(IFERROR(IF(INDEX(drops!$I$2:$I$21,MATCH($A40,drops!$A$2:$A$21,0))="","",INDEX(drops!$I$2:$I$21,MATCH($A40,drops!$A$2:$A$21,0))),"")="OK",IFERROR(IF(INDEX(drops!$B$2:$B$21,MATCH($A40,drops!$A$2:$A$21,0))="","",INDEX(drops!$B$2:$B$21,MATCH($A40,drops!$A$2:$A$21,0))),""),""))</f>
        <v/>
      </c>
      <c r="Q40" s="30" t="str">
        <f aca="false">IF($B40="","",IFERROR(IF(INDEX(offices!$N$2:$N$61,MATCH($B40,offices!$A$2:$A$61,0))="","",INDEX(offices!$N$2:$N$61,MATCH($B40,offices!$A$2:$A$61,0))),""))</f>
        <v/>
      </c>
      <c r="R40" s="30" t="str">
        <f aca="false">IF($B40="","",IFERROR(IF(INDEX(offices!$O$2:$O$61,MATCH($B40,offices!$A$2:$A$61,0))="","",INDEX(offices!$O$2:$O$61,MATCH($B40,offices!$A$2:$A$61,0))),""))</f>
        <v/>
      </c>
      <c r="S40" s="30" t="str">
        <f aca="false">IF($B40="","",IFERROR(IF(INDEX(offices!$P$2:$P$61,MATCH($B40,offices!$A$2:$A$61,0))="","",INDEX(offices!$P$2:$P$61,MATCH($B40,offices!$A$2:$A$61,0))),""))</f>
        <v/>
      </c>
      <c r="T40" s="30" t="str">
        <f aca="false">IF($B40="","",IFERROR(IF(INDEX(offices!$Y$2:$Y$61,MATCH($B40,offices!$A$2:$A$61,0))="","",INDEX(offices!$Y$2:$Y$61,MATCH($B40,offices!$A$2:$A$61,0))),""))</f>
        <v/>
      </c>
      <c r="U40" s="30" t="str">
        <f aca="false">IF($B40="","",IFERROR(IF(INDEX(offices!$X$2:$X$61,MATCH($B40,offices!$A$2:$A$61,0))="","",INDEX(offices!$X$2:$X$61,MATCH($B40,offices!$A$2:$A$61,0))),""))</f>
        <v/>
      </c>
      <c r="V40" s="30" t="str">
        <f aca="false">IF($B40="","",IFERROR(IF(INDEX(offices!$U$2:$U$61,MATCH($B40,offices!$A$2:$A$61,0))="","",INDEX(offices!$U$2:$U$61,MATCH($B40,offices!$A$2:$A$61,0))),""))</f>
        <v/>
      </c>
      <c r="W40" s="30" t="str">
        <f aca="false">IF($B40="","",IFERROR(IF(INDEX(offices!$AI$2:$AI$61,MATCH($B40,offices!$A$2:$A$61,0))="","",INDEX(offices!$AI$2:$AI$61,MATCH($B40,offices!$A$2:$A$61,0))),""))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Z$2:$Z$61,MATCH($B40,offices!$A$2:$A$61,0))="","",INDEX(offices!$Z$2:$Z$61,MATCH($B40,offices!$A$2:$A$61,0))),"")="yes",IFERROR(IF(INDEX(offices!$Z$2:$Z$61,MATCH($B40,offices!$A$2:$A$61,0))="","",INDEX(offices!$Z$2:$Z$61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","")&amp;IF(AND($U40="front desk",$X40&lt;&gt;"Y"),"info: front desk not agreed: the owner must take it; ",""))</f>
        <v/>
      </c>
    </row>
    <row r="41" customFormat="false" ht="15" hidden="false" customHeight="false" outlineLevel="0" collapsed="false">
      <c r="D41" s="38"/>
      <c r="E41" s="11"/>
      <c r="F41" s="11"/>
      <c r="G41" s="11"/>
      <c r="I41" s="38"/>
      <c r="J41" s="38"/>
      <c r="K41" s="10"/>
      <c r="L41" s="10"/>
      <c r="N41" s="11"/>
      <c r="P41" s="31" t="str">
        <f aca="false">IF($A41="","",IF(IFERROR(IF(INDEX(drops!$I$2:$I$21,MATCH($A41,drops!$A$2:$A$21,0))="","",INDEX(drops!$I$2:$I$21,MATCH($A41,drops!$A$2:$A$21,0))),"")="OK",IFERROR(IF(INDEX(drops!$B$2:$B$21,MATCH($A41,drops!$A$2:$A$21,0))="","",INDEX(drops!$B$2:$B$21,MATCH($A41,drops!$A$2:$A$21,0))),""),""))</f>
        <v/>
      </c>
      <c r="Q41" s="30" t="str">
        <f aca="false">IF($B41="","",IFERROR(IF(INDEX(offices!$N$2:$N$61,MATCH($B41,offices!$A$2:$A$61,0))="","",INDEX(offices!$N$2:$N$61,MATCH($B41,offices!$A$2:$A$61,0))),""))</f>
        <v/>
      </c>
      <c r="R41" s="30" t="str">
        <f aca="false">IF($B41="","",IFERROR(IF(INDEX(offices!$O$2:$O$61,MATCH($B41,offices!$A$2:$A$61,0))="","",INDEX(offices!$O$2:$O$61,MATCH($B41,offices!$A$2:$A$61,0))),""))</f>
        <v/>
      </c>
      <c r="S41" s="30" t="str">
        <f aca="false">IF($B41="","",IFERROR(IF(INDEX(offices!$P$2:$P$61,MATCH($B41,offices!$A$2:$A$61,0))="","",INDEX(offices!$P$2:$P$61,MATCH($B41,offices!$A$2:$A$61,0))),""))</f>
        <v/>
      </c>
      <c r="T41" s="30" t="str">
        <f aca="false">IF($B41="","",IFERROR(IF(INDEX(offices!$Y$2:$Y$61,MATCH($B41,offices!$A$2:$A$61,0))="","",INDEX(offices!$Y$2:$Y$61,MATCH($B41,offices!$A$2:$A$61,0))),""))</f>
        <v/>
      </c>
      <c r="U41" s="30" t="str">
        <f aca="false">IF($B41="","",IFERROR(IF(INDEX(offices!$X$2:$X$61,MATCH($B41,offices!$A$2:$A$61,0))="","",INDEX(offices!$X$2:$X$61,MATCH($B41,offices!$A$2:$A$61,0))),""))</f>
        <v/>
      </c>
      <c r="V41" s="30" t="str">
        <f aca="false">IF($B41="","",IFERROR(IF(INDEX(offices!$U$2:$U$61,MATCH($B41,offices!$A$2:$A$61,0))="","",INDEX(offices!$U$2:$U$61,MATCH($B41,offices!$A$2:$A$61,0))),""))</f>
        <v/>
      </c>
      <c r="W41" s="30" t="str">
        <f aca="false">IF($B41="","",IFERROR(IF(INDEX(offices!$AI$2:$AI$61,MATCH($B41,offices!$A$2:$A$61,0))="","",INDEX(offices!$AI$2:$AI$61,MATCH($B41,offices!$A$2:$A$61,0))),""))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Z$2:$Z$61,MATCH($B41,offices!$A$2:$A$61,0))="","",INDEX(offices!$Z$2:$Z$61,MATCH($B41,offices!$A$2:$A$61,0))),"")="yes",IFERROR(IF(INDEX(offices!$Z$2:$Z$61,MATCH($B41,offices!$A$2:$A$61,0))="","",INDEX(offices!$Z$2:$Z$61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","")&amp;IF(AND($U41="front desk",$X41&lt;&gt;"Y"),"info: front desk not agreed: the owner must take it; ",""))</f>
        <v/>
      </c>
    </row>
    <row r="42" customFormat="false" ht="15" hidden="false" customHeight="false" outlineLevel="0" collapsed="false">
      <c r="D42" s="38"/>
      <c r="E42" s="11"/>
      <c r="F42" s="11"/>
      <c r="G42" s="11"/>
      <c r="I42" s="38"/>
      <c r="J42" s="38"/>
      <c r="K42" s="10"/>
      <c r="L42" s="10"/>
      <c r="N42" s="11"/>
      <c r="P42" s="31" t="str">
        <f aca="false">IF($A42="","",IF(IFERROR(IF(INDEX(drops!$I$2:$I$21,MATCH($A42,drops!$A$2:$A$21,0))="","",INDEX(drops!$I$2:$I$21,MATCH($A42,drops!$A$2:$A$21,0))),"")="OK",IFERROR(IF(INDEX(drops!$B$2:$B$21,MATCH($A42,drops!$A$2:$A$21,0))="","",INDEX(drops!$B$2:$B$21,MATCH($A42,drops!$A$2:$A$21,0))),""),""))</f>
        <v/>
      </c>
      <c r="Q42" s="30" t="str">
        <f aca="false">IF($B42="","",IFERROR(IF(INDEX(offices!$N$2:$N$61,MATCH($B42,offices!$A$2:$A$61,0))="","",INDEX(offices!$N$2:$N$61,MATCH($B42,offices!$A$2:$A$61,0))),""))</f>
        <v/>
      </c>
      <c r="R42" s="30" t="str">
        <f aca="false">IF($B42="","",IFERROR(IF(INDEX(offices!$O$2:$O$61,MATCH($B42,offices!$A$2:$A$61,0))="","",INDEX(offices!$O$2:$O$61,MATCH($B42,offices!$A$2:$A$61,0))),""))</f>
        <v/>
      </c>
      <c r="S42" s="30" t="str">
        <f aca="false">IF($B42="","",IFERROR(IF(INDEX(offices!$P$2:$P$61,MATCH($B42,offices!$A$2:$A$61,0))="","",INDEX(offices!$P$2:$P$61,MATCH($B42,offices!$A$2:$A$61,0))),""))</f>
        <v/>
      </c>
      <c r="T42" s="30" t="str">
        <f aca="false">IF($B42="","",IFERROR(IF(INDEX(offices!$Y$2:$Y$61,MATCH($B42,offices!$A$2:$A$61,0))="","",INDEX(offices!$Y$2:$Y$61,MATCH($B42,offices!$A$2:$A$61,0))),""))</f>
        <v/>
      </c>
      <c r="U42" s="30" t="str">
        <f aca="false">IF($B42="","",IFERROR(IF(INDEX(offices!$X$2:$X$61,MATCH($B42,offices!$A$2:$A$61,0))="","",INDEX(offices!$X$2:$X$61,MATCH($B42,offices!$A$2:$A$61,0))),""))</f>
        <v/>
      </c>
      <c r="V42" s="30" t="str">
        <f aca="false">IF($B42="","",IFERROR(IF(INDEX(offices!$U$2:$U$61,MATCH($B42,offices!$A$2:$A$61,0))="","",INDEX(offices!$U$2:$U$61,MATCH($B42,offices!$A$2:$A$61,0))),""))</f>
        <v/>
      </c>
      <c r="W42" s="30" t="str">
        <f aca="false">IF($B42="","",IFERROR(IF(INDEX(offices!$AI$2:$AI$61,MATCH($B42,offices!$A$2:$A$61,0))="","",INDEX(offices!$AI$2:$AI$61,MATCH($B42,offices!$A$2:$A$61,0))),""))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Z$2:$Z$61,MATCH($B42,offices!$A$2:$A$61,0))="","",INDEX(offices!$Z$2:$Z$61,MATCH($B42,offices!$A$2:$A$61,0))),"")="yes",IFERROR(IF(INDEX(offices!$Z$2:$Z$61,MATCH($B42,offices!$A$2:$A$61,0))="","",INDEX(offices!$Z$2:$Z$61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","")&amp;IF(AND($U42="front desk",$X42&lt;&gt;"Y"),"info: front desk not agreed: the owner must take it; ",""))</f>
        <v/>
      </c>
    </row>
    <row r="43" customFormat="false" ht="15" hidden="false" customHeight="false" outlineLevel="0" collapsed="false">
      <c r="D43" s="38"/>
      <c r="E43" s="11"/>
      <c r="F43" s="11"/>
      <c r="G43" s="11"/>
      <c r="I43" s="38"/>
      <c r="J43" s="38"/>
      <c r="K43" s="10"/>
      <c r="L43" s="10"/>
      <c r="N43" s="11"/>
      <c r="P43" s="31" t="str">
        <f aca="false">IF($A43="","",IF(IFERROR(IF(INDEX(drops!$I$2:$I$21,MATCH($A43,drops!$A$2:$A$21,0))="","",INDEX(drops!$I$2:$I$21,MATCH($A43,drops!$A$2:$A$21,0))),"")="OK",IFERROR(IF(INDEX(drops!$B$2:$B$21,MATCH($A43,drops!$A$2:$A$21,0))="","",INDEX(drops!$B$2:$B$21,MATCH($A43,drops!$A$2:$A$21,0))),""),""))</f>
        <v/>
      </c>
      <c r="Q43" s="30" t="str">
        <f aca="false">IF($B43="","",IFERROR(IF(INDEX(offices!$N$2:$N$61,MATCH($B43,offices!$A$2:$A$61,0))="","",INDEX(offices!$N$2:$N$61,MATCH($B43,offices!$A$2:$A$61,0))),""))</f>
        <v/>
      </c>
      <c r="R43" s="30" t="str">
        <f aca="false">IF($B43="","",IFERROR(IF(INDEX(offices!$O$2:$O$61,MATCH($B43,offices!$A$2:$A$61,0))="","",INDEX(offices!$O$2:$O$61,MATCH($B43,offices!$A$2:$A$61,0))),""))</f>
        <v/>
      </c>
      <c r="S43" s="30" t="str">
        <f aca="false">IF($B43="","",IFERROR(IF(INDEX(offices!$P$2:$P$61,MATCH($B43,offices!$A$2:$A$61,0))="","",INDEX(offices!$P$2:$P$61,MATCH($B43,offices!$A$2:$A$61,0))),""))</f>
        <v/>
      </c>
      <c r="T43" s="30" t="str">
        <f aca="false">IF($B43="","",IFERROR(IF(INDEX(offices!$Y$2:$Y$61,MATCH($B43,offices!$A$2:$A$61,0))="","",INDEX(offices!$Y$2:$Y$61,MATCH($B43,offices!$A$2:$A$61,0))),""))</f>
        <v/>
      </c>
      <c r="U43" s="30" t="str">
        <f aca="false">IF($B43="","",IFERROR(IF(INDEX(offices!$X$2:$X$61,MATCH($B43,offices!$A$2:$A$61,0))="","",INDEX(offices!$X$2:$X$61,MATCH($B43,offices!$A$2:$A$61,0))),""))</f>
        <v/>
      </c>
      <c r="V43" s="30" t="str">
        <f aca="false">IF($B43="","",IFERROR(IF(INDEX(offices!$U$2:$U$61,MATCH($B43,offices!$A$2:$A$61,0))="","",INDEX(offices!$U$2:$U$61,MATCH($B43,offices!$A$2:$A$61,0))),""))</f>
        <v/>
      </c>
      <c r="W43" s="30" t="str">
        <f aca="false">IF($B43="","",IFERROR(IF(INDEX(offices!$AI$2:$AI$61,MATCH($B43,offices!$A$2:$A$61,0))="","",INDEX(offices!$AI$2:$AI$61,MATCH($B43,offices!$A$2:$A$61,0))),""))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Z$2:$Z$61,MATCH($B43,offices!$A$2:$A$61,0))="","",INDEX(offices!$Z$2:$Z$61,MATCH($B43,offices!$A$2:$A$61,0))),"")="yes",IFERROR(IF(INDEX(offices!$Z$2:$Z$61,MATCH($B43,offices!$A$2:$A$61,0))="","",INDEX(offices!$Z$2:$Z$61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","")&amp;IF(AND($U43="front desk",$X43&lt;&gt;"Y"),"info: front desk not agreed: the owner must take it; ",""))</f>
        <v/>
      </c>
    </row>
    <row r="44" customFormat="false" ht="15" hidden="false" customHeight="false" outlineLevel="0" collapsed="false">
      <c r="D44" s="38"/>
      <c r="E44" s="11"/>
      <c r="F44" s="11"/>
      <c r="G44" s="11"/>
      <c r="I44" s="38"/>
      <c r="J44" s="38"/>
      <c r="K44" s="10"/>
      <c r="L44" s="10"/>
      <c r="N44" s="11"/>
      <c r="P44" s="31" t="str">
        <f aca="false">IF($A44="","",IF(IFERROR(IF(INDEX(drops!$I$2:$I$21,MATCH($A44,drops!$A$2:$A$21,0))="","",INDEX(drops!$I$2:$I$21,MATCH($A44,drops!$A$2:$A$21,0))),"")="OK",IFERROR(IF(INDEX(drops!$B$2:$B$21,MATCH($A44,drops!$A$2:$A$21,0))="","",INDEX(drops!$B$2:$B$21,MATCH($A44,drops!$A$2:$A$21,0))),""),""))</f>
        <v/>
      </c>
      <c r="Q44" s="30" t="str">
        <f aca="false">IF($B44="","",IFERROR(IF(INDEX(offices!$N$2:$N$61,MATCH($B44,offices!$A$2:$A$61,0))="","",INDEX(offices!$N$2:$N$61,MATCH($B44,offices!$A$2:$A$61,0))),""))</f>
        <v/>
      </c>
      <c r="R44" s="30" t="str">
        <f aca="false">IF($B44="","",IFERROR(IF(INDEX(offices!$O$2:$O$61,MATCH($B44,offices!$A$2:$A$61,0))="","",INDEX(offices!$O$2:$O$61,MATCH($B44,offices!$A$2:$A$61,0))),""))</f>
        <v/>
      </c>
      <c r="S44" s="30" t="str">
        <f aca="false">IF($B44="","",IFERROR(IF(INDEX(offices!$P$2:$P$61,MATCH($B44,offices!$A$2:$A$61,0))="","",INDEX(offices!$P$2:$P$61,MATCH($B44,offices!$A$2:$A$61,0))),""))</f>
        <v/>
      </c>
      <c r="T44" s="30" t="str">
        <f aca="false">IF($B44="","",IFERROR(IF(INDEX(offices!$Y$2:$Y$61,MATCH($B44,offices!$A$2:$A$61,0))="","",INDEX(offices!$Y$2:$Y$61,MATCH($B44,offices!$A$2:$A$61,0))),""))</f>
        <v/>
      </c>
      <c r="U44" s="30" t="str">
        <f aca="false">IF($B44="","",IFERROR(IF(INDEX(offices!$X$2:$X$61,MATCH($B44,offices!$A$2:$A$61,0))="","",INDEX(offices!$X$2:$X$61,MATCH($B44,offices!$A$2:$A$61,0))),""))</f>
        <v/>
      </c>
      <c r="V44" s="30" t="str">
        <f aca="false">IF($B44="","",IFERROR(IF(INDEX(offices!$U$2:$U$61,MATCH($B44,offices!$A$2:$A$61,0))="","",INDEX(offices!$U$2:$U$61,MATCH($B44,offices!$A$2:$A$61,0))),""))</f>
        <v/>
      </c>
      <c r="W44" s="30" t="str">
        <f aca="false">IF($B44="","",IFERROR(IF(INDEX(offices!$AI$2:$AI$61,MATCH($B44,offices!$A$2:$A$61,0))="","",INDEX(offices!$AI$2:$AI$61,MATCH($B44,offices!$A$2:$A$61,0))),""))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Z$2:$Z$61,MATCH($B44,offices!$A$2:$A$61,0))="","",INDEX(offices!$Z$2:$Z$61,MATCH($B44,offices!$A$2:$A$61,0))),"")="yes",IFERROR(IF(INDEX(offices!$Z$2:$Z$61,MATCH($B44,offices!$A$2:$A$61,0))="","",INDEX(offices!$Z$2:$Z$61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","")&amp;IF(AND($U44="front desk",$X44&lt;&gt;"Y"),"info: front desk not agreed: the owner must take it; ",""))</f>
        <v/>
      </c>
    </row>
    <row r="45" customFormat="false" ht="15" hidden="false" customHeight="false" outlineLevel="0" collapsed="false">
      <c r="D45" s="38"/>
      <c r="E45" s="11"/>
      <c r="F45" s="11"/>
      <c r="G45" s="11"/>
      <c r="I45" s="38"/>
      <c r="J45" s="38"/>
      <c r="K45" s="10"/>
      <c r="L45" s="10"/>
      <c r="N45" s="11"/>
      <c r="P45" s="31" t="str">
        <f aca="false">IF($A45="","",IF(IFERROR(IF(INDEX(drops!$I$2:$I$21,MATCH($A45,drops!$A$2:$A$21,0))="","",INDEX(drops!$I$2:$I$21,MATCH($A45,drops!$A$2:$A$21,0))),"")="OK",IFERROR(IF(INDEX(drops!$B$2:$B$21,MATCH($A45,drops!$A$2:$A$21,0))="","",INDEX(drops!$B$2:$B$21,MATCH($A45,drops!$A$2:$A$21,0))),""),""))</f>
        <v/>
      </c>
      <c r="Q45" s="30" t="str">
        <f aca="false">IF($B45="","",IFERROR(IF(INDEX(offices!$N$2:$N$61,MATCH($B45,offices!$A$2:$A$61,0))="","",INDEX(offices!$N$2:$N$61,MATCH($B45,offices!$A$2:$A$61,0))),""))</f>
        <v/>
      </c>
      <c r="R45" s="30" t="str">
        <f aca="false">IF($B45="","",IFERROR(IF(INDEX(offices!$O$2:$O$61,MATCH($B45,offices!$A$2:$A$61,0))="","",INDEX(offices!$O$2:$O$61,MATCH($B45,offices!$A$2:$A$61,0))),""))</f>
        <v/>
      </c>
      <c r="S45" s="30" t="str">
        <f aca="false">IF($B45="","",IFERROR(IF(INDEX(offices!$P$2:$P$61,MATCH($B45,offices!$A$2:$A$61,0))="","",INDEX(offices!$P$2:$P$61,MATCH($B45,offices!$A$2:$A$61,0))),""))</f>
        <v/>
      </c>
      <c r="T45" s="30" t="str">
        <f aca="false">IF($B45="","",IFERROR(IF(INDEX(offices!$Y$2:$Y$61,MATCH($B45,offices!$A$2:$A$61,0))="","",INDEX(offices!$Y$2:$Y$61,MATCH($B45,offices!$A$2:$A$61,0))),""))</f>
        <v/>
      </c>
      <c r="U45" s="30" t="str">
        <f aca="false">IF($B45="","",IFERROR(IF(INDEX(offices!$X$2:$X$61,MATCH($B45,offices!$A$2:$A$61,0))="","",INDEX(offices!$X$2:$X$61,MATCH($B45,offices!$A$2:$A$61,0))),""))</f>
        <v/>
      </c>
      <c r="V45" s="30" t="str">
        <f aca="false">IF($B45="","",IFERROR(IF(INDEX(offices!$U$2:$U$61,MATCH($B45,offices!$A$2:$A$61,0))="","",INDEX(offices!$U$2:$U$61,MATCH($B45,offices!$A$2:$A$61,0))),""))</f>
        <v/>
      </c>
      <c r="W45" s="30" t="str">
        <f aca="false">IF($B45="","",IFERROR(IF(INDEX(offices!$AI$2:$AI$61,MATCH($B45,offices!$A$2:$A$61,0))="","",INDEX(offices!$AI$2:$AI$61,MATCH($B45,offices!$A$2:$A$61,0))),""))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Z$2:$Z$61,MATCH($B45,offices!$A$2:$A$61,0))="","",INDEX(offices!$Z$2:$Z$61,MATCH($B45,offices!$A$2:$A$61,0))),"")="yes",IFERROR(IF(INDEX(offices!$Z$2:$Z$61,MATCH($B45,offices!$A$2:$A$61,0))="","",INDEX(offices!$Z$2:$Z$61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","")&amp;IF(AND($U45="front desk",$X45&lt;&gt;"Y"),"info: front desk not agreed: the owner must take it; ",""))</f>
        <v/>
      </c>
    </row>
    <row r="46" customFormat="false" ht="15" hidden="false" customHeight="false" outlineLevel="0" collapsed="false">
      <c r="D46" s="38"/>
      <c r="E46" s="11"/>
      <c r="F46" s="11"/>
      <c r="G46" s="11"/>
      <c r="I46" s="38"/>
      <c r="J46" s="38"/>
      <c r="K46" s="10"/>
      <c r="L46" s="10"/>
      <c r="N46" s="11"/>
      <c r="P46" s="31" t="str">
        <f aca="false">IF($A46="","",IF(IFERROR(IF(INDEX(drops!$I$2:$I$21,MATCH($A46,drops!$A$2:$A$21,0))="","",INDEX(drops!$I$2:$I$21,MATCH($A46,drops!$A$2:$A$21,0))),"")="OK",IFERROR(IF(INDEX(drops!$B$2:$B$21,MATCH($A46,drops!$A$2:$A$21,0))="","",INDEX(drops!$B$2:$B$21,MATCH($A46,drops!$A$2:$A$21,0))),""),""))</f>
        <v/>
      </c>
      <c r="Q46" s="30" t="str">
        <f aca="false">IF($B46="","",IFERROR(IF(INDEX(offices!$N$2:$N$61,MATCH($B46,offices!$A$2:$A$61,0))="","",INDEX(offices!$N$2:$N$61,MATCH($B46,offices!$A$2:$A$61,0))),""))</f>
        <v/>
      </c>
      <c r="R46" s="30" t="str">
        <f aca="false">IF($B46="","",IFERROR(IF(INDEX(offices!$O$2:$O$61,MATCH($B46,offices!$A$2:$A$61,0))="","",INDEX(offices!$O$2:$O$61,MATCH($B46,offices!$A$2:$A$61,0))),""))</f>
        <v/>
      </c>
      <c r="S46" s="30" t="str">
        <f aca="false">IF($B46="","",IFERROR(IF(INDEX(offices!$P$2:$P$61,MATCH($B46,offices!$A$2:$A$61,0))="","",INDEX(offices!$P$2:$P$61,MATCH($B46,offices!$A$2:$A$61,0))),""))</f>
        <v/>
      </c>
      <c r="T46" s="30" t="str">
        <f aca="false">IF($B46="","",IFERROR(IF(INDEX(offices!$Y$2:$Y$61,MATCH($B46,offices!$A$2:$A$61,0))="","",INDEX(offices!$Y$2:$Y$61,MATCH($B46,offices!$A$2:$A$61,0))),""))</f>
        <v/>
      </c>
      <c r="U46" s="30" t="str">
        <f aca="false">IF($B46="","",IFERROR(IF(INDEX(offices!$X$2:$X$61,MATCH($B46,offices!$A$2:$A$61,0))="","",INDEX(offices!$X$2:$X$61,MATCH($B46,offices!$A$2:$A$61,0))),""))</f>
        <v/>
      </c>
      <c r="V46" s="30" t="str">
        <f aca="false">IF($B46="","",IFERROR(IF(INDEX(offices!$U$2:$U$61,MATCH($B46,offices!$A$2:$A$61,0))="","",INDEX(offices!$U$2:$U$61,MATCH($B46,offices!$A$2:$A$61,0))),""))</f>
        <v/>
      </c>
      <c r="W46" s="30" t="str">
        <f aca="false">IF($B46="","",IFERROR(IF(INDEX(offices!$AI$2:$AI$61,MATCH($B46,offices!$A$2:$A$61,0))="","",INDEX(offices!$AI$2:$AI$61,MATCH($B46,offices!$A$2:$A$61,0))),""))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Z$2:$Z$61,MATCH($B46,offices!$A$2:$A$61,0))="","",INDEX(offices!$Z$2:$Z$61,MATCH($B46,offices!$A$2:$A$61,0))),"")="yes",IFERROR(IF(INDEX(offices!$Z$2:$Z$61,MATCH($B46,offices!$A$2:$A$61,0))="","",INDEX(offices!$Z$2:$Z$61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","")&amp;IF(AND($U46="front desk",$X46&lt;&gt;"Y"),"info: front desk not agreed: the owner must take it; ",""))</f>
        <v/>
      </c>
    </row>
    <row r="47" customFormat="false" ht="15" hidden="false" customHeight="false" outlineLevel="0" collapsed="false">
      <c r="D47" s="38"/>
      <c r="E47" s="11"/>
      <c r="F47" s="11"/>
      <c r="G47" s="11"/>
      <c r="I47" s="38"/>
      <c r="J47" s="38"/>
      <c r="K47" s="10"/>
      <c r="L47" s="10"/>
      <c r="N47" s="11"/>
      <c r="P47" s="31" t="str">
        <f aca="false">IF($A47="","",IF(IFERROR(IF(INDEX(drops!$I$2:$I$21,MATCH($A47,drops!$A$2:$A$21,0))="","",INDEX(drops!$I$2:$I$21,MATCH($A47,drops!$A$2:$A$21,0))),"")="OK",IFERROR(IF(INDEX(drops!$B$2:$B$21,MATCH($A47,drops!$A$2:$A$21,0))="","",INDEX(drops!$B$2:$B$21,MATCH($A47,drops!$A$2:$A$21,0))),""),""))</f>
        <v/>
      </c>
      <c r="Q47" s="30" t="str">
        <f aca="false">IF($B47="","",IFERROR(IF(INDEX(offices!$N$2:$N$61,MATCH($B47,offices!$A$2:$A$61,0))="","",INDEX(offices!$N$2:$N$61,MATCH($B47,offices!$A$2:$A$61,0))),""))</f>
        <v/>
      </c>
      <c r="R47" s="30" t="str">
        <f aca="false">IF($B47="","",IFERROR(IF(INDEX(offices!$O$2:$O$61,MATCH($B47,offices!$A$2:$A$61,0))="","",INDEX(offices!$O$2:$O$61,MATCH($B47,offices!$A$2:$A$61,0))),""))</f>
        <v/>
      </c>
      <c r="S47" s="30" t="str">
        <f aca="false">IF($B47="","",IFERROR(IF(INDEX(offices!$P$2:$P$61,MATCH($B47,offices!$A$2:$A$61,0))="","",INDEX(offices!$P$2:$P$61,MATCH($B47,offices!$A$2:$A$61,0))),""))</f>
        <v/>
      </c>
      <c r="T47" s="30" t="str">
        <f aca="false">IF($B47="","",IFERROR(IF(INDEX(offices!$Y$2:$Y$61,MATCH($B47,offices!$A$2:$A$61,0))="","",INDEX(offices!$Y$2:$Y$61,MATCH($B47,offices!$A$2:$A$61,0))),""))</f>
        <v/>
      </c>
      <c r="U47" s="30" t="str">
        <f aca="false">IF($B47="","",IFERROR(IF(INDEX(offices!$X$2:$X$61,MATCH($B47,offices!$A$2:$A$61,0))="","",INDEX(offices!$X$2:$X$61,MATCH($B47,offices!$A$2:$A$61,0))),""))</f>
        <v/>
      </c>
      <c r="V47" s="30" t="str">
        <f aca="false">IF($B47="","",IFERROR(IF(INDEX(offices!$U$2:$U$61,MATCH($B47,offices!$A$2:$A$61,0))="","",INDEX(offices!$U$2:$U$61,MATCH($B47,offices!$A$2:$A$61,0))),""))</f>
        <v/>
      </c>
      <c r="W47" s="30" t="str">
        <f aca="false">IF($B47="","",IFERROR(IF(INDEX(offices!$AI$2:$AI$61,MATCH($B47,offices!$A$2:$A$61,0))="","",INDEX(offices!$AI$2:$AI$61,MATCH($B47,offices!$A$2:$A$61,0))),""))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Z$2:$Z$61,MATCH($B47,offices!$A$2:$A$61,0))="","",INDEX(offices!$Z$2:$Z$61,MATCH($B47,offices!$A$2:$A$61,0))),"")="yes",IFERROR(IF(INDEX(offices!$Z$2:$Z$61,MATCH($B47,offices!$A$2:$A$61,0))="","",INDEX(offices!$Z$2:$Z$61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","")&amp;IF(AND($U47="front desk",$X47&lt;&gt;"Y"),"info: front desk not agreed: the owner must take it; ",""))</f>
        <v/>
      </c>
    </row>
    <row r="48" customFormat="false" ht="15" hidden="false" customHeight="false" outlineLevel="0" collapsed="false">
      <c r="D48" s="38"/>
      <c r="E48" s="11"/>
      <c r="F48" s="11"/>
      <c r="G48" s="11"/>
      <c r="I48" s="38"/>
      <c r="J48" s="38"/>
      <c r="K48" s="10"/>
      <c r="L48" s="10"/>
      <c r="N48" s="11"/>
      <c r="P48" s="31" t="str">
        <f aca="false">IF($A48="","",IF(IFERROR(IF(INDEX(drops!$I$2:$I$21,MATCH($A48,drops!$A$2:$A$21,0))="","",INDEX(drops!$I$2:$I$21,MATCH($A48,drops!$A$2:$A$21,0))),"")="OK",IFERROR(IF(INDEX(drops!$B$2:$B$21,MATCH($A48,drops!$A$2:$A$21,0))="","",INDEX(drops!$B$2:$B$21,MATCH($A48,drops!$A$2:$A$21,0))),""),""))</f>
        <v/>
      </c>
      <c r="Q48" s="30" t="str">
        <f aca="false">IF($B48="","",IFERROR(IF(INDEX(offices!$N$2:$N$61,MATCH($B48,offices!$A$2:$A$61,0))="","",INDEX(offices!$N$2:$N$61,MATCH($B48,offices!$A$2:$A$61,0))),""))</f>
        <v/>
      </c>
      <c r="R48" s="30" t="str">
        <f aca="false">IF($B48="","",IFERROR(IF(INDEX(offices!$O$2:$O$61,MATCH($B48,offices!$A$2:$A$61,0))="","",INDEX(offices!$O$2:$O$61,MATCH($B48,offices!$A$2:$A$61,0))),""))</f>
        <v/>
      </c>
      <c r="S48" s="30" t="str">
        <f aca="false">IF($B48="","",IFERROR(IF(INDEX(offices!$P$2:$P$61,MATCH($B48,offices!$A$2:$A$61,0))="","",INDEX(offices!$P$2:$P$61,MATCH($B48,offices!$A$2:$A$61,0))),""))</f>
        <v/>
      </c>
      <c r="T48" s="30" t="str">
        <f aca="false">IF($B48="","",IFERROR(IF(INDEX(offices!$Y$2:$Y$61,MATCH($B48,offices!$A$2:$A$61,0))="","",INDEX(offices!$Y$2:$Y$61,MATCH($B48,offices!$A$2:$A$61,0))),""))</f>
        <v/>
      </c>
      <c r="U48" s="30" t="str">
        <f aca="false">IF($B48="","",IFERROR(IF(INDEX(offices!$X$2:$X$61,MATCH($B48,offices!$A$2:$A$61,0))="","",INDEX(offices!$X$2:$X$61,MATCH($B48,offices!$A$2:$A$61,0))),""))</f>
        <v/>
      </c>
      <c r="V48" s="30" t="str">
        <f aca="false">IF($B48="","",IFERROR(IF(INDEX(offices!$U$2:$U$61,MATCH($B48,offices!$A$2:$A$61,0))="","",INDEX(offices!$U$2:$U$61,MATCH($B48,offices!$A$2:$A$61,0))),""))</f>
        <v/>
      </c>
      <c r="W48" s="30" t="str">
        <f aca="false">IF($B48="","",IFERROR(IF(INDEX(offices!$AI$2:$AI$61,MATCH($B48,offices!$A$2:$A$61,0))="","",INDEX(offices!$AI$2:$AI$61,MATCH($B48,offices!$A$2:$A$61,0))),""))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Z$2:$Z$61,MATCH($B48,offices!$A$2:$A$61,0))="","",INDEX(offices!$Z$2:$Z$61,MATCH($B48,offices!$A$2:$A$61,0))),"")="yes",IFERROR(IF(INDEX(offices!$Z$2:$Z$61,MATCH($B48,offices!$A$2:$A$61,0))="","",INDEX(offices!$Z$2:$Z$61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","")&amp;IF(AND($U48="front desk",$X48&lt;&gt;"Y"),"info: front desk not agreed: the owner must take it; ",""))</f>
        <v/>
      </c>
    </row>
    <row r="49" customFormat="false" ht="15" hidden="false" customHeight="false" outlineLevel="0" collapsed="false">
      <c r="D49" s="38"/>
      <c r="E49" s="11"/>
      <c r="F49" s="11"/>
      <c r="G49" s="11"/>
      <c r="I49" s="38"/>
      <c r="J49" s="38"/>
      <c r="K49" s="10"/>
      <c r="L49" s="10"/>
      <c r="N49" s="11"/>
      <c r="P49" s="31" t="str">
        <f aca="false">IF($A49="","",IF(IFERROR(IF(INDEX(drops!$I$2:$I$21,MATCH($A49,drops!$A$2:$A$21,0))="","",INDEX(drops!$I$2:$I$21,MATCH($A49,drops!$A$2:$A$21,0))),"")="OK",IFERROR(IF(INDEX(drops!$B$2:$B$21,MATCH($A49,drops!$A$2:$A$21,0))="","",INDEX(drops!$B$2:$B$21,MATCH($A49,drops!$A$2:$A$21,0))),""),""))</f>
        <v/>
      </c>
      <c r="Q49" s="30" t="str">
        <f aca="false">IF($B49="","",IFERROR(IF(INDEX(offices!$N$2:$N$61,MATCH($B49,offices!$A$2:$A$61,0))="","",INDEX(offices!$N$2:$N$61,MATCH($B49,offices!$A$2:$A$61,0))),""))</f>
        <v/>
      </c>
      <c r="R49" s="30" t="str">
        <f aca="false">IF($B49="","",IFERROR(IF(INDEX(offices!$O$2:$O$61,MATCH($B49,offices!$A$2:$A$61,0))="","",INDEX(offices!$O$2:$O$61,MATCH($B49,offices!$A$2:$A$61,0))),""))</f>
        <v/>
      </c>
      <c r="S49" s="30" t="str">
        <f aca="false">IF($B49="","",IFERROR(IF(INDEX(offices!$P$2:$P$61,MATCH($B49,offices!$A$2:$A$61,0))="","",INDEX(offices!$P$2:$P$61,MATCH($B49,offices!$A$2:$A$61,0))),""))</f>
        <v/>
      </c>
      <c r="T49" s="30" t="str">
        <f aca="false">IF($B49="","",IFERROR(IF(INDEX(offices!$Y$2:$Y$61,MATCH($B49,offices!$A$2:$A$61,0))="","",INDEX(offices!$Y$2:$Y$61,MATCH($B49,offices!$A$2:$A$61,0))),""))</f>
        <v/>
      </c>
      <c r="U49" s="30" t="str">
        <f aca="false">IF($B49="","",IFERROR(IF(INDEX(offices!$X$2:$X$61,MATCH($B49,offices!$A$2:$A$61,0))="","",INDEX(offices!$X$2:$X$61,MATCH($B49,offices!$A$2:$A$61,0))),""))</f>
        <v/>
      </c>
      <c r="V49" s="30" t="str">
        <f aca="false">IF($B49="","",IFERROR(IF(INDEX(offices!$U$2:$U$61,MATCH($B49,offices!$A$2:$A$61,0))="","",INDEX(offices!$U$2:$U$61,MATCH($B49,offices!$A$2:$A$61,0))),""))</f>
        <v/>
      </c>
      <c r="W49" s="30" t="str">
        <f aca="false">IF($B49="","",IFERROR(IF(INDEX(offices!$AI$2:$AI$61,MATCH($B49,offices!$A$2:$A$61,0))="","",INDEX(offices!$AI$2:$AI$61,MATCH($B49,offices!$A$2:$A$61,0))),""))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Z$2:$Z$61,MATCH($B49,offices!$A$2:$A$61,0))="","",INDEX(offices!$Z$2:$Z$61,MATCH($B49,offices!$A$2:$A$61,0))),"")="yes",IFERROR(IF(INDEX(offices!$Z$2:$Z$61,MATCH($B49,offices!$A$2:$A$61,0))="","",INDEX(offices!$Z$2:$Z$61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","")&amp;IF(AND($U49="front desk",$X49&lt;&gt;"Y"),"info: front desk not agreed: the owner must take it; ",""))</f>
        <v/>
      </c>
    </row>
    <row r="50" customFormat="false" ht="15" hidden="false" customHeight="false" outlineLevel="0" collapsed="false">
      <c r="D50" s="38"/>
      <c r="E50" s="11"/>
      <c r="F50" s="11"/>
      <c r="G50" s="11"/>
      <c r="I50" s="38"/>
      <c r="J50" s="38"/>
      <c r="K50" s="10"/>
      <c r="L50" s="10"/>
      <c r="N50" s="11"/>
      <c r="P50" s="31" t="str">
        <f aca="false">IF($A50="","",IF(IFERROR(IF(INDEX(drops!$I$2:$I$21,MATCH($A50,drops!$A$2:$A$21,0))="","",INDEX(drops!$I$2:$I$21,MATCH($A50,drops!$A$2:$A$21,0))),"")="OK",IFERROR(IF(INDEX(drops!$B$2:$B$21,MATCH($A50,drops!$A$2:$A$21,0))="","",INDEX(drops!$B$2:$B$21,MATCH($A50,drops!$A$2:$A$21,0))),""),""))</f>
        <v/>
      </c>
      <c r="Q50" s="30" t="str">
        <f aca="false">IF($B50="","",IFERROR(IF(INDEX(offices!$N$2:$N$61,MATCH($B50,offices!$A$2:$A$61,0))="","",INDEX(offices!$N$2:$N$61,MATCH($B50,offices!$A$2:$A$61,0))),""))</f>
        <v/>
      </c>
      <c r="R50" s="30" t="str">
        <f aca="false">IF($B50="","",IFERROR(IF(INDEX(offices!$O$2:$O$61,MATCH($B50,offices!$A$2:$A$61,0))="","",INDEX(offices!$O$2:$O$61,MATCH($B50,offices!$A$2:$A$61,0))),""))</f>
        <v/>
      </c>
      <c r="S50" s="30" t="str">
        <f aca="false">IF($B50="","",IFERROR(IF(INDEX(offices!$P$2:$P$61,MATCH($B50,offices!$A$2:$A$61,0))="","",INDEX(offices!$P$2:$P$61,MATCH($B50,offices!$A$2:$A$61,0))),""))</f>
        <v/>
      </c>
      <c r="T50" s="30" t="str">
        <f aca="false">IF($B50="","",IFERROR(IF(INDEX(offices!$Y$2:$Y$61,MATCH($B50,offices!$A$2:$A$61,0))="","",INDEX(offices!$Y$2:$Y$61,MATCH($B50,offices!$A$2:$A$61,0))),""))</f>
        <v/>
      </c>
      <c r="U50" s="30" t="str">
        <f aca="false">IF($B50="","",IFERROR(IF(INDEX(offices!$X$2:$X$61,MATCH($B50,offices!$A$2:$A$61,0))="","",INDEX(offices!$X$2:$X$61,MATCH($B50,offices!$A$2:$A$61,0))),""))</f>
        <v/>
      </c>
      <c r="V50" s="30" t="str">
        <f aca="false">IF($B50="","",IFERROR(IF(INDEX(offices!$U$2:$U$61,MATCH($B50,offices!$A$2:$A$61,0))="","",INDEX(offices!$U$2:$U$61,MATCH($B50,offices!$A$2:$A$61,0))),""))</f>
        <v/>
      </c>
      <c r="W50" s="30" t="str">
        <f aca="false">IF($B50="","",IFERROR(IF(INDEX(offices!$AI$2:$AI$61,MATCH($B50,offices!$A$2:$A$61,0))="","",INDEX(offices!$AI$2:$AI$61,MATCH($B50,offices!$A$2:$A$61,0))),""))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Z$2:$Z$61,MATCH($B50,offices!$A$2:$A$61,0))="","",INDEX(offices!$Z$2:$Z$61,MATCH($B50,offices!$A$2:$A$61,0))),"")="yes",IFERROR(IF(INDEX(offices!$Z$2:$Z$61,MATCH($B50,offices!$A$2:$A$61,0))="","",INDEX(offices!$Z$2:$Z$61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","")&amp;IF(AND($U50="front desk",$X50&lt;&gt;"Y"),"info: front desk not agreed: the owner must take it; ",""))</f>
        <v/>
      </c>
    </row>
    <row r="51" customFormat="false" ht="15" hidden="false" customHeight="false" outlineLevel="0" collapsed="false">
      <c r="D51" s="38"/>
      <c r="E51" s="11"/>
      <c r="F51" s="11"/>
      <c r="G51" s="11"/>
      <c r="I51" s="38"/>
      <c r="J51" s="38"/>
      <c r="K51" s="10"/>
      <c r="L51" s="10"/>
      <c r="N51" s="11"/>
      <c r="P51" s="31" t="str">
        <f aca="false">IF($A51="","",IF(IFERROR(IF(INDEX(drops!$I$2:$I$21,MATCH($A51,drops!$A$2:$A$21,0))="","",INDEX(drops!$I$2:$I$21,MATCH($A51,drops!$A$2:$A$21,0))),"")="OK",IFERROR(IF(INDEX(drops!$B$2:$B$21,MATCH($A51,drops!$A$2:$A$21,0))="","",INDEX(drops!$B$2:$B$21,MATCH($A51,drops!$A$2:$A$21,0))),""),""))</f>
        <v/>
      </c>
      <c r="Q51" s="30" t="str">
        <f aca="false">IF($B51="","",IFERROR(IF(INDEX(offices!$N$2:$N$61,MATCH($B51,offices!$A$2:$A$61,0))="","",INDEX(offices!$N$2:$N$61,MATCH($B51,offices!$A$2:$A$61,0))),""))</f>
        <v/>
      </c>
      <c r="R51" s="30" t="str">
        <f aca="false">IF($B51="","",IFERROR(IF(INDEX(offices!$O$2:$O$61,MATCH($B51,offices!$A$2:$A$61,0))="","",INDEX(offices!$O$2:$O$61,MATCH($B51,offices!$A$2:$A$61,0))),""))</f>
        <v/>
      </c>
      <c r="S51" s="30" t="str">
        <f aca="false">IF($B51="","",IFERROR(IF(INDEX(offices!$P$2:$P$61,MATCH($B51,offices!$A$2:$A$61,0))="","",INDEX(offices!$P$2:$P$61,MATCH($B51,offices!$A$2:$A$61,0))),""))</f>
        <v/>
      </c>
      <c r="T51" s="30" t="str">
        <f aca="false">IF($B51="","",IFERROR(IF(INDEX(offices!$Y$2:$Y$61,MATCH($B51,offices!$A$2:$A$61,0))="","",INDEX(offices!$Y$2:$Y$61,MATCH($B51,offices!$A$2:$A$61,0))),""))</f>
        <v/>
      </c>
      <c r="U51" s="30" t="str">
        <f aca="false">IF($B51="","",IFERROR(IF(INDEX(offices!$X$2:$X$61,MATCH($B51,offices!$A$2:$A$61,0))="","",INDEX(offices!$X$2:$X$61,MATCH($B51,offices!$A$2:$A$61,0))),""))</f>
        <v/>
      </c>
      <c r="V51" s="30" t="str">
        <f aca="false">IF($B51="","",IFERROR(IF(INDEX(offices!$U$2:$U$61,MATCH($B51,offices!$A$2:$A$61,0))="","",INDEX(offices!$U$2:$U$61,MATCH($B51,offices!$A$2:$A$61,0))),""))</f>
        <v/>
      </c>
      <c r="W51" s="30" t="str">
        <f aca="false">IF($B51="","",IFERROR(IF(INDEX(offices!$AI$2:$AI$61,MATCH($B51,offices!$A$2:$A$61,0))="","",INDEX(offices!$AI$2:$AI$61,MATCH($B51,offices!$A$2:$A$61,0))),""))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Z$2:$Z$61,MATCH($B51,offices!$A$2:$A$61,0))="","",INDEX(offices!$Z$2:$Z$61,MATCH($B51,offices!$A$2:$A$61,0))),"")="yes",IFERROR(IF(INDEX(offices!$Z$2:$Z$61,MATCH($B51,offices!$A$2:$A$61,0))="","",INDEX(offices!$Z$2:$Z$61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","")&amp;IF(AND($U51="front desk",$X51&lt;&gt;"Y"),"info: front desk not agreed: the owner must take it; ",""))</f>
        <v/>
      </c>
    </row>
    <row r="52" customFormat="false" ht="15" hidden="false" customHeight="false" outlineLevel="0" collapsed="false">
      <c r="D52" s="38"/>
      <c r="E52" s="11"/>
      <c r="F52" s="11"/>
      <c r="G52" s="11"/>
      <c r="I52" s="38"/>
      <c r="J52" s="38"/>
      <c r="K52" s="10"/>
      <c r="L52" s="10"/>
      <c r="N52" s="11"/>
      <c r="P52" s="31" t="str">
        <f aca="false">IF($A52="","",IF(IFERROR(IF(INDEX(drops!$I$2:$I$21,MATCH($A52,drops!$A$2:$A$21,0))="","",INDEX(drops!$I$2:$I$21,MATCH($A52,drops!$A$2:$A$21,0))),"")="OK",IFERROR(IF(INDEX(drops!$B$2:$B$21,MATCH($A52,drops!$A$2:$A$21,0))="","",INDEX(drops!$B$2:$B$21,MATCH($A52,drops!$A$2:$A$21,0))),""),""))</f>
        <v/>
      </c>
      <c r="Q52" s="30" t="str">
        <f aca="false">IF($B52="","",IFERROR(IF(INDEX(offices!$N$2:$N$61,MATCH($B52,offices!$A$2:$A$61,0))="","",INDEX(offices!$N$2:$N$61,MATCH($B52,offices!$A$2:$A$61,0))),""))</f>
        <v/>
      </c>
      <c r="R52" s="30" t="str">
        <f aca="false">IF($B52="","",IFERROR(IF(INDEX(offices!$O$2:$O$61,MATCH($B52,offices!$A$2:$A$61,0))="","",INDEX(offices!$O$2:$O$61,MATCH($B52,offices!$A$2:$A$61,0))),""))</f>
        <v/>
      </c>
      <c r="S52" s="30" t="str">
        <f aca="false">IF($B52="","",IFERROR(IF(INDEX(offices!$P$2:$P$61,MATCH($B52,offices!$A$2:$A$61,0))="","",INDEX(offices!$P$2:$P$61,MATCH($B52,offices!$A$2:$A$61,0))),""))</f>
        <v/>
      </c>
      <c r="T52" s="30" t="str">
        <f aca="false">IF($B52="","",IFERROR(IF(INDEX(offices!$Y$2:$Y$61,MATCH($B52,offices!$A$2:$A$61,0))="","",INDEX(offices!$Y$2:$Y$61,MATCH($B52,offices!$A$2:$A$61,0))),""))</f>
        <v/>
      </c>
      <c r="U52" s="30" t="str">
        <f aca="false">IF($B52="","",IFERROR(IF(INDEX(offices!$X$2:$X$61,MATCH($B52,offices!$A$2:$A$61,0))="","",INDEX(offices!$X$2:$X$61,MATCH($B52,offices!$A$2:$A$61,0))),""))</f>
        <v/>
      </c>
      <c r="V52" s="30" t="str">
        <f aca="false">IF($B52="","",IFERROR(IF(INDEX(offices!$U$2:$U$61,MATCH($B52,offices!$A$2:$A$61,0))="","",INDEX(offices!$U$2:$U$61,MATCH($B52,offices!$A$2:$A$61,0))),""))</f>
        <v/>
      </c>
      <c r="W52" s="30" t="str">
        <f aca="false">IF($B52="","",IFERROR(IF(INDEX(offices!$AI$2:$AI$61,MATCH($B52,offices!$A$2:$A$61,0))="","",INDEX(offices!$AI$2:$AI$61,MATCH($B52,offices!$A$2:$A$61,0))),""))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Z$2:$Z$61,MATCH($B52,offices!$A$2:$A$61,0))="","",INDEX(offices!$Z$2:$Z$61,MATCH($B52,offices!$A$2:$A$61,0))),"")="yes",IFERROR(IF(INDEX(offices!$Z$2:$Z$61,MATCH($B52,offices!$A$2:$A$61,0))="","",INDEX(offices!$Z$2:$Z$61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","")&amp;IF(AND($U52="front desk",$X52&lt;&gt;"Y"),"info: front desk not agreed: the owner must take it; ",""))</f>
        <v/>
      </c>
    </row>
    <row r="53" customFormat="false" ht="15" hidden="false" customHeight="false" outlineLevel="0" collapsed="false">
      <c r="D53" s="38"/>
      <c r="E53" s="11"/>
      <c r="F53" s="11"/>
      <c r="G53" s="11"/>
      <c r="I53" s="38"/>
      <c r="J53" s="38"/>
      <c r="K53" s="10"/>
      <c r="L53" s="10"/>
      <c r="N53" s="11"/>
      <c r="P53" s="31" t="str">
        <f aca="false">IF($A53="","",IF(IFERROR(IF(INDEX(drops!$I$2:$I$21,MATCH($A53,drops!$A$2:$A$21,0))="","",INDEX(drops!$I$2:$I$21,MATCH($A53,drops!$A$2:$A$21,0))),"")="OK",IFERROR(IF(INDEX(drops!$B$2:$B$21,MATCH($A53,drops!$A$2:$A$21,0))="","",INDEX(drops!$B$2:$B$21,MATCH($A53,drops!$A$2:$A$21,0))),""),""))</f>
        <v/>
      </c>
      <c r="Q53" s="30" t="str">
        <f aca="false">IF($B53="","",IFERROR(IF(INDEX(offices!$N$2:$N$61,MATCH($B53,offices!$A$2:$A$61,0))="","",INDEX(offices!$N$2:$N$61,MATCH($B53,offices!$A$2:$A$61,0))),""))</f>
        <v/>
      </c>
      <c r="R53" s="30" t="str">
        <f aca="false">IF($B53="","",IFERROR(IF(INDEX(offices!$O$2:$O$61,MATCH($B53,offices!$A$2:$A$61,0))="","",INDEX(offices!$O$2:$O$61,MATCH($B53,offices!$A$2:$A$61,0))),""))</f>
        <v/>
      </c>
      <c r="S53" s="30" t="str">
        <f aca="false">IF($B53="","",IFERROR(IF(INDEX(offices!$P$2:$P$61,MATCH($B53,offices!$A$2:$A$61,0))="","",INDEX(offices!$P$2:$P$61,MATCH($B53,offices!$A$2:$A$61,0))),""))</f>
        <v/>
      </c>
      <c r="T53" s="30" t="str">
        <f aca="false">IF($B53="","",IFERROR(IF(INDEX(offices!$Y$2:$Y$61,MATCH($B53,offices!$A$2:$A$61,0))="","",INDEX(offices!$Y$2:$Y$61,MATCH($B53,offices!$A$2:$A$61,0))),""))</f>
        <v/>
      </c>
      <c r="U53" s="30" t="str">
        <f aca="false">IF($B53="","",IFERROR(IF(INDEX(offices!$X$2:$X$61,MATCH($B53,offices!$A$2:$A$61,0))="","",INDEX(offices!$X$2:$X$61,MATCH($B53,offices!$A$2:$A$61,0))),""))</f>
        <v/>
      </c>
      <c r="V53" s="30" t="str">
        <f aca="false">IF($B53="","",IFERROR(IF(INDEX(offices!$U$2:$U$61,MATCH($B53,offices!$A$2:$A$61,0))="","",INDEX(offices!$U$2:$U$61,MATCH($B53,offices!$A$2:$A$61,0))),""))</f>
        <v/>
      </c>
      <c r="W53" s="30" t="str">
        <f aca="false">IF($B53="","",IFERROR(IF(INDEX(offices!$AI$2:$AI$61,MATCH($B53,offices!$A$2:$A$61,0))="","",INDEX(offices!$AI$2:$AI$61,MATCH($B53,offices!$A$2:$A$61,0))),""))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Z$2:$Z$61,MATCH($B53,offices!$A$2:$A$61,0))="","",INDEX(offices!$Z$2:$Z$61,MATCH($B53,offices!$A$2:$A$61,0))),"")="yes",IFERROR(IF(INDEX(offices!$Z$2:$Z$61,MATCH($B53,offices!$A$2:$A$61,0))="","",INDEX(offices!$Z$2:$Z$61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","")&amp;IF(AND($U53="front desk",$X53&lt;&gt;"Y"),"info: front desk not agreed: the owner must take it; ",""))</f>
        <v/>
      </c>
    </row>
    <row r="54" customFormat="false" ht="15" hidden="false" customHeight="false" outlineLevel="0" collapsed="false">
      <c r="D54" s="38"/>
      <c r="E54" s="11"/>
      <c r="F54" s="11"/>
      <c r="G54" s="11"/>
      <c r="I54" s="38"/>
      <c r="J54" s="38"/>
      <c r="K54" s="10"/>
      <c r="L54" s="10"/>
      <c r="N54" s="11"/>
      <c r="P54" s="31" t="str">
        <f aca="false">IF($A54="","",IF(IFERROR(IF(INDEX(drops!$I$2:$I$21,MATCH($A54,drops!$A$2:$A$21,0))="","",INDEX(drops!$I$2:$I$21,MATCH($A54,drops!$A$2:$A$21,0))),"")="OK",IFERROR(IF(INDEX(drops!$B$2:$B$21,MATCH($A54,drops!$A$2:$A$21,0))="","",INDEX(drops!$B$2:$B$21,MATCH($A54,drops!$A$2:$A$21,0))),""),""))</f>
        <v/>
      </c>
      <c r="Q54" s="30" t="str">
        <f aca="false">IF($B54="","",IFERROR(IF(INDEX(offices!$N$2:$N$61,MATCH($B54,offices!$A$2:$A$61,0))="","",INDEX(offices!$N$2:$N$61,MATCH($B54,offices!$A$2:$A$61,0))),""))</f>
        <v/>
      </c>
      <c r="R54" s="30" t="str">
        <f aca="false">IF($B54="","",IFERROR(IF(INDEX(offices!$O$2:$O$61,MATCH($B54,offices!$A$2:$A$61,0))="","",INDEX(offices!$O$2:$O$61,MATCH($B54,offices!$A$2:$A$61,0))),""))</f>
        <v/>
      </c>
      <c r="S54" s="30" t="str">
        <f aca="false">IF($B54="","",IFERROR(IF(INDEX(offices!$P$2:$P$61,MATCH($B54,offices!$A$2:$A$61,0))="","",INDEX(offices!$P$2:$P$61,MATCH($B54,offices!$A$2:$A$61,0))),""))</f>
        <v/>
      </c>
      <c r="T54" s="30" t="str">
        <f aca="false">IF($B54="","",IFERROR(IF(INDEX(offices!$Y$2:$Y$61,MATCH($B54,offices!$A$2:$A$61,0))="","",INDEX(offices!$Y$2:$Y$61,MATCH($B54,offices!$A$2:$A$61,0))),""))</f>
        <v/>
      </c>
      <c r="U54" s="30" t="str">
        <f aca="false">IF($B54="","",IFERROR(IF(INDEX(offices!$X$2:$X$61,MATCH($B54,offices!$A$2:$A$61,0))="","",INDEX(offices!$X$2:$X$61,MATCH($B54,offices!$A$2:$A$61,0))),""))</f>
        <v/>
      </c>
      <c r="V54" s="30" t="str">
        <f aca="false">IF($B54="","",IFERROR(IF(INDEX(offices!$U$2:$U$61,MATCH($B54,offices!$A$2:$A$61,0))="","",INDEX(offices!$U$2:$U$61,MATCH($B54,offices!$A$2:$A$61,0))),""))</f>
        <v/>
      </c>
      <c r="W54" s="30" t="str">
        <f aca="false">IF($B54="","",IFERROR(IF(INDEX(offices!$AI$2:$AI$61,MATCH($B54,offices!$A$2:$A$61,0))="","",INDEX(offices!$AI$2:$AI$61,MATCH($B54,offices!$A$2:$A$61,0))),""))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Z$2:$Z$61,MATCH($B54,offices!$A$2:$A$61,0))="","",INDEX(offices!$Z$2:$Z$61,MATCH($B54,offices!$A$2:$A$61,0))),"")="yes",IFERROR(IF(INDEX(offices!$Z$2:$Z$61,MATCH($B54,offices!$A$2:$A$61,0))="","",INDEX(offices!$Z$2:$Z$61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","")&amp;IF(AND($U54="front desk",$X54&lt;&gt;"Y"),"info: front desk not agreed: the owner must take it; ",""))</f>
        <v/>
      </c>
    </row>
    <row r="55" customFormat="false" ht="15" hidden="false" customHeight="false" outlineLevel="0" collapsed="false">
      <c r="D55" s="38"/>
      <c r="E55" s="11"/>
      <c r="F55" s="11"/>
      <c r="G55" s="11"/>
      <c r="I55" s="38"/>
      <c r="J55" s="38"/>
      <c r="K55" s="10"/>
      <c r="L55" s="10"/>
      <c r="N55" s="11"/>
      <c r="P55" s="31" t="str">
        <f aca="false">IF($A55="","",IF(IFERROR(IF(INDEX(drops!$I$2:$I$21,MATCH($A55,drops!$A$2:$A$21,0))="","",INDEX(drops!$I$2:$I$21,MATCH($A55,drops!$A$2:$A$21,0))),"")="OK",IFERROR(IF(INDEX(drops!$B$2:$B$21,MATCH($A55,drops!$A$2:$A$21,0))="","",INDEX(drops!$B$2:$B$21,MATCH($A55,drops!$A$2:$A$21,0))),""),""))</f>
        <v/>
      </c>
      <c r="Q55" s="30" t="str">
        <f aca="false">IF($B55="","",IFERROR(IF(INDEX(offices!$N$2:$N$61,MATCH($B55,offices!$A$2:$A$61,0))="","",INDEX(offices!$N$2:$N$61,MATCH($B55,offices!$A$2:$A$61,0))),""))</f>
        <v/>
      </c>
      <c r="R55" s="30" t="str">
        <f aca="false">IF($B55="","",IFERROR(IF(INDEX(offices!$O$2:$O$61,MATCH($B55,offices!$A$2:$A$61,0))="","",INDEX(offices!$O$2:$O$61,MATCH($B55,offices!$A$2:$A$61,0))),""))</f>
        <v/>
      </c>
      <c r="S55" s="30" t="str">
        <f aca="false">IF($B55="","",IFERROR(IF(INDEX(offices!$P$2:$P$61,MATCH($B55,offices!$A$2:$A$61,0))="","",INDEX(offices!$P$2:$P$61,MATCH($B55,offices!$A$2:$A$61,0))),""))</f>
        <v/>
      </c>
      <c r="T55" s="30" t="str">
        <f aca="false">IF($B55="","",IFERROR(IF(INDEX(offices!$Y$2:$Y$61,MATCH($B55,offices!$A$2:$A$61,0))="","",INDEX(offices!$Y$2:$Y$61,MATCH($B55,offices!$A$2:$A$61,0))),""))</f>
        <v/>
      </c>
      <c r="U55" s="30" t="str">
        <f aca="false">IF($B55="","",IFERROR(IF(INDEX(offices!$X$2:$X$61,MATCH($B55,offices!$A$2:$A$61,0))="","",INDEX(offices!$X$2:$X$61,MATCH($B55,offices!$A$2:$A$61,0))),""))</f>
        <v/>
      </c>
      <c r="V55" s="30" t="str">
        <f aca="false">IF($B55="","",IFERROR(IF(INDEX(offices!$U$2:$U$61,MATCH($B55,offices!$A$2:$A$61,0))="","",INDEX(offices!$U$2:$U$61,MATCH($B55,offices!$A$2:$A$61,0))),""))</f>
        <v/>
      </c>
      <c r="W55" s="30" t="str">
        <f aca="false">IF($B55="","",IFERROR(IF(INDEX(offices!$AI$2:$AI$61,MATCH($B55,offices!$A$2:$A$61,0))="","",INDEX(offices!$AI$2:$AI$61,MATCH($B55,offices!$A$2:$A$61,0))),""))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Z$2:$Z$61,MATCH($B55,offices!$A$2:$A$61,0))="","",INDEX(offices!$Z$2:$Z$61,MATCH($B55,offices!$A$2:$A$61,0))),"")="yes",IFERROR(IF(INDEX(offices!$Z$2:$Z$61,MATCH($B55,offices!$A$2:$A$61,0))="","",INDEX(offices!$Z$2:$Z$61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","")&amp;IF(AND($U55="front desk",$X55&lt;&gt;"Y"),"info: front desk not agreed: the owner must take it; ",""))</f>
        <v/>
      </c>
    </row>
    <row r="56" customFormat="false" ht="15" hidden="false" customHeight="false" outlineLevel="0" collapsed="false">
      <c r="D56" s="38"/>
      <c r="E56" s="11"/>
      <c r="F56" s="11"/>
      <c r="G56" s="11"/>
      <c r="I56" s="38"/>
      <c r="J56" s="38"/>
      <c r="K56" s="10"/>
      <c r="L56" s="10"/>
      <c r="N56" s="11"/>
      <c r="P56" s="31" t="str">
        <f aca="false">IF($A56="","",IF(IFERROR(IF(INDEX(drops!$I$2:$I$21,MATCH($A56,drops!$A$2:$A$21,0))="","",INDEX(drops!$I$2:$I$21,MATCH($A56,drops!$A$2:$A$21,0))),"")="OK",IFERROR(IF(INDEX(drops!$B$2:$B$21,MATCH($A56,drops!$A$2:$A$21,0))="","",INDEX(drops!$B$2:$B$21,MATCH($A56,drops!$A$2:$A$21,0))),""),""))</f>
        <v/>
      </c>
      <c r="Q56" s="30" t="str">
        <f aca="false">IF($B56="","",IFERROR(IF(INDEX(offices!$N$2:$N$61,MATCH($B56,offices!$A$2:$A$61,0))="","",INDEX(offices!$N$2:$N$61,MATCH($B56,offices!$A$2:$A$61,0))),""))</f>
        <v/>
      </c>
      <c r="R56" s="30" t="str">
        <f aca="false">IF($B56="","",IFERROR(IF(INDEX(offices!$O$2:$O$61,MATCH($B56,offices!$A$2:$A$61,0))="","",INDEX(offices!$O$2:$O$61,MATCH($B56,offices!$A$2:$A$61,0))),""))</f>
        <v/>
      </c>
      <c r="S56" s="30" t="str">
        <f aca="false">IF($B56="","",IFERROR(IF(INDEX(offices!$P$2:$P$61,MATCH($B56,offices!$A$2:$A$61,0))="","",INDEX(offices!$P$2:$P$61,MATCH($B56,offices!$A$2:$A$61,0))),""))</f>
        <v/>
      </c>
      <c r="T56" s="30" t="str">
        <f aca="false">IF($B56="","",IFERROR(IF(INDEX(offices!$Y$2:$Y$61,MATCH($B56,offices!$A$2:$A$61,0))="","",INDEX(offices!$Y$2:$Y$61,MATCH($B56,offices!$A$2:$A$61,0))),""))</f>
        <v/>
      </c>
      <c r="U56" s="30" t="str">
        <f aca="false">IF($B56="","",IFERROR(IF(INDEX(offices!$X$2:$X$61,MATCH($B56,offices!$A$2:$A$61,0))="","",INDEX(offices!$X$2:$X$61,MATCH($B56,offices!$A$2:$A$61,0))),""))</f>
        <v/>
      </c>
      <c r="V56" s="30" t="str">
        <f aca="false">IF($B56="","",IFERROR(IF(INDEX(offices!$U$2:$U$61,MATCH($B56,offices!$A$2:$A$61,0))="","",INDEX(offices!$U$2:$U$61,MATCH($B56,offices!$A$2:$A$61,0))),""))</f>
        <v/>
      </c>
      <c r="W56" s="30" t="str">
        <f aca="false">IF($B56="","",IFERROR(IF(INDEX(offices!$AI$2:$AI$61,MATCH($B56,offices!$A$2:$A$61,0))="","",INDEX(offices!$AI$2:$AI$61,MATCH($B56,offices!$A$2:$A$61,0))),""))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Z$2:$Z$61,MATCH($B56,offices!$A$2:$A$61,0))="","",INDEX(offices!$Z$2:$Z$61,MATCH($B56,offices!$A$2:$A$61,0))),"")="yes",IFERROR(IF(INDEX(offices!$Z$2:$Z$61,MATCH($B56,offices!$A$2:$A$61,0))="","",INDEX(offices!$Z$2:$Z$61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","")&amp;IF(AND($U56="front desk",$X56&lt;&gt;"Y"),"info: front desk not agreed: the owner must take it; ",""))</f>
        <v/>
      </c>
    </row>
    <row r="57" customFormat="false" ht="15" hidden="false" customHeight="false" outlineLevel="0" collapsed="false">
      <c r="D57" s="38"/>
      <c r="E57" s="11"/>
      <c r="F57" s="11"/>
      <c r="G57" s="11"/>
      <c r="I57" s="38"/>
      <c r="J57" s="38"/>
      <c r="K57" s="10"/>
      <c r="L57" s="10"/>
      <c r="N57" s="11"/>
      <c r="P57" s="31" t="str">
        <f aca="false">IF($A57="","",IF(IFERROR(IF(INDEX(drops!$I$2:$I$21,MATCH($A57,drops!$A$2:$A$21,0))="","",INDEX(drops!$I$2:$I$21,MATCH($A57,drops!$A$2:$A$21,0))),"")="OK",IFERROR(IF(INDEX(drops!$B$2:$B$21,MATCH($A57,drops!$A$2:$A$21,0))="","",INDEX(drops!$B$2:$B$21,MATCH($A57,drops!$A$2:$A$21,0))),""),""))</f>
        <v/>
      </c>
      <c r="Q57" s="30" t="str">
        <f aca="false">IF($B57="","",IFERROR(IF(INDEX(offices!$N$2:$N$61,MATCH($B57,offices!$A$2:$A$61,0))="","",INDEX(offices!$N$2:$N$61,MATCH($B57,offices!$A$2:$A$61,0))),""))</f>
        <v/>
      </c>
      <c r="R57" s="30" t="str">
        <f aca="false">IF($B57="","",IFERROR(IF(INDEX(offices!$O$2:$O$61,MATCH($B57,offices!$A$2:$A$61,0))="","",INDEX(offices!$O$2:$O$61,MATCH($B57,offices!$A$2:$A$61,0))),""))</f>
        <v/>
      </c>
      <c r="S57" s="30" t="str">
        <f aca="false">IF($B57="","",IFERROR(IF(INDEX(offices!$P$2:$P$61,MATCH($B57,offices!$A$2:$A$61,0))="","",INDEX(offices!$P$2:$P$61,MATCH($B57,offices!$A$2:$A$61,0))),""))</f>
        <v/>
      </c>
      <c r="T57" s="30" t="str">
        <f aca="false">IF($B57="","",IFERROR(IF(INDEX(offices!$Y$2:$Y$61,MATCH($B57,offices!$A$2:$A$61,0))="","",INDEX(offices!$Y$2:$Y$61,MATCH($B57,offices!$A$2:$A$61,0))),""))</f>
        <v/>
      </c>
      <c r="U57" s="30" t="str">
        <f aca="false">IF($B57="","",IFERROR(IF(INDEX(offices!$X$2:$X$61,MATCH($B57,offices!$A$2:$A$61,0))="","",INDEX(offices!$X$2:$X$61,MATCH($B57,offices!$A$2:$A$61,0))),""))</f>
        <v/>
      </c>
      <c r="V57" s="30" t="str">
        <f aca="false">IF($B57="","",IFERROR(IF(INDEX(offices!$U$2:$U$61,MATCH($B57,offices!$A$2:$A$61,0))="","",INDEX(offices!$U$2:$U$61,MATCH($B57,offices!$A$2:$A$61,0))),""))</f>
        <v/>
      </c>
      <c r="W57" s="30" t="str">
        <f aca="false">IF($B57="","",IFERROR(IF(INDEX(offices!$AI$2:$AI$61,MATCH($B57,offices!$A$2:$A$61,0))="","",INDEX(offices!$AI$2:$AI$61,MATCH($B57,offices!$A$2:$A$61,0))),""))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Z$2:$Z$61,MATCH($B57,offices!$A$2:$A$61,0))="","",INDEX(offices!$Z$2:$Z$61,MATCH($B57,offices!$A$2:$A$61,0))),"")="yes",IFERROR(IF(INDEX(offices!$Z$2:$Z$61,MATCH($B57,offices!$A$2:$A$61,0))="","",INDEX(offices!$Z$2:$Z$61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","")&amp;IF(AND($U57="front desk",$X57&lt;&gt;"Y"),"info: front desk not agreed: the owner must take it; ",""))</f>
        <v/>
      </c>
    </row>
    <row r="58" customFormat="false" ht="15" hidden="false" customHeight="false" outlineLevel="0" collapsed="false">
      <c r="D58" s="38"/>
      <c r="E58" s="11"/>
      <c r="F58" s="11"/>
      <c r="G58" s="11"/>
      <c r="I58" s="38"/>
      <c r="J58" s="38"/>
      <c r="K58" s="10"/>
      <c r="L58" s="10"/>
      <c r="N58" s="11"/>
      <c r="P58" s="31" t="str">
        <f aca="false">IF($A58="","",IF(IFERROR(IF(INDEX(drops!$I$2:$I$21,MATCH($A58,drops!$A$2:$A$21,0))="","",INDEX(drops!$I$2:$I$21,MATCH($A58,drops!$A$2:$A$21,0))),"")="OK",IFERROR(IF(INDEX(drops!$B$2:$B$21,MATCH($A58,drops!$A$2:$A$21,0))="","",INDEX(drops!$B$2:$B$21,MATCH($A58,drops!$A$2:$A$21,0))),""),""))</f>
        <v/>
      </c>
      <c r="Q58" s="30" t="str">
        <f aca="false">IF($B58="","",IFERROR(IF(INDEX(offices!$N$2:$N$61,MATCH($B58,offices!$A$2:$A$61,0))="","",INDEX(offices!$N$2:$N$61,MATCH($B58,offices!$A$2:$A$61,0))),""))</f>
        <v/>
      </c>
      <c r="R58" s="30" t="str">
        <f aca="false">IF($B58="","",IFERROR(IF(INDEX(offices!$O$2:$O$61,MATCH($B58,offices!$A$2:$A$61,0))="","",INDEX(offices!$O$2:$O$61,MATCH($B58,offices!$A$2:$A$61,0))),""))</f>
        <v/>
      </c>
      <c r="S58" s="30" t="str">
        <f aca="false">IF($B58="","",IFERROR(IF(INDEX(offices!$P$2:$P$61,MATCH($B58,offices!$A$2:$A$61,0))="","",INDEX(offices!$P$2:$P$61,MATCH($B58,offices!$A$2:$A$61,0))),""))</f>
        <v/>
      </c>
      <c r="T58" s="30" t="str">
        <f aca="false">IF($B58="","",IFERROR(IF(INDEX(offices!$Y$2:$Y$61,MATCH($B58,offices!$A$2:$A$61,0))="","",INDEX(offices!$Y$2:$Y$61,MATCH($B58,offices!$A$2:$A$61,0))),""))</f>
        <v/>
      </c>
      <c r="U58" s="30" t="str">
        <f aca="false">IF($B58="","",IFERROR(IF(INDEX(offices!$X$2:$X$61,MATCH($B58,offices!$A$2:$A$61,0))="","",INDEX(offices!$X$2:$X$61,MATCH($B58,offices!$A$2:$A$61,0))),""))</f>
        <v/>
      </c>
      <c r="V58" s="30" t="str">
        <f aca="false">IF($B58="","",IFERROR(IF(INDEX(offices!$U$2:$U$61,MATCH($B58,offices!$A$2:$A$61,0))="","",INDEX(offices!$U$2:$U$61,MATCH($B58,offices!$A$2:$A$61,0))),""))</f>
        <v/>
      </c>
      <c r="W58" s="30" t="str">
        <f aca="false">IF($B58="","",IFERROR(IF(INDEX(offices!$AI$2:$AI$61,MATCH($B58,offices!$A$2:$A$61,0))="","",INDEX(offices!$AI$2:$AI$61,MATCH($B58,offices!$A$2:$A$61,0))),""))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Z$2:$Z$61,MATCH($B58,offices!$A$2:$A$61,0))="","",INDEX(offices!$Z$2:$Z$61,MATCH($B58,offices!$A$2:$A$61,0))),"")="yes",IFERROR(IF(INDEX(offices!$Z$2:$Z$61,MATCH($B58,offices!$A$2:$A$61,0))="","",INDEX(offices!$Z$2:$Z$61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","")&amp;IF(AND($U58="front desk",$X58&lt;&gt;"Y"),"info: front desk not agreed: the owner must take it; ",""))</f>
        <v/>
      </c>
    </row>
    <row r="59" customFormat="false" ht="15" hidden="false" customHeight="false" outlineLevel="0" collapsed="false">
      <c r="D59" s="38"/>
      <c r="E59" s="11"/>
      <c r="F59" s="11"/>
      <c r="G59" s="11"/>
      <c r="I59" s="38"/>
      <c r="J59" s="38"/>
      <c r="K59" s="10"/>
      <c r="L59" s="10"/>
      <c r="N59" s="11"/>
      <c r="P59" s="31" t="str">
        <f aca="false">IF($A59="","",IF(IFERROR(IF(INDEX(drops!$I$2:$I$21,MATCH($A59,drops!$A$2:$A$21,0))="","",INDEX(drops!$I$2:$I$21,MATCH($A59,drops!$A$2:$A$21,0))),"")="OK",IFERROR(IF(INDEX(drops!$B$2:$B$21,MATCH($A59,drops!$A$2:$A$21,0))="","",INDEX(drops!$B$2:$B$21,MATCH($A59,drops!$A$2:$A$21,0))),""),""))</f>
        <v/>
      </c>
      <c r="Q59" s="30" t="str">
        <f aca="false">IF($B59="","",IFERROR(IF(INDEX(offices!$N$2:$N$61,MATCH($B59,offices!$A$2:$A$61,0))="","",INDEX(offices!$N$2:$N$61,MATCH($B59,offices!$A$2:$A$61,0))),""))</f>
        <v/>
      </c>
      <c r="R59" s="30" t="str">
        <f aca="false">IF($B59="","",IFERROR(IF(INDEX(offices!$O$2:$O$61,MATCH($B59,offices!$A$2:$A$61,0))="","",INDEX(offices!$O$2:$O$61,MATCH($B59,offices!$A$2:$A$61,0))),""))</f>
        <v/>
      </c>
      <c r="S59" s="30" t="str">
        <f aca="false">IF($B59="","",IFERROR(IF(INDEX(offices!$P$2:$P$61,MATCH($B59,offices!$A$2:$A$61,0))="","",INDEX(offices!$P$2:$P$61,MATCH($B59,offices!$A$2:$A$61,0))),""))</f>
        <v/>
      </c>
      <c r="T59" s="30" t="str">
        <f aca="false">IF($B59="","",IFERROR(IF(INDEX(offices!$Y$2:$Y$61,MATCH($B59,offices!$A$2:$A$61,0))="","",INDEX(offices!$Y$2:$Y$61,MATCH($B59,offices!$A$2:$A$61,0))),""))</f>
        <v/>
      </c>
      <c r="U59" s="30" t="str">
        <f aca="false">IF($B59="","",IFERROR(IF(INDEX(offices!$X$2:$X$61,MATCH($B59,offices!$A$2:$A$61,0))="","",INDEX(offices!$X$2:$X$61,MATCH($B59,offices!$A$2:$A$61,0))),""))</f>
        <v/>
      </c>
      <c r="V59" s="30" t="str">
        <f aca="false">IF($B59="","",IFERROR(IF(INDEX(offices!$U$2:$U$61,MATCH($B59,offices!$A$2:$A$61,0))="","",INDEX(offices!$U$2:$U$61,MATCH($B59,offices!$A$2:$A$61,0))),""))</f>
        <v/>
      </c>
      <c r="W59" s="30" t="str">
        <f aca="false">IF($B59="","",IFERROR(IF(INDEX(offices!$AI$2:$AI$61,MATCH($B59,offices!$A$2:$A$61,0))="","",INDEX(offices!$AI$2:$AI$61,MATCH($B59,offices!$A$2:$A$61,0))),""))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Z$2:$Z$61,MATCH($B59,offices!$A$2:$A$61,0))="","",INDEX(offices!$Z$2:$Z$61,MATCH($B59,offices!$A$2:$A$61,0))),"")="yes",IFERROR(IF(INDEX(offices!$Z$2:$Z$61,MATCH($B59,offices!$A$2:$A$61,0))="","",INDEX(offices!$Z$2:$Z$61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","")&amp;IF(AND($U59="front desk",$X59&lt;&gt;"Y"),"info: front desk not agreed: the owner must take it; ",""))</f>
        <v/>
      </c>
    </row>
    <row r="60" customFormat="false" ht="15" hidden="false" customHeight="false" outlineLevel="0" collapsed="false">
      <c r="D60" s="38"/>
      <c r="E60" s="11"/>
      <c r="F60" s="11"/>
      <c r="G60" s="11"/>
      <c r="I60" s="38"/>
      <c r="J60" s="38"/>
      <c r="K60" s="10"/>
      <c r="L60" s="10"/>
      <c r="N60" s="11"/>
      <c r="P60" s="31" t="str">
        <f aca="false">IF($A60="","",IF(IFERROR(IF(INDEX(drops!$I$2:$I$21,MATCH($A60,drops!$A$2:$A$21,0))="","",INDEX(drops!$I$2:$I$21,MATCH($A60,drops!$A$2:$A$21,0))),"")="OK",IFERROR(IF(INDEX(drops!$B$2:$B$21,MATCH($A60,drops!$A$2:$A$21,0))="","",INDEX(drops!$B$2:$B$21,MATCH($A60,drops!$A$2:$A$21,0))),""),""))</f>
        <v/>
      </c>
      <c r="Q60" s="30" t="str">
        <f aca="false">IF($B60="","",IFERROR(IF(INDEX(offices!$N$2:$N$61,MATCH($B60,offices!$A$2:$A$61,0))="","",INDEX(offices!$N$2:$N$61,MATCH($B60,offices!$A$2:$A$61,0))),""))</f>
        <v/>
      </c>
      <c r="R60" s="30" t="str">
        <f aca="false">IF($B60="","",IFERROR(IF(INDEX(offices!$O$2:$O$61,MATCH($B60,offices!$A$2:$A$61,0))="","",INDEX(offices!$O$2:$O$61,MATCH($B60,offices!$A$2:$A$61,0))),""))</f>
        <v/>
      </c>
      <c r="S60" s="30" t="str">
        <f aca="false">IF($B60="","",IFERROR(IF(INDEX(offices!$P$2:$P$61,MATCH($B60,offices!$A$2:$A$61,0))="","",INDEX(offices!$P$2:$P$61,MATCH($B60,offices!$A$2:$A$61,0))),""))</f>
        <v/>
      </c>
      <c r="T60" s="30" t="str">
        <f aca="false">IF($B60="","",IFERROR(IF(INDEX(offices!$Y$2:$Y$61,MATCH($B60,offices!$A$2:$A$61,0))="","",INDEX(offices!$Y$2:$Y$61,MATCH($B60,offices!$A$2:$A$61,0))),""))</f>
        <v/>
      </c>
      <c r="U60" s="30" t="str">
        <f aca="false">IF($B60="","",IFERROR(IF(INDEX(offices!$X$2:$X$61,MATCH($B60,offices!$A$2:$A$61,0))="","",INDEX(offices!$X$2:$X$61,MATCH($B60,offices!$A$2:$A$61,0))),""))</f>
        <v/>
      </c>
      <c r="V60" s="30" t="str">
        <f aca="false">IF($B60="","",IFERROR(IF(INDEX(offices!$U$2:$U$61,MATCH($B60,offices!$A$2:$A$61,0))="","",INDEX(offices!$U$2:$U$61,MATCH($B60,offices!$A$2:$A$61,0))),""))</f>
        <v/>
      </c>
      <c r="W60" s="30" t="str">
        <f aca="false">IF($B60="","",IFERROR(IF(INDEX(offices!$AI$2:$AI$61,MATCH($B60,offices!$A$2:$A$61,0))="","",INDEX(offices!$AI$2:$AI$61,MATCH($B60,offices!$A$2:$A$61,0))),""))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Z$2:$Z$61,MATCH($B60,offices!$A$2:$A$61,0))="","",INDEX(offices!$Z$2:$Z$61,MATCH($B60,offices!$A$2:$A$61,0))),"")="yes",IFERROR(IF(INDEX(offices!$Z$2:$Z$61,MATCH($B60,offices!$A$2:$A$61,0))="","",INDEX(offices!$Z$2:$Z$61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","")&amp;IF(AND($U60="front desk",$X60&lt;&gt;"Y"),"info: front desk not agreed: the owner must take it; ",""))</f>
        <v/>
      </c>
    </row>
    <row r="61" customFormat="false" ht="15" hidden="false" customHeight="false" outlineLevel="0" collapsed="false">
      <c r="D61" s="38"/>
      <c r="E61" s="11"/>
      <c r="F61" s="11"/>
      <c r="G61" s="11"/>
      <c r="I61" s="38"/>
      <c r="J61" s="38"/>
      <c r="K61" s="10"/>
      <c r="L61" s="10"/>
      <c r="N61" s="11"/>
      <c r="P61" s="31" t="str">
        <f aca="false">IF($A61="","",IF(IFERROR(IF(INDEX(drops!$I$2:$I$21,MATCH($A61,drops!$A$2:$A$21,0))="","",INDEX(drops!$I$2:$I$21,MATCH($A61,drops!$A$2:$A$21,0))),"")="OK",IFERROR(IF(INDEX(drops!$B$2:$B$21,MATCH($A61,drops!$A$2:$A$21,0))="","",INDEX(drops!$B$2:$B$21,MATCH($A61,drops!$A$2:$A$21,0))),""),""))</f>
        <v/>
      </c>
      <c r="Q61" s="30" t="str">
        <f aca="false">IF($B61="","",IFERROR(IF(INDEX(offices!$N$2:$N$61,MATCH($B61,offices!$A$2:$A$61,0))="","",INDEX(offices!$N$2:$N$61,MATCH($B61,offices!$A$2:$A$61,0))),""))</f>
        <v/>
      </c>
      <c r="R61" s="30" t="str">
        <f aca="false">IF($B61="","",IFERROR(IF(INDEX(offices!$O$2:$O$61,MATCH($B61,offices!$A$2:$A$61,0))="","",INDEX(offices!$O$2:$O$61,MATCH($B61,offices!$A$2:$A$61,0))),""))</f>
        <v/>
      </c>
      <c r="S61" s="30" t="str">
        <f aca="false">IF($B61="","",IFERROR(IF(INDEX(offices!$P$2:$P$61,MATCH($B61,offices!$A$2:$A$61,0))="","",INDEX(offices!$P$2:$P$61,MATCH($B61,offices!$A$2:$A$61,0))),""))</f>
        <v/>
      </c>
      <c r="T61" s="30" t="str">
        <f aca="false">IF($B61="","",IFERROR(IF(INDEX(offices!$Y$2:$Y$61,MATCH($B61,offices!$A$2:$A$61,0))="","",INDEX(offices!$Y$2:$Y$61,MATCH($B61,offices!$A$2:$A$61,0))),""))</f>
        <v/>
      </c>
      <c r="U61" s="30" t="str">
        <f aca="false">IF($B61="","",IFERROR(IF(INDEX(offices!$X$2:$X$61,MATCH($B61,offices!$A$2:$A$61,0))="","",INDEX(offices!$X$2:$X$61,MATCH($B61,offices!$A$2:$A$61,0))),""))</f>
        <v/>
      </c>
      <c r="V61" s="30" t="str">
        <f aca="false">IF($B61="","",IFERROR(IF(INDEX(offices!$U$2:$U$61,MATCH($B61,offices!$A$2:$A$61,0))="","",INDEX(offices!$U$2:$U$61,MATCH($B61,offices!$A$2:$A$61,0))),""))</f>
        <v/>
      </c>
      <c r="W61" s="30" t="str">
        <f aca="false">IF($B61="","",IFERROR(IF(INDEX(offices!$AI$2:$AI$61,MATCH($B61,offices!$A$2:$A$61,0))="","",INDEX(offices!$AI$2:$AI$61,MATCH($B61,offices!$A$2:$A$61,0))),""))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Z$2:$Z$61,MATCH($B61,offices!$A$2:$A$61,0))="","",INDEX(offices!$Z$2:$Z$61,MATCH($B61,offices!$A$2:$A$61,0))),"")="yes",IFERROR(IF(INDEX(offices!$Z$2:$Z$61,MATCH($B61,offices!$A$2:$A$61,0))="","",INDEX(offices!$Z$2:$Z$61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","")&amp;IF(AND($U61="front desk",$X61&lt;&gt;"Y"),"info: front desk not agreed: the owner must take it; ",""))</f>
        <v/>
      </c>
    </row>
    <row r="62" customFormat="false" ht="15" hidden="false" customHeight="false" outlineLevel="0" collapsed="false">
      <c r="D62" s="38"/>
      <c r="E62" s="11"/>
      <c r="F62" s="11"/>
      <c r="G62" s="11"/>
      <c r="I62" s="38"/>
      <c r="J62" s="38"/>
      <c r="K62" s="10"/>
      <c r="L62" s="10"/>
      <c r="N62" s="11"/>
      <c r="P62" s="31" t="str">
        <f aca="false">IF($A62="","",IF(IFERROR(IF(INDEX(drops!$I$2:$I$21,MATCH($A62,drops!$A$2:$A$21,0))="","",INDEX(drops!$I$2:$I$21,MATCH($A62,drops!$A$2:$A$21,0))),"")="OK",IFERROR(IF(INDEX(drops!$B$2:$B$21,MATCH($A62,drops!$A$2:$A$21,0))="","",INDEX(drops!$B$2:$B$21,MATCH($A62,drops!$A$2:$A$21,0))),""),""))</f>
        <v/>
      </c>
      <c r="Q62" s="30" t="str">
        <f aca="false">IF($B62="","",IFERROR(IF(INDEX(offices!$N$2:$N$61,MATCH($B62,offices!$A$2:$A$61,0))="","",INDEX(offices!$N$2:$N$61,MATCH($B62,offices!$A$2:$A$61,0))),""))</f>
        <v/>
      </c>
      <c r="R62" s="30" t="str">
        <f aca="false">IF($B62="","",IFERROR(IF(INDEX(offices!$O$2:$O$61,MATCH($B62,offices!$A$2:$A$61,0))="","",INDEX(offices!$O$2:$O$61,MATCH($B62,offices!$A$2:$A$61,0))),""))</f>
        <v/>
      </c>
      <c r="S62" s="30" t="str">
        <f aca="false">IF($B62="","",IFERROR(IF(INDEX(offices!$P$2:$P$61,MATCH($B62,offices!$A$2:$A$61,0))="","",INDEX(offices!$P$2:$P$61,MATCH($B62,offices!$A$2:$A$61,0))),""))</f>
        <v/>
      </c>
      <c r="T62" s="30" t="str">
        <f aca="false">IF($B62="","",IFERROR(IF(INDEX(offices!$Y$2:$Y$61,MATCH($B62,offices!$A$2:$A$61,0))="","",INDEX(offices!$Y$2:$Y$61,MATCH($B62,offices!$A$2:$A$61,0))),""))</f>
        <v/>
      </c>
      <c r="U62" s="30" t="str">
        <f aca="false">IF($B62="","",IFERROR(IF(INDEX(offices!$X$2:$X$61,MATCH($B62,offices!$A$2:$A$61,0))="","",INDEX(offices!$X$2:$X$61,MATCH($B62,offices!$A$2:$A$61,0))),""))</f>
        <v/>
      </c>
      <c r="V62" s="30" t="str">
        <f aca="false">IF($B62="","",IFERROR(IF(INDEX(offices!$U$2:$U$61,MATCH($B62,offices!$A$2:$A$61,0))="","",INDEX(offices!$U$2:$U$61,MATCH($B62,offices!$A$2:$A$61,0))),""))</f>
        <v/>
      </c>
      <c r="W62" s="30" t="str">
        <f aca="false">IF($B62="","",IFERROR(IF(INDEX(offices!$AI$2:$AI$61,MATCH($B62,offices!$A$2:$A$61,0))="","",INDEX(offices!$AI$2:$AI$61,MATCH($B62,offices!$A$2:$A$61,0))),""))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Z$2:$Z$61,MATCH($B62,offices!$A$2:$A$61,0))="","",INDEX(offices!$Z$2:$Z$61,MATCH($B62,offices!$A$2:$A$61,0))),"")="yes",IFERROR(IF(INDEX(offices!$Z$2:$Z$61,MATCH($B62,offices!$A$2:$A$61,0))="","",INDEX(offices!$Z$2:$Z$61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","")&amp;IF(AND($U62="front desk",$X62&lt;&gt;"Y"),"info: front desk not agreed: the owner must take it; ",""))</f>
        <v/>
      </c>
    </row>
    <row r="63" customFormat="false" ht="15" hidden="false" customHeight="false" outlineLevel="0" collapsed="false">
      <c r="D63" s="38"/>
      <c r="E63" s="11"/>
      <c r="F63" s="11"/>
      <c r="G63" s="11"/>
      <c r="I63" s="38"/>
      <c r="J63" s="38"/>
      <c r="K63" s="10"/>
      <c r="L63" s="10"/>
      <c r="N63" s="11"/>
      <c r="P63" s="31" t="str">
        <f aca="false">IF($A63="","",IF(IFERROR(IF(INDEX(drops!$I$2:$I$21,MATCH($A63,drops!$A$2:$A$21,0))="","",INDEX(drops!$I$2:$I$21,MATCH($A63,drops!$A$2:$A$21,0))),"")="OK",IFERROR(IF(INDEX(drops!$B$2:$B$21,MATCH($A63,drops!$A$2:$A$21,0))="","",INDEX(drops!$B$2:$B$21,MATCH($A63,drops!$A$2:$A$21,0))),""),""))</f>
        <v/>
      </c>
      <c r="Q63" s="30" t="str">
        <f aca="false">IF($B63="","",IFERROR(IF(INDEX(offices!$N$2:$N$61,MATCH($B63,offices!$A$2:$A$61,0))="","",INDEX(offices!$N$2:$N$61,MATCH($B63,offices!$A$2:$A$61,0))),""))</f>
        <v/>
      </c>
      <c r="R63" s="30" t="str">
        <f aca="false">IF($B63="","",IFERROR(IF(INDEX(offices!$O$2:$O$61,MATCH($B63,offices!$A$2:$A$61,0))="","",INDEX(offices!$O$2:$O$61,MATCH($B63,offices!$A$2:$A$61,0))),""))</f>
        <v/>
      </c>
      <c r="S63" s="30" t="str">
        <f aca="false">IF($B63="","",IFERROR(IF(INDEX(offices!$P$2:$P$61,MATCH($B63,offices!$A$2:$A$61,0))="","",INDEX(offices!$P$2:$P$61,MATCH($B63,offices!$A$2:$A$61,0))),""))</f>
        <v/>
      </c>
      <c r="T63" s="30" t="str">
        <f aca="false">IF($B63="","",IFERROR(IF(INDEX(offices!$Y$2:$Y$61,MATCH($B63,offices!$A$2:$A$61,0))="","",INDEX(offices!$Y$2:$Y$61,MATCH($B63,offices!$A$2:$A$61,0))),""))</f>
        <v/>
      </c>
      <c r="U63" s="30" t="str">
        <f aca="false">IF($B63="","",IFERROR(IF(INDEX(offices!$X$2:$X$61,MATCH($B63,offices!$A$2:$A$61,0))="","",INDEX(offices!$X$2:$X$61,MATCH($B63,offices!$A$2:$A$61,0))),""))</f>
        <v/>
      </c>
      <c r="V63" s="30" t="str">
        <f aca="false">IF($B63="","",IFERROR(IF(INDEX(offices!$U$2:$U$61,MATCH($B63,offices!$A$2:$A$61,0))="","",INDEX(offices!$U$2:$U$61,MATCH($B63,offices!$A$2:$A$61,0))),""))</f>
        <v/>
      </c>
      <c r="W63" s="30" t="str">
        <f aca="false">IF($B63="","",IFERROR(IF(INDEX(offices!$AI$2:$AI$61,MATCH($B63,offices!$A$2:$A$61,0))="","",INDEX(offices!$AI$2:$AI$61,MATCH($B63,offices!$A$2:$A$61,0))),""))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Z$2:$Z$61,MATCH($B63,offices!$A$2:$A$61,0))="","",INDEX(offices!$Z$2:$Z$61,MATCH($B63,offices!$A$2:$A$61,0))),"")="yes",IFERROR(IF(INDEX(offices!$Z$2:$Z$61,MATCH($B63,offices!$A$2:$A$61,0))="","",INDEX(offices!$Z$2:$Z$61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","")&amp;IF(AND($U63="front desk",$X63&lt;&gt;"Y"),"info: front desk not agreed: the owner must take it; ",""))</f>
        <v/>
      </c>
    </row>
    <row r="64" customFormat="false" ht="15" hidden="false" customHeight="false" outlineLevel="0" collapsed="false">
      <c r="D64" s="38"/>
      <c r="E64" s="11"/>
      <c r="F64" s="11"/>
      <c r="G64" s="11"/>
      <c r="I64" s="38"/>
      <c r="J64" s="38"/>
      <c r="K64" s="10"/>
      <c r="L64" s="10"/>
      <c r="N64" s="11"/>
      <c r="P64" s="31" t="str">
        <f aca="false">IF($A64="","",IF(IFERROR(IF(INDEX(drops!$I$2:$I$21,MATCH($A64,drops!$A$2:$A$21,0))="","",INDEX(drops!$I$2:$I$21,MATCH($A64,drops!$A$2:$A$21,0))),"")="OK",IFERROR(IF(INDEX(drops!$B$2:$B$21,MATCH($A64,drops!$A$2:$A$21,0))="","",INDEX(drops!$B$2:$B$21,MATCH($A64,drops!$A$2:$A$21,0))),""),""))</f>
        <v/>
      </c>
      <c r="Q64" s="30" t="str">
        <f aca="false">IF($B64="","",IFERROR(IF(INDEX(offices!$N$2:$N$61,MATCH($B64,offices!$A$2:$A$61,0))="","",INDEX(offices!$N$2:$N$61,MATCH($B64,offices!$A$2:$A$61,0))),""))</f>
        <v/>
      </c>
      <c r="R64" s="30" t="str">
        <f aca="false">IF($B64="","",IFERROR(IF(INDEX(offices!$O$2:$O$61,MATCH($B64,offices!$A$2:$A$61,0))="","",INDEX(offices!$O$2:$O$61,MATCH($B64,offices!$A$2:$A$61,0))),""))</f>
        <v/>
      </c>
      <c r="S64" s="30" t="str">
        <f aca="false">IF($B64="","",IFERROR(IF(INDEX(offices!$P$2:$P$61,MATCH($B64,offices!$A$2:$A$61,0))="","",INDEX(offices!$P$2:$P$61,MATCH($B64,offices!$A$2:$A$61,0))),""))</f>
        <v/>
      </c>
      <c r="T64" s="30" t="str">
        <f aca="false">IF($B64="","",IFERROR(IF(INDEX(offices!$Y$2:$Y$61,MATCH($B64,offices!$A$2:$A$61,0))="","",INDEX(offices!$Y$2:$Y$61,MATCH($B64,offices!$A$2:$A$61,0))),""))</f>
        <v/>
      </c>
      <c r="U64" s="30" t="str">
        <f aca="false">IF($B64="","",IFERROR(IF(INDEX(offices!$X$2:$X$61,MATCH($B64,offices!$A$2:$A$61,0))="","",INDEX(offices!$X$2:$X$61,MATCH($B64,offices!$A$2:$A$61,0))),""))</f>
        <v/>
      </c>
      <c r="V64" s="30" t="str">
        <f aca="false">IF($B64="","",IFERROR(IF(INDEX(offices!$U$2:$U$61,MATCH($B64,offices!$A$2:$A$61,0))="","",INDEX(offices!$U$2:$U$61,MATCH($B64,offices!$A$2:$A$61,0))),""))</f>
        <v/>
      </c>
      <c r="W64" s="30" t="str">
        <f aca="false">IF($B64="","",IFERROR(IF(INDEX(offices!$AI$2:$AI$61,MATCH($B64,offices!$A$2:$A$61,0))="","",INDEX(offices!$AI$2:$AI$61,MATCH($B64,offices!$A$2:$A$61,0))),""))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Z$2:$Z$61,MATCH($B64,offices!$A$2:$A$61,0))="","",INDEX(offices!$Z$2:$Z$61,MATCH($B64,offices!$A$2:$A$61,0))),"")="yes",IFERROR(IF(INDEX(offices!$Z$2:$Z$61,MATCH($B64,offices!$A$2:$A$61,0))="","",INDEX(offices!$Z$2:$Z$61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","")&amp;IF(AND($U64="front desk",$X64&lt;&gt;"Y"),"info: front desk not agreed: the owner must take it; ",""))</f>
        <v/>
      </c>
    </row>
    <row r="65" customFormat="false" ht="15" hidden="false" customHeight="false" outlineLevel="0" collapsed="false">
      <c r="D65" s="38"/>
      <c r="E65" s="11"/>
      <c r="F65" s="11"/>
      <c r="G65" s="11"/>
      <c r="I65" s="38"/>
      <c r="J65" s="38"/>
      <c r="K65" s="10"/>
      <c r="L65" s="10"/>
      <c r="N65" s="11"/>
      <c r="P65" s="31" t="str">
        <f aca="false">IF($A65="","",IF(IFERROR(IF(INDEX(drops!$I$2:$I$21,MATCH($A65,drops!$A$2:$A$21,0))="","",INDEX(drops!$I$2:$I$21,MATCH($A65,drops!$A$2:$A$21,0))),"")="OK",IFERROR(IF(INDEX(drops!$B$2:$B$21,MATCH($A65,drops!$A$2:$A$21,0))="","",INDEX(drops!$B$2:$B$21,MATCH($A65,drops!$A$2:$A$21,0))),""),""))</f>
        <v/>
      </c>
      <c r="Q65" s="30" t="str">
        <f aca="false">IF($B65="","",IFERROR(IF(INDEX(offices!$N$2:$N$61,MATCH($B65,offices!$A$2:$A$61,0))="","",INDEX(offices!$N$2:$N$61,MATCH($B65,offices!$A$2:$A$61,0))),""))</f>
        <v/>
      </c>
      <c r="R65" s="30" t="str">
        <f aca="false">IF($B65="","",IFERROR(IF(INDEX(offices!$O$2:$O$61,MATCH($B65,offices!$A$2:$A$61,0))="","",INDEX(offices!$O$2:$O$61,MATCH($B65,offices!$A$2:$A$61,0))),""))</f>
        <v/>
      </c>
      <c r="S65" s="30" t="str">
        <f aca="false">IF($B65="","",IFERROR(IF(INDEX(offices!$P$2:$P$61,MATCH($B65,offices!$A$2:$A$61,0))="","",INDEX(offices!$P$2:$P$61,MATCH($B65,offices!$A$2:$A$61,0))),""))</f>
        <v/>
      </c>
      <c r="T65" s="30" t="str">
        <f aca="false">IF($B65="","",IFERROR(IF(INDEX(offices!$Y$2:$Y$61,MATCH($B65,offices!$A$2:$A$61,0))="","",INDEX(offices!$Y$2:$Y$61,MATCH($B65,offices!$A$2:$A$61,0))),""))</f>
        <v/>
      </c>
      <c r="U65" s="30" t="str">
        <f aca="false">IF($B65="","",IFERROR(IF(INDEX(offices!$X$2:$X$61,MATCH($B65,offices!$A$2:$A$61,0))="","",INDEX(offices!$X$2:$X$61,MATCH($B65,offices!$A$2:$A$61,0))),""))</f>
        <v/>
      </c>
      <c r="V65" s="30" t="str">
        <f aca="false">IF($B65="","",IFERROR(IF(INDEX(offices!$U$2:$U$61,MATCH($B65,offices!$A$2:$A$61,0))="","",INDEX(offices!$U$2:$U$61,MATCH($B65,offices!$A$2:$A$61,0))),""))</f>
        <v/>
      </c>
      <c r="W65" s="30" t="str">
        <f aca="false">IF($B65="","",IFERROR(IF(INDEX(offices!$AI$2:$AI$61,MATCH($B65,offices!$A$2:$A$61,0))="","",INDEX(offices!$AI$2:$AI$61,MATCH($B65,offices!$A$2:$A$61,0))),""))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Z$2:$Z$61,MATCH($B65,offices!$A$2:$A$61,0))="","",INDEX(offices!$Z$2:$Z$61,MATCH($B65,offices!$A$2:$A$61,0))),"")="yes",IFERROR(IF(INDEX(offices!$Z$2:$Z$61,MATCH($B65,offices!$A$2:$A$61,0))="","",INDEX(offices!$Z$2:$Z$61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","")&amp;IF(AND($U65="front desk",$X65&lt;&gt;"Y"),"info: front desk not agreed: the owner must take it; ",""))</f>
        <v/>
      </c>
    </row>
    <row r="66" customFormat="false" ht="15" hidden="false" customHeight="false" outlineLevel="0" collapsed="false">
      <c r="D66" s="38"/>
      <c r="E66" s="11"/>
      <c r="F66" s="11"/>
      <c r="G66" s="11"/>
      <c r="I66" s="38"/>
      <c r="J66" s="38"/>
      <c r="K66" s="10"/>
      <c r="L66" s="10"/>
      <c r="N66" s="11"/>
      <c r="P66" s="31" t="str">
        <f aca="false">IF($A66="","",IF(IFERROR(IF(INDEX(drops!$I$2:$I$21,MATCH($A66,drops!$A$2:$A$21,0))="","",INDEX(drops!$I$2:$I$21,MATCH($A66,drops!$A$2:$A$21,0))),"")="OK",IFERROR(IF(INDEX(drops!$B$2:$B$21,MATCH($A66,drops!$A$2:$A$21,0))="","",INDEX(drops!$B$2:$B$21,MATCH($A66,drops!$A$2:$A$21,0))),""),""))</f>
        <v/>
      </c>
      <c r="Q66" s="30" t="str">
        <f aca="false">IF($B66="","",IFERROR(IF(INDEX(offices!$N$2:$N$61,MATCH($B66,offices!$A$2:$A$61,0))="","",INDEX(offices!$N$2:$N$61,MATCH($B66,offices!$A$2:$A$61,0))),""))</f>
        <v/>
      </c>
      <c r="R66" s="30" t="str">
        <f aca="false">IF($B66="","",IFERROR(IF(INDEX(offices!$O$2:$O$61,MATCH($B66,offices!$A$2:$A$61,0))="","",INDEX(offices!$O$2:$O$61,MATCH($B66,offices!$A$2:$A$61,0))),""))</f>
        <v/>
      </c>
      <c r="S66" s="30" t="str">
        <f aca="false">IF($B66="","",IFERROR(IF(INDEX(offices!$P$2:$P$61,MATCH($B66,offices!$A$2:$A$61,0))="","",INDEX(offices!$P$2:$P$61,MATCH($B66,offices!$A$2:$A$61,0))),""))</f>
        <v/>
      </c>
      <c r="T66" s="30" t="str">
        <f aca="false">IF($B66="","",IFERROR(IF(INDEX(offices!$Y$2:$Y$61,MATCH($B66,offices!$A$2:$A$61,0))="","",INDEX(offices!$Y$2:$Y$61,MATCH($B66,offices!$A$2:$A$61,0))),""))</f>
        <v/>
      </c>
      <c r="U66" s="30" t="str">
        <f aca="false">IF($B66="","",IFERROR(IF(INDEX(offices!$X$2:$X$61,MATCH($B66,offices!$A$2:$A$61,0))="","",INDEX(offices!$X$2:$X$61,MATCH($B66,offices!$A$2:$A$61,0))),""))</f>
        <v/>
      </c>
      <c r="V66" s="30" t="str">
        <f aca="false">IF($B66="","",IFERROR(IF(INDEX(offices!$U$2:$U$61,MATCH($B66,offices!$A$2:$A$61,0))="","",INDEX(offices!$U$2:$U$61,MATCH($B66,offices!$A$2:$A$61,0))),""))</f>
        <v/>
      </c>
      <c r="W66" s="30" t="str">
        <f aca="false">IF($B66="","",IFERROR(IF(INDEX(offices!$AI$2:$AI$61,MATCH($B66,offices!$A$2:$A$61,0))="","",INDEX(offices!$AI$2:$AI$61,MATCH($B66,offices!$A$2:$A$61,0))),""))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Z$2:$Z$61,MATCH($B66,offices!$A$2:$A$61,0))="","",INDEX(offices!$Z$2:$Z$61,MATCH($B66,offices!$A$2:$A$61,0))),"")="yes",IFERROR(IF(INDEX(offices!$Z$2:$Z$61,MATCH($B66,offices!$A$2:$A$61,0))="","",INDEX(offices!$Z$2:$Z$61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","")&amp;IF(AND($U66="front desk",$X66&lt;&gt;"Y"),"info: front desk not agreed: the owner must take it; ",""))</f>
        <v/>
      </c>
    </row>
    <row r="67" customFormat="false" ht="15" hidden="false" customHeight="false" outlineLevel="0" collapsed="false">
      <c r="D67" s="38"/>
      <c r="E67" s="11"/>
      <c r="F67" s="11"/>
      <c r="G67" s="11"/>
      <c r="I67" s="38"/>
      <c r="J67" s="38"/>
      <c r="K67" s="10"/>
      <c r="L67" s="10"/>
      <c r="N67" s="11"/>
      <c r="P67" s="31" t="str">
        <f aca="false">IF($A67="","",IF(IFERROR(IF(INDEX(drops!$I$2:$I$21,MATCH($A67,drops!$A$2:$A$21,0))="","",INDEX(drops!$I$2:$I$21,MATCH($A67,drops!$A$2:$A$21,0))),"")="OK",IFERROR(IF(INDEX(drops!$B$2:$B$21,MATCH($A67,drops!$A$2:$A$21,0))="","",INDEX(drops!$B$2:$B$21,MATCH($A67,drops!$A$2:$A$21,0))),""),""))</f>
        <v/>
      </c>
      <c r="Q67" s="30" t="str">
        <f aca="false">IF($B67="","",IFERROR(IF(INDEX(offices!$N$2:$N$61,MATCH($B67,offices!$A$2:$A$61,0))="","",INDEX(offices!$N$2:$N$61,MATCH($B67,offices!$A$2:$A$61,0))),""))</f>
        <v/>
      </c>
      <c r="R67" s="30" t="str">
        <f aca="false">IF($B67="","",IFERROR(IF(INDEX(offices!$O$2:$O$61,MATCH($B67,offices!$A$2:$A$61,0))="","",INDEX(offices!$O$2:$O$61,MATCH($B67,offices!$A$2:$A$61,0))),""))</f>
        <v/>
      </c>
      <c r="S67" s="30" t="str">
        <f aca="false">IF($B67="","",IFERROR(IF(INDEX(offices!$P$2:$P$61,MATCH($B67,offices!$A$2:$A$61,0))="","",INDEX(offices!$P$2:$P$61,MATCH($B67,offices!$A$2:$A$61,0))),""))</f>
        <v/>
      </c>
      <c r="T67" s="30" t="str">
        <f aca="false">IF($B67="","",IFERROR(IF(INDEX(offices!$Y$2:$Y$61,MATCH($B67,offices!$A$2:$A$61,0))="","",INDEX(offices!$Y$2:$Y$61,MATCH($B67,offices!$A$2:$A$61,0))),""))</f>
        <v/>
      </c>
      <c r="U67" s="30" t="str">
        <f aca="false">IF($B67="","",IFERROR(IF(INDEX(offices!$X$2:$X$61,MATCH($B67,offices!$A$2:$A$61,0))="","",INDEX(offices!$X$2:$X$61,MATCH($B67,offices!$A$2:$A$61,0))),""))</f>
        <v/>
      </c>
      <c r="V67" s="30" t="str">
        <f aca="false">IF($B67="","",IFERROR(IF(INDEX(offices!$U$2:$U$61,MATCH($B67,offices!$A$2:$A$61,0))="","",INDEX(offices!$U$2:$U$61,MATCH($B67,offices!$A$2:$A$61,0))),""))</f>
        <v/>
      </c>
      <c r="W67" s="30" t="str">
        <f aca="false">IF($B67="","",IFERROR(IF(INDEX(offices!$AI$2:$AI$61,MATCH($B67,offices!$A$2:$A$61,0))="","",INDEX(offices!$AI$2:$AI$61,MATCH($B67,offices!$A$2:$A$61,0))),""))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Z$2:$Z$61,MATCH($B67,offices!$A$2:$A$61,0))="","",INDEX(offices!$Z$2:$Z$61,MATCH($B67,offices!$A$2:$A$61,0))),"")="yes",IFERROR(IF(INDEX(offices!$Z$2:$Z$61,MATCH($B67,offices!$A$2:$A$61,0))="","",INDEX(offices!$Z$2:$Z$61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","")&amp;IF(AND($U67="front desk",$X67&lt;&gt;"Y"),"info: front desk not agreed: the owner must take it; ",""))</f>
        <v/>
      </c>
    </row>
    <row r="68" customFormat="false" ht="15" hidden="false" customHeight="false" outlineLevel="0" collapsed="false">
      <c r="D68" s="38"/>
      <c r="E68" s="11"/>
      <c r="F68" s="11"/>
      <c r="G68" s="11"/>
      <c r="I68" s="38"/>
      <c r="J68" s="38"/>
      <c r="K68" s="10"/>
      <c r="L68" s="10"/>
      <c r="N68" s="11"/>
      <c r="P68" s="31" t="str">
        <f aca="false">IF($A68="","",IF(IFERROR(IF(INDEX(drops!$I$2:$I$21,MATCH($A68,drops!$A$2:$A$21,0))="","",INDEX(drops!$I$2:$I$21,MATCH($A68,drops!$A$2:$A$21,0))),"")="OK",IFERROR(IF(INDEX(drops!$B$2:$B$21,MATCH($A68,drops!$A$2:$A$21,0))="","",INDEX(drops!$B$2:$B$21,MATCH($A68,drops!$A$2:$A$21,0))),""),""))</f>
        <v/>
      </c>
      <c r="Q68" s="30" t="str">
        <f aca="false">IF($B68="","",IFERROR(IF(INDEX(offices!$N$2:$N$61,MATCH($B68,offices!$A$2:$A$61,0))="","",INDEX(offices!$N$2:$N$61,MATCH($B68,offices!$A$2:$A$61,0))),""))</f>
        <v/>
      </c>
      <c r="R68" s="30" t="str">
        <f aca="false">IF($B68="","",IFERROR(IF(INDEX(offices!$O$2:$O$61,MATCH($B68,offices!$A$2:$A$61,0))="","",INDEX(offices!$O$2:$O$61,MATCH($B68,offices!$A$2:$A$61,0))),""))</f>
        <v/>
      </c>
      <c r="S68" s="30" t="str">
        <f aca="false">IF($B68="","",IFERROR(IF(INDEX(offices!$P$2:$P$61,MATCH($B68,offices!$A$2:$A$61,0))="","",INDEX(offices!$P$2:$P$61,MATCH($B68,offices!$A$2:$A$61,0))),""))</f>
        <v/>
      </c>
      <c r="T68" s="30" t="str">
        <f aca="false">IF($B68="","",IFERROR(IF(INDEX(offices!$Y$2:$Y$61,MATCH($B68,offices!$A$2:$A$61,0))="","",INDEX(offices!$Y$2:$Y$61,MATCH($B68,offices!$A$2:$A$61,0))),""))</f>
        <v/>
      </c>
      <c r="U68" s="30" t="str">
        <f aca="false">IF($B68="","",IFERROR(IF(INDEX(offices!$X$2:$X$61,MATCH($B68,offices!$A$2:$A$61,0))="","",INDEX(offices!$X$2:$X$61,MATCH($B68,offices!$A$2:$A$61,0))),""))</f>
        <v/>
      </c>
      <c r="V68" s="30" t="str">
        <f aca="false">IF($B68="","",IFERROR(IF(INDEX(offices!$U$2:$U$61,MATCH($B68,offices!$A$2:$A$61,0))="","",INDEX(offices!$U$2:$U$61,MATCH($B68,offices!$A$2:$A$61,0))),""))</f>
        <v/>
      </c>
      <c r="W68" s="30" t="str">
        <f aca="false">IF($B68="","",IFERROR(IF(INDEX(offices!$AI$2:$AI$61,MATCH($B68,offices!$A$2:$A$61,0))="","",INDEX(offices!$AI$2:$AI$61,MATCH($B68,offices!$A$2:$A$61,0))),""))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Z$2:$Z$61,MATCH($B68,offices!$A$2:$A$61,0))="","",INDEX(offices!$Z$2:$Z$61,MATCH($B68,offices!$A$2:$A$61,0))),"")="yes",IFERROR(IF(INDEX(offices!$Z$2:$Z$61,MATCH($B68,offices!$A$2:$A$61,0))="","",INDEX(offices!$Z$2:$Z$61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","")&amp;IF(AND($U68="front desk",$X68&lt;&gt;"Y"),"info: front desk not agreed: the owner must take it; ",""))</f>
        <v/>
      </c>
    </row>
    <row r="69" customFormat="false" ht="15" hidden="false" customHeight="false" outlineLevel="0" collapsed="false">
      <c r="D69" s="38"/>
      <c r="E69" s="11"/>
      <c r="F69" s="11"/>
      <c r="G69" s="11"/>
      <c r="I69" s="38"/>
      <c r="J69" s="38"/>
      <c r="K69" s="10"/>
      <c r="L69" s="10"/>
      <c r="N69" s="11"/>
      <c r="P69" s="31" t="str">
        <f aca="false">IF($A69="","",IF(IFERROR(IF(INDEX(drops!$I$2:$I$21,MATCH($A69,drops!$A$2:$A$21,0))="","",INDEX(drops!$I$2:$I$21,MATCH($A69,drops!$A$2:$A$21,0))),"")="OK",IFERROR(IF(INDEX(drops!$B$2:$B$21,MATCH($A69,drops!$A$2:$A$21,0))="","",INDEX(drops!$B$2:$B$21,MATCH($A69,drops!$A$2:$A$21,0))),""),""))</f>
        <v/>
      </c>
      <c r="Q69" s="30" t="str">
        <f aca="false">IF($B69="","",IFERROR(IF(INDEX(offices!$N$2:$N$61,MATCH($B69,offices!$A$2:$A$61,0))="","",INDEX(offices!$N$2:$N$61,MATCH($B69,offices!$A$2:$A$61,0))),""))</f>
        <v/>
      </c>
      <c r="R69" s="30" t="str">
        <f aca="false">IF($B69="","",IFERROR(IF(INDEX(offices!$O$2:$O$61,MATCH($B69,offices!$A$2:$A$61,0))="","",INDEX(offices!$O$2:$O$61,MATCH($B69,offices!$A$2:$A$61,0))),""))</f>
        <v/>
      </c>
      <c r="S69" s="30" t="str">
        <f aca="false">IF($B69="","",IFERROR(IF(INDEX(offices!$P$2:$P$61,MATCH($B69,offices!$A$2:$A$61,0))="","",INDEX(offices!$P$2:$P$61,MATCH($B69,offices!$A$2:$A$61,0))),""))</f>
        <v/>
      </c>
      <c r="T69" s="30" t="str">
        <f aca="false">IF($B69="","",IFERROR(IF(INDEX(offices!$Y$2:$Y$61,MATCH($B69,offices!$A$2:$A$61,0))="","",INDEX(offices!$Y$2:$Y$61,MATCH($B69,offices!$A$2:$A$61,0))),""))</f>
        <v/>
      </c>
      <c r="U69" s="30" t="str">
        <f aca="false">IF($B69="","",IFERROR(IF(INDEX(offices!$X$2:$X$61,MATCH($B69,offices!$A$2:$A$61,0))="","",INDEX(offices!$X$2:$X$61,MATCH($B69,offices!$A$2:$A$61,0))),""))</f>
        <v/>
      </c>
      <c r="V69" s="30" t="str">
        <f aca="false">IF($B69="","",IFERROR(IF(INDEX(offices!$U$2:$U$61,MATCH($B69,offices!$A$2:$A$61,0))="","",INDEX(offices!$U$2:$U$61,MATCH($B69,offices!$A$2:$A$61,0))),""))</f>
        <v/>
      </c>
      <c r="W69" s="30" t="str">
        <f aca="false">IF($B69="","",IFERROR(IF(INDEX(offices!$AI$2:$AI$61,MATCH($B69,offices!$A$2:$A$61,0))="","",INDEX(offices!$AI$2:$AI$61,MATCH($B69,offices!$A$2:$A$61,0))),""))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Z$2:$Z$61,MATCH($B69,offices!$A$2:$A$61,0))="","",INDEX(offices!$Z$2:$Z$61,MATCH($B69,offices!$A$2:$A$61,0))),"")="yes",IFERROR(IF(INDEX(offices!$Z$2:$Z$61,MATCH($B69,offices!$A$2:$A$61,0))="","",INDEX(offices!$Z$2:$Z$61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","")&amp;IF(AND($U69="front desk",$X69&lt;&gt;"Y"),"info: front desk not agreed: the owner must take it; ",""))</f>
        <v/>
      </c>
    </row>
    <row r="70" customFormat="false" ht="15" hidden="false" customHeight="false" outlineLevel="0" collapsed="false">
      <c r="D70" s="38"/>
      <c r="E70" s="11"/>
      <c r="F70" s="11"/>
      <c r="G70" s="11"/>
      <c r="I70" s="38"/>
      <c r="J70" s="38"/>
      <c r="K70" s="10"/>
      <c r="L70" s="10"/>
      <c r="N70" s="11"/>
      <c r="P70" s="31" t="str">
        <f aca="false">IF($A70="","",IF(IFERROR(IF(INDEX(drops!$I$2:$I$21,MATCH($A70,drops!$A$2:$A$21,0))="","",INDEX(drops!$I$2:$I$21,MATCH($A70,drops!$A$2:$A$21,0))),"")="OK",IFERROR(IF(INDEX(drops!$B$2:$B$21,MATCH($A70,drops!$A$2:$A$21,0))="","",INDEX(drops!$B$2:$B$21,MATCH($A70,drops!$A$2:$A$21,0))),""),""))</f>
        <v/>
      </c>
      <c r="Q70" s="30" t="str">
        <f aca="false">IF($B70="","",IFERROR(IF(INDEX(offices!$N$2:$N$61,MATCH($B70,offices!$A$2:$A$61,0))="","",INDEX(offices!$N$2:$N$61,MATCH($B70,offices!$A$2:$A$61,0))),""))</f>
        <v/>
      </c>
      <c r="R70" s="30" t="str">
        <f aca="false">IF($B70="","",IFERROR(IF(INDEX(offices!$O$2:$O$61,MATCH($B70,offices!$A$2:$A$61,0))="","",INDEX(offices!$O$2:$O$61,MATCH($B70,offices!$A$2:$A$61,0))),""))</f>
        <v/>
      </c>
      <c r="S70" s="30" t="str">
        <f aca="false">IF($B70="","",IFERROR(IF(INDEX(offices!$P$2:$P$61,MATCH($B70,offices!$A$2:$A$61,0))="","",INDEX(offices!$P$2:$P$61,MATCH($B70,offices!$A$2:$A$61,0))),""))</f>
        <v/>
      </c>
      <c r="T70" s="30" t="str">
        <f aca="false">IF($B70="","",IFERROR(IF(INDEX(offices!$Y$2:$Y$61,MATCH($B70,offices!$A$2:$A$61,0))="","",INDEX(offices!$Y$2:$Y$61,MATCH($B70,offices!$A$2:$A$61,0))),""))</f>
        <v/>
      </c>
      <c r="U70" s="30" t="str">
        <f aca="false">IF($B70="","",IFERROR(IF(INDEX(offices!$X$2:$X$61,MATCH($B70,offices!$A$2:$A$61,0))="","",INDEX(offices!$X$2:$X$61,MATCH($B70,offices!$A$2:$A$61,0))),""))</f>
        <v/>
      </c>
      <c r="V70" s="30" t="str">
        <f aca="false">IF($B70="","",IFERROR(IF(INDEX(offices!$U$2:$U$61,MATCH($B70,offices!$A$2:$A$61,0))="","",INDEX(offices!$U$2:$U$61,MATCH($B70,offices!$A$2:$A$61,0))),""))</f>
        <v/>
      </c>
      <c r="W70" s="30" t="str">
        <f aca="false">IF($B70="","",IFERROR(IF(INDEX(offices!$AI$2:$AI$61,MATCH($B70,offices!$A$2:$A$61,0))="","",INDEX(offices!$AI$2:$AI$61,MATCH($B70,offices!$A$2:$A$61,0))),""))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Z$2:$Z$61,MATCH($B70,offices!$A$2:$A$61,0))="","",INDEX(offices!$Z$2:$Z$61,MATCH($B70,offices!$A$2:$A$61,0))),"")="yes",IFERROR(IF(INDEX(offices!$Z$2:$Z$61,MATCH($B70,offices!$A$2:$A$61,0))="","",INDEX(offices!$Z$2:$Z$61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","")&amp;IF(AND($U70="front desk",$X70&lt;&gt;"Y"),"info: front desk not agreed: the owner must take it; ",""))</f>
        <v/>
      </c>
    </row>
    <row r="71" customFormat="false" ht="15" hidden="false" customHeight="false" outlineLevel="0" collapsed="false">
      <c r="D71" s="38"/>
      <c r="E71" s="11"/>
      <c r="F71" s="11"/>
      <c r="G71" s="11"/>
      <c r="I71" s="38"/>
      <c r="J71" s="38"/>
      <c r="K71" s="10"/>
      <c r="L71" s="10"/>
      <c r="N71" s="11"/>
      <c r="P71" s="31" t="str">
        <f aca="false">IF($A71="","",IF(IFERROR(IF(INDEX(drops!$I$2:$I$21,MATCH($A71,drops!$A$2:$A$21,0))="","",INDEX(drops!$I$2:$I$21,MATCH($A71,drops!$A$2:$A$21,0))),"")="OK",IFERROR(IF(INDEX(drops!$B$2:$B$21,MATCH($A71,drops!$A$2:$A$21,0))="","",INDEX(drops!$B$2:$B$21,MATCH($A71,drops!$A$2:$A$21,0))),""),""))</f>
        <v/>
      </c>
      <c r="Q71" s="30" t="str">
        <f aca="false">IF($B71="","",IFERROR(IF(INDEX(offices!$N$2:$N$61,MATCH($B71,offices!$A$2:$A$61,0))="","",INDEX(offices!$N$2:$N$61,MATCH($B71,offices!$A$2:$A$61,0))),""))</f>
        <v/>
      </c>
      <c r="R71" s="30" t="str">
        <f aca="false">IF($B71="","",IFERROR(IF(INDEX(offices!$O$2:$O$61,MATCH($B71,offices!$A$2:$A$61,0))="","",INDEX(offices!$O$2:$O$61,MATCH($B71,offices!$A$2:$A$61,0))),""))</f>
        <v/>
      </c>
      <c r="S71" s="30" t="str">
        <f aca="false">IF($B71="","",IFERROR(IF(INDEX(offices!$P$2:$P$61,MATCH($B71,offices!$A$2:$A$61,0))="","",INDEX(offices!$P$2:$P$61,MATCH($B71,offices!$A$2:$A$61,0))),""))</f>
        <v/>
      </c>
      <c r="T71" s="30" t="str">
        <f aca="false">IF($B71="","",IFERROR(IF(INDEX(offices!$Y$2:$Y$61,MATCH($B71,offices!$A$2:$A$61,0))="","",INDEX(offices!$Y$2:$Y$61,MATCH($B71,offices!$A$2:$A$61,0))),""))</f>
        <v/>
      </c>
      <c r="U71" s="30" t="str">
        <f aca="false">IF($B71="","",IFERROR(IF(INDEX(offices!$X$2:$X$61,MATCH($B71,offices!$A$2:$A$61,0))="","",INDEX(offices!$X$2:$X$61,MATCH($B71,offices!$A$2:$A$61,0))),""))</f>
        <v/>
      </c>
      <c r="V71" s="30" t="str">
        <f aca="false">IF($B71="","",IFERROR(IF(INDEX(offices!$U$2:$U$61,MATCH($B71,offices!$A$2:$A$61,0))="","",INDEX(offices!$U$2:$U$61,MATCH($B71,offices!$A$2:$A$61,0))),""))</f>
        <v/>
      </c>
      <c r="W71" s="30" t="str">
        <f aca="false">IF($B71="","",IFERROR(IF(INDEX(offices!$AI$2:$AI$61,MATCH($B71,offices!$A$2:$A$61,0))="","",INDEX(offices!$AI$2:$AI$61,MATCH($B71,offices!$A$2:$A$61,0))),""))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Z$2:$Z$61,MATCH($B71,offices!$A$2:$A$61,0))="","",INDEX(offices!$Z$2:$Z$61,MATCH($B71,offices!$A$2:$A$61,0))),"")="yes",IFERROR(IF(INDEX(offices!$Z$2:$Z$61,MATCH($B71,offices!$A$2:$A$61,0))="","",INDEX(offices!$Z$2:$Z$61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","")&amp;IF(AND($U71="front desk",$X71&lt;&gt;"Y"),"info: front desk not agreed: the owner must take it; ",""))</f>
        <v/>
      </c>
    </row>
    <row r="72" customFormat="false" ht="15" hidden="false" customHeight="false" outlineLevel="0" collapsed="false">
      <c r="D72" s="38"/>
      <c r="E72" s="11"/>
      <c r="F72" s="11"/>
      <c r="G72" s="11"/>
      <c r="I72" s="38"/>
      <c r="J72" s="38"/>
      <c r="K72" s="10"/>
      <c r="L72" s="10"/>
      <c r="N72" s="11"/>
      <c r="P72" s="31" t="str">
        <f aca="false">IF($A72="","",IF(IFERROR(IF(INDEX(drops!$I$2:$I$21,MATCH($A72,drops!$A$2:$A$21,0))="","",INDEX(drops!$I$2:$I$21,MATCH($A72,drops!$A$2:$A$21,0))),"")="OK",IFERROR(IF(INDEX(drops!$B$2:$B$21,MATCH($A72,drops!$A$2:$A$21,0))="","",INDEX(drops!$B$2:$B$21,MATCH($A72,drops!$A$2:$A$21,0))),""),""))</f>
        <v/>
      </c>
      <c r="Q72" s="30" t="str">
        <f aca="false">IF($B72="","",IFERROR(IF(INDEX(offices!$N$2:$N$61,MATCH($B72,offices!$A$2:$A$61,0))="","",INDEX(offices!$N$2:$N$61,MATCH($B72,offices!$A$2:$A$61,0))),""))</f>
        <v/>
      </c>
      <c r="R72" s="30" t="str">
        <f aca="false">IF($B72="","",IFERROR(IF(INDEX(offices!$O$2:$O$61,MATCH($B72,offices!$A$2:$A$61,0))="","",INDEX(offices!$O$2:$O$61,MATCH($B72,offices!$A$2:$A$61,0))),""))</f>
        <v/>
      </c>
      <c r="S72" s="30" t="str">
        <f aca="false">IF($B72="","",IFERROR(IF(INDEX(offices!$P$2:$P$61,MATCH($B72,offices!$A$2:$A$61,0))="","",INDEX(offices!$P$2:$P$61,MATCH($B72,offices!$A$2:$A$61,0))),""))</f>
        <v/>
      </c>
      <c r="T72" s="30" t="str">
        <f aca="false">IF($B72="","",IFERROR(IF(INDEX(offices!$Y$2:$Y$61,MATCH($B72,offices!$A$2:$A$61,0))="","",INDEX(offices!$Y$2:$Y$61,MATCH($B72,offices!$A$2:$A$61,0))),""))</f>
        <v/>
      </c>
      <c r="U72" s="30" t="str">
        <f aca="false">IF($B72="","",IFERROR(IF(INDEX(offices!$X$2:$X$61,MATCH($B72,offices!$A$2:$A$61,0))="","",INDEX(offices!$X$2:$X$61,MATCH($B72,offices!$A$2:$A$61,0))),""))</f>
        <v/>
      </c>
      <c r="V72" s="30" t="str">
        <f aca="false">IF($B72="","",IFERROR(IF(INDEX(offices!$U$2:$U$61,MATCH($B72,offices!$A$2:$A$61,0))="","",INDEX(offices!$U$2:$U$61,MATCH($B72,offices!$A$2:$A$61,0))),""))</f>
        <v/>
      </c>
      <c r="W72" s="30" t="str">
        <f aca="false">IF($B72="","",IFERROR(IF(INDEX(offices!$AI$2:$AI$61,MATCH($B72,offices!$A$2:$A$61,0))="","",INDEX(offices!$AI$2:$AI$61,MATCH($B72,offices!$A$2:$A$61,0))),""))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Z$2:$Z$61,MATCH($B72,offices!$A$2:$A$61,0))="","",INDEX(offices!$Z$2:$Z$61,MATCH($B72,offices!$A$2:$A$61,0))),"")="yes",IFERROR(IF(INDEX(offices!$Z$2:$Z$61,MATCH($B72,offices!$A$2:$A$61,0))="","",INDEX(offices!$Z$2:$Z$61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","")&amp;IF(AND($U72="front desk",$X72&lt;&gt;"Y"),"info: front desk not agreed: the owner must take it; ",""))</f>
        <v/>
      </c>
    </row>
    <row r="73" customFormat="false" ht="15" hidden="false" customHeight="false" outlineLevel="0" collapsed="false">
      <c r="D73" s="38"/>
      <c r="E73" s="11"/>
      <c r="F73" s="11"/>
      <c r="G73" s="11"/>
      <c r="I73" s="38"/>
      <c r="J73" s="38"/>
      <c r="K73" s="10"/>
      <c r="L73" s="10"/>
      <c r="N73" s="11"/>
      <c r="P73" s="31" t="str">
        <f aca="false">IF($A73="","",IF(IFERROR(IF(INDEX(drops!$I$2:$I$21,MATCH($A73,drops!$A$2:$A$21,0))="","",INDEX(drops!$I$2:$I$21,MATCH($A73,drops!$A$2:$A$21,0))),"")="OK",IFERROR(IF(INDEX(drops!$B$2:$B$21,MATCH($A73,drops!$A$2:$A$21,0))="","",INDEX(drops!$B$2:$B$21,MATCH($A73,drops!$A$2:$A$21,0))),""),""))</f>
        <v/>
      </c>
      <c r="Q73" s="30" t="str">
        <f aca="false">IF($B73="","",IFERROR(IF(INDEX(offices!$N$2:$N$61,MATCH($B73,offices!$A$2:$A$61,0))="","",INDEX(offices!$N$2:$N$61,MATCH($B73,offices!$A$2:$A$61,0))),""))</f>
        <v/>
      </c>
      <c r="R73" s="30" t="str">
        <f aca="false">IF($B73="","",IFERROR(IF(INDEX(offices!$O$2:$O$61,MATCH($B73,offices!$A$2:$A$61,0))="","",INDEX(offices!$O$2:$O$61,MATCH($B73,offices!$A$2:$A$61,0))),""))</f>
        <v/>
      </c>
      <c r="S73" s="30" t="str">
        <f aca="false">IF($B73="","",IFERROR(IF(INDEX(offices!$P$2:$P$61,MATCH($B73,offices!$A$2:$A$61,0))="","",INDEX(offices!$P$2:$P$61,MATCH($B73,offices!$A$2:$A$61,0))),""))</f>
        <v/>
      </c>
      <c r="T73" s="30" t="str">
        <f aca="false">IF($B73="","",IFERROR(IF(INDEX(offices!$Y$2:$Y$61,MATCH($B73,offices!$A$2:$A$61,0))="","",INDEX(offices!$Y$2:$Y$61,MATCH($B73,offices!$A$2:$A$61,0))),""))</f>
        <v/>
      </c>
      <c r="U73" s="30" t="str">
        <f aca="false">IF($B73="","",IFERROR(IF(INDEX(offices!$X$2:$X$61,MATCH($B73,offices!$A$2:$A$61,0))="","",INDEX(offices!$X$2:$X$61,MATCH($B73,offices!$A$2:$A$61,0))),""))</f>
        <v/>
      </c>
      <c r="V73" s="30" t="str">
        <f aca="false">IF($B73="","",IFERROR(IF(INDEX(offices!$U$2:$U$61,MATCH($B73,offices!$A$2:$A$61,0))="","",INDEX(offices!$U$2:$U$61,MATCH($B73,offices!$A$2:$A$61,0))),""))</f>
        <v/>
      </c>
      <c r="W73" s="30" t="str">
        <f aca="false">IF($B73="","",IFERROR(IF(INDEX(offices!$AI$2:$AI$61,MATCH($B73,offices!$A$2:$A$61,0))="","",INDEX(offices!$AI$2:$AI$61,MATCH($B73,offices!$A$2:$A$61,0))),""))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Z$2:$Z$61,MATCH($B73,offices!$A$2:$A$61,0))="","",INDEX(offices!$Z$2:$Z$61,MATCH($B73,offices!$A$2:$A$61,0))),"")="yes",IFERROR(IF(INDEX(offices!$Z$2:$Z$61,MATCH($B73,offices!$A$2:$A$61,0))="","",INDEX(offices!$Z$2:$Z$61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","")&amp;IF(AND($U73="front desk",$X73&lt;&gt;"Y"),"info: front desk not agreed: the owner must take it; ",""))</f>
        <v/>
      </c>
    </row>
    <row r="74" customFormat="false" ht="15" hidden="false" customHeight="false" outlineLevel="0" collapsed="false">
      <c r="D74" s="38"/>
      <c r="E74" s="11"/>
      <c r="F74" s="11"/>
      <c r="G74" s="11"/>
      <c r="I74" s="38"/>
      <c r="J74" s="38"/>
      <c r="K74" s="10"/>
      <c r="L74" s="10"/>
      <c r="N74" s="11"/>
      <c r="P74" s="31" t="str">
        <f aca="false">IF($A74="","",IF(IFERROR(IF(INDEX(drops!$I$2:$I$21,MATCH($A74,drops!$A$2:$A$21,0))="","",INDEX(drops!$I$2:$I$21,MATCH($A74,drops!$A$2:$A$21,0))),"")="OK",IFERROR(IF(INDEX(drops!$B$2:$B$21,MATCH($A74,drops!$A$2:$A$21,0))="","",INDEX(drops!$B$2:$B$21,MATCH($A74,drops!$A$2:$A$21,0))),""),""))</f>
        <v/>
      </c>
      <c r="Q74" s="30" t="str">
        <f aca="false">IF($B74="","",IFERROR(IF(INDEX(offices!$N$2:$N$61,MATCH($B74,offices!$A$2:$A$61,0))="","",INDEX(offices!$N$2:$N$61,MATCH($B74,offices!$A$2:$A$61,0))),""))</f>
        <v/>
      </c>
      <c r="R74" s="30" t="str">
        <f aca="false">IF($B74="","",IFERROR(IF(INDEX(offices!$O$2:$O$61,MATCH($B74,offices!$A$2:$A$61,0))="","",INDEX(offices!$O$2:$O$61,MATCH($B74,offices!$A$2:$A$61,0))),""))</f>
        <v/>
      </c>
      <c r="S74" s="30" t="str">
        <f aca="false">IF($B74="","",IFERROR(IF(INDEX(offices!$P$2:$P$61,MATCH($B74,offices!$A$2:$A$61,0))="","",INDEX(offices!$P$2:$P$61,MATCH($B74,offices!$A$2:$A$61,0))),""))</f>
        <v/>
      </c>
      <c r="T74" s="30" t="str">
        <f aca="false">IF($B74="","",IFERROR(IF(INDEX(offices!$Y$2:$Y$61,MATCH($B74,offices!$A$2:$A$61,0))="","",INDEX(offices!$Y$2:$Y$61,MATCH($B74,offices!$A$2:$A$61,0))),""))</f>
        <v/>
      </c>
      <c r="U74" s="30" t="str">
        <f aca="false">IF($B74="","",IFERROR(IF(INDEX(offices!$X$2:$X$61,MATCH($B74,offices!$A$2:$A$61,0))="","",INDEX(offices!$X$2:$X$61,MATCH($B74,offices!$A$2:$A$61,0))),""))</f>
        <v/>
      </c>
      <c r="V74" s="30" t="str">
        <f aca="false">IF($B74="","",IFERROR(IF(INDEX(offices!$U$2:$U$61,MATCH($B74,offices!$A$2:$A$61,0))="","",INDEX(offices!$U$2:$U$61,MATCH($B74,offices!$A$2:$A$61,0))),""))</f>
        <v/>
      </c>
      <c r="W74" s="30" t="str">
        <f aca="false">IF($B74="","",IFERROR(IF(INDEX(offices!$AI$2:$AI$61,MATCH($B74,offices!$A$2:$A$61,0))="","",INDEX(offices!$AI$2:$AI$61,MATCH($B74,offices!$A$2:$A$61,0))),""))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Z$2:$Z$61,MATCH($B74,offices!$A$2:$A$61,0))="","",INDEX(offices!$Z$2:$Z$61,MATCH($B74,offices!$A$2:$A$61,0))),"")="yes",IFERROR(IF(INDEX(offices!$Z$2:$Z$61,MATCH($B74,offices!$A$2:$A$61,0))="","",INDEX(offices!$Z$2:$Z$61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","")&amp;IF(AND($U74="front desk",$X74&lt;&gt;"Y"),"info: front desk not agreed: the owner must take it; ",""))</f>
        <v/>
      </c>
    </row>
    <row r="75" customFormat="false" ht="15" hidden="false" customHeight="false" outlineLevel="0" collapsed="false">
      <c r="D75" s="38"/>
      <c r="E75" s="11"/>
      <c r="F75" s="11"/>
      <c r="G75" s="11"/>
      <c r="I75" s="38"/>
      <c r="J75" s="38"/>
      <c r="K75" s="10"/>
      <c r="L75" s="10"/>
      <c r="N75" s="11"/>
      <c r="P75" s="31" t="str">
        <f aca="false">IF($A75="","",IF(IFERROR(IF(INDEX(drops!$I$2:$I$21,MATCH($A75,drops!$A$2:$A$21,0))="","",INDEX(drops!$I$2:$I$21,MATCH($A75,drops!$A$2:$A$21,0))),"")="OK",IFERROR(IF(INDEX(drops!$B$2:$B$21,MATCH($A75,drops!$A$2:$A$21,0))="","",INDEX(drops!$B$2:$B$21,MATCH($A75,drops!$A$2:$A$21,0))),""),""))</f>
        <v/>
      </c>
      <c r="Q75" s="30" t="str">
        <f aca="false">IF($B75="","",IFERROR(IF(INDEX(offices!$N$2:$N$61,MATCH($B75,offices!$A$2:$A$61,0))="","",INDEX(offices!$N$2:$N$61,MATCH($B75,offices!$A$2:$A$61,0))),""))</f>
        <v/>
      </c>
      <c r="R75" s="30" t="str">
        <f aca="false">IF($B75="","",IFERROR(IF(INDEX(offices!$O$2:$O$61,MATCH($B75,offices!$A$2:$A$61,0))="","",INDEX(offices!$O$2:$O$61,MATCH($B75,offices!$A$2:$A$61,0))),""))</f>
        <v/>
      </c>
      <c r="S75" s="30" t="str">
        <f aca="false">IF($B75="","",IFERROR(IF(INDEX(offices!$P$2:$P$61,MATCH($B75,offices!$A$2:$A$61,0))="","",INDEX(offices!$P$2:$P$61,MATCH($B75,offices!$A$2:$A$61,0))),""))</f>
        <v/>
      </c>
      <c r="T75" s="30" t="str">
        <f aca="false">IF($B75="","",IFERROR(IF(INDEX(offices!$Y$2:$Y$61,MATCH($B75,offices!$A$2:$A$61,0))="","",INDEX(offices!$Y$2:$Y$61,MATCH($B75,offices!$A$2:$A$61,0))),""))</f>
        <v/>
      </c>
      <c r="U75" s="30" t="str">
        <f aca="false">IF($B75="","",IFERROR(IF(INDEX(offices!$X$2:$X$61,MATCH($B75,offices!$A$2:$A$61,0))="","",INDEX(offices!$X$2:$X$61,MATCH($B75,offices!$A$2:$A$61,0))),""))</f>
        <v/>
      </c>
      <c r="V75" s="30" t="str">
        <f aca="false">IF($B75="","",IFERROR(IF(INDEX(offices!$U$2:$U$61,MATCH($B75,offices!$A$2:$A$61,0))="","",INDEX(offices!$U$2:$U$61,MATCH($B75,offices!$A$2:$A$61,0))),""))</f>
        <v/>
      </c>
      <c r="W75" s="30" t="str">
        <f aca="false">IF($B75="","",IFERROR(IF(INDEX(offices!$AI$2:$AI$61,MATCH($B75,offices!$A$2:$A$61,0))="","",INDEX(offices!$AI$2:$AI$61,MATCH($B75,offices!$A$2:$A$61,0))),""))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Z$2:$Z$61,MATCH($B75,offices!$A$2:$A$61,0))="","",INDEX(offices!$Z$2:$Z$61,MATCH($B75,offices!$A$2:$A$61,0))),"")="yes",IFERROR(IF(INDEX(offices!$Z$2:$Z$61,MATCH($B75,offices!$A$2:$A$61,0))="","",INDEX(offices!$Z$2:$Z$61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","")&amp;IF(AND($U75="front desk",$X75&lt;&gt;"Y"),"info: front desk not agreed: the owner must take it; ",""))</f>
        <v/>
      </c>
    </row>
    <row r="76" customFormat="false" ht="15" hidden="false" customHeight="false" outlineLevel="0" collapsed="false">
      <c r="D76" s="38"/>
      <c r="E76" s="11"/>
      <c r="F76" s="11"/>
      <c r="G76" s="11"/>
      <c r="I76" s="38"/>
      <c r="J76" s="38"/>
      <c r="K76" s="10"/>
      <c r="L76" s="10"/>
      <c r="N76" s="11"/>
      <c r="P76" s="31" t="str">
        <f aca="false">IF($A76="","",IF(IFERROR(IF(INDEX(drops!$I$2:$I$21,MATCH($A76,drops!$A$2:$A$21,0))="","",INDEX(drops!$I$2:$I$21,MATCH($A76,drops!$A$2:$A$21,0))),"")="OK",IFERROR(IF(INDEX(drops!$B$2:$B$21,MATCH($A76,drops!$A$2:$A$21,0))="","",INDEX(drops!$B$2:$B$21,MATCH($A76,drops!$A$2:$A$21,0))),""),""))</f>
        <v/>
      </c>
      <c r="Q76" s="30" t="str">
        <f aca="false">IF($B76="","",IFERROR(IF(INDEX(offices!$N$2:$N$61,MATCH($B76,offices!$A$2:$A$61,0))="","",INDEX(offices!$N$2:$N$61,MATCH($B76,offices!$A$2:$A$61,0))),""))</f>
        <v/>
      </c>
      <c r="R76" s="30" t="str">
        <f aca="false">IF($B76="","",IFERROR(IF(INDEX(offices!$O$2:$O$61,MATCH($B76,offices!$A$2:$A$61,0))="","",INDEX(offices!$O$2:$O$61,MATCH($B76,offices!$A$2:$A$61,0))),""))</f>
        <v/>
      </c>
      <c r="S76" s="30" t="str">
        <f aca="false">IF($B76="","",IFERROR(IF(INDEX(offices!$P$2:$P$61,MATCH($B76,offices!$A$2:$A$61,0))="","",INDEX(offices!$P$2:$P$61,MATCH($B76,offices!$A$2:$A$61,0))),""))</f>
        <v/>
      </c>
      <c r="T76" s="30" t="str">
        <f aca="false">IF($B76="","",IFERROR(IF(INDEX(offices!$Y$2:$Y$61,MATCH($B76,offices!$A$2:$A$61,0))="","",INDEX(offices!$Y$2:$Y$61,MATCH($B76,offices!$A$2:$A$61,0))),""))</f>
        <v/>
      </c>
      <c r="U76" s="30" t="str">
        <f aca="false">IF($B76="","",IFERROR(IF(INDEX(offices!$X$2:$X$61,MATCH($B76,offices!$A$2:$A$61,0))="","",INDEX(offices!$X$2:$X$61,MATCH($B76,offices!$A$2:$A$61,0))),""))</f>
        <v/>
      </c>
      <c r="V76" s="30" t="str">
        <f aca="false">IF($B76="","",IFERROR(IF(INDEX(offices!$U$2:$U$61,MATCH($B76,offices!$A$2:$A$61,0))="","",INDEX(offices!$U$2:$U$61,MATCH($B76,offices!$A$2:$A$61,0))),""))</f>
        <v/>
      </c>
      <c r="W76" s="30" t="str">
        <f aca="false">IF($B76="","",IFERROR(IF(INDEX(offices!$AI$2:$AI$61,MATCH($B76,offices!$A$2:$A$61,0))="","",INDEX(offices!$AI$2:$AI$61,MATCH($B76,offices!$A$2:$A$61,0))),""))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Z$2:$Z$61,MATCH($B76,offices!$A$2:$A$61,0))="","",INDEX(offices!$Z$2:$Z$61,MATCH($B76,offices!$A$2:$A$61,0))),"")="yes",IFERROR(IF(INDEX(offices!$Z$2:$Z$61,MATCH($B76,offices!$A$2:$A$61,0))="","",INDEX(offices!$Z$2:$Z$61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","")&amp;IF(AND($U76="front desk",$X76&lt;&gt;"Y"),"info: front desk not agreed: the owner must take it; ",""))</f>
        <v/>
      </c>
    </row>
    <row r="77" customFormat="false" ht="15" hidden="false" customHeight="false" outlineLevel="0" collapsed="false">
      <c r="D77" s="38"/>
      <c r="E77" s="11"/>
      <c r="F77" s="11"/>
      <c r="G77" s="11"/>
      <c r="I77" s="38"/>
      <c r="J77" s="38"/>
      <c r="K77" s="10"/>
      <c r="L77" s="10"/>
      <c r="N77" s="11"/>
      <c r="P77" s="31" t="str">
        <f aca="false">IF($A77="","",IF(IFERROR(IF(INDEX(drops!$I$2:$I$21,MATCH($A77,drops!$A$2:$A$21,0))="","",INDEX(drops!$I$2:$I$21,MATCH($A77,drops!$A$2:$A$21,0))),"")="OK",IFERROR(IF(INDEX(drops!$B$2:$B$21,MATCH($A77,drops!$A$2:$A$21,0))="","",INDEX(drops!$B$2:$B$21,MATCH($A77,drops!$A$2:$A$21,0))),""),""))</f>
        <v/>
      </c>
      <c r="Q77" s="30" t="str">
        <f aca="false">IF($B77="","",IFERROR(IF(INDEX(offices!$N$2:$N$61,MATCH($B77,offices!$A$2:$A$61,0))="","",INDEX(offices!$N$2:$N$61,MATCH($B77,offices!$A$2:$A$61,0))),""))</f>
        <v/>
      </c>
      <c r="R77" s="30" t="str">
        <f aca="false">IF($B77="","",IFERROR(IF(INDEX(offices!$O$2:$O$61,MATCH($B77,offices!$A$2:$A$61,0))="","",INDEX(offices!$O$2:$O$61,MATCH($B77,offices!$A$2:$A$61,0))),""))</f>
        <v/>
      </c>
      <c r="S77" s="30" t="str">
        <f aca="false">IF($B77="","",IFERROR(IF(INDEX(offices!$P$2:$P$61,MATCH($B77,offices!$A$2:$A$61,0))="","",INDEX(offices!$P$2:$P$61,MATCH($B77,offices!$A$2:$A$61,0))),""))</f>
        <v/>
      </c>
      <c r="T77" s="30" t="str">
        <f aca="false">IF($B77="","",IFERROR(IF(INDEX(offices!$Y$2:$Y$61,MATCH($B77,offices!$A$2:$A$61,0))="","",INDEX(offices!$Y$2:$Y$61,MATCH($B77,offices!$A$2:$A$61,0))),""))</f>
        <v/>
      </c>
      <c r="U77" s="30" t="str">
        <f aca="false">IF($B77="","",IFERROR(IF(INDEX(offices!$X$2:$X$61,MATCH($B77,offices!$A$2:$A$61,0))="","",INDEX(offices!$X$2:$X$61,MATCH($B77,offices!$A$2:$A$61,0))),""))</f>
        <v/>
      </c>
      <c r="V77" s="30" t="str">
        <f aca="false">IF($B77="","",IFERROR(IF(INDEX(offices!$U$2:$U$61,MATCH($B77,offices!$A$2:$A$61,0))="","",INDEX(offices!$U$2:$U$61,MATCH($B77,offices!$A$2:$A$61,0))),""))</f>
        <v/>
      </c>
      <c r="W77" s="30" t="str">
        <f aca="false">IF($B77="","",IFERROR(IF(INDEX(offices!$AI$2:$AI$61,MATCH($B77,offices!$A$2:$A$61,0))="","",INDEX(offices!$AI$2:$AI$61,MATCH($B77,offices!$A$2:$A$61,0))),""))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Z$2:$Z$61,MATCH($B77,offices!$A$2:$A$61,0))="","",INDEX(offices!$Z$2:$Z$61,MATCH($B77,offices!$A$2:$A$61,0))),"")="yes",IFERROR(IF(INDEX(offices!$Z$2:$Z$61,MATCH($B77,offices!$A$2:$A$61,0))="","",INDEX(offices!$Z$2:$Z$61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","")&amp;IF(AND($U77="front desk",$X77&lt;&gt;"Y"),"info: front desk not agreed: the owner must take it; ",""))</f>
        <v/>
      </c>
    </row>
    <row r="78" customFormat="false" ht="15" hidden="false" customHeight="false" outlineLevel="0" collapsed="false">
      <c r="D78" s="38"/>
      <c r="E78" s="11"/>
      <c r="F78" s="11"/>
      <c r="G78" s="11"/>
      <c r="I78" s="38"/>
      <c r="J78" s="38"/>
      <c r="K78" s="10"/>
      <c r="L78" s="10"/>
      <c r="N78" s="11"/>
      <c r="P78" s="31" t="str">
        <f aca="false">IF($A78="","",IF(IFERROR(IF(INDEX(drops!$I$2:$I$21,MATCH($A78,drops!$A$2:$A$21,0))="","",INDEX(drops!$I$2:$I$21,MATCH($A78,drops!$A$2:$A$21,0))),"")="OK",IFERROR(IF(INDEX(drops!$B$2:$B$21,MATCH($A78,drops!$A$2:$A$21,0))="","",INDEX(drops!$B$2:$B$21,MATCH($A78,drops!$A$2:$A$21,0))),""),""))</f>
        <v/>
      </c>
      <c r="Q78" s="30" t="str">
        <f aca="false">IF($B78="","",IFERROR(IF(INDEX(offices!$N$2:$N$61,MATCH($B78,offices!$A$2:$A$61,0))="","",INDEX(offices!$N$2:$N$61,MATCH($B78,offices!$A$2:$A$61,0))),""))</f>
        <v/>
      </c>
      <c r="R78" s="30" t="str">
        <f aca="false">IF($B78="","",IFERROR(IF(INDEX(offices!$O$2:$O$61,MATCH($B78,offices!$A$2:$A$61,0))="","",INDEX(offices!$O$2:$O$61,MATCH($B78,offices!$A$2:$A$61,0))),""))</f>
        <v/>
      </c>
      <c r="S78" s="30" t="str">
        <f aca="false">IF($B78="","",IFERROR(IF(INDEX(offices!$P$2:$P$61,MATCH($B78,offices!$A$2:$A$61,0))="","",INDEX(offices!$P$2:$P$61,MATCH($B78,offices!$A$2:$A$61,0))),""))</f>
        <v/>
      </c>
      <c r="T78" s="30" t="str">
        <f aca="false">IF($B78="","",IFERROR(IF(INDEX(offices!$Y$2:$Y$61,MATCH($B78,offices!$A$2:$A$61,0))="","",INDEX(offices!$Y$2:$Y$61,MATCH($B78,offices!$A$2:$A$61,0))),""))</f>
        <v/>
      </c>
      <c r="U78" s="30" t="str">
        <f aca="false">IF($B78="","",IFERROR(IF(INDEX(offices!$X$2:$X$61,MATCH($B78,offices!$A$2:$A$61,0))="","",INDEX(offices!$X$2:$X$61,MATCH($B78,offices!$A$2:$A$61,0))),""))</f>
        <v/>
      </c>
      <c r="V78" s="30" t="str">
        <f aca="false">IF($B78="","",IFERROR(IF(INDEX(offices!$U$2:$U$61,MATCH($B78,offices!$A$2:$A$61,0))="","",INDEX(offices!$U$2:$U$61,MATCH($B78,offices!$A$2:$A$61,0))),""))</f>
        <v/>
      </c>
      <c r="W78" s="30" t="str">
        <f aca="false">IF($B78="","",IFERROR(IF(INDEX(offices!$AI$2:$AI$61,MATCH($B78,offices!$A$2:$A$61,0))="","",INDEX(offices!$AI$2:$AI$61,MATCH($B78,offices!$A$2:$A$61,0))),""))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Z$2:$Z$61,MATCH($B78,offices!$A$2:$A$61,0))="","",INDEX(offices!$Z$2:$Z$61,MATCH($B78,offices!$A$2:$A$61,0))),"")="yes",IFERROR(IF(INDEX(offices!$Z$2:$Z$61,MATCH($B78,offices!$A$2:$A$61,0))="","",INDEX(offices!$Z$2:$Z$61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","")&amp;IF(AND($U78="front desk",$X78&lt;&gt;"Y"),"info: front desk not agreed: the owner must take it; ",""))</f>
        <v/>
      </c>
    </row>
    <row r="79" customFormat="false" ht="15" hidden="false" customHeight="false" outlineLevel="0" collapsed="false">
      <c r="D79" s="38"/>
      <c r="E79" s="11"/>
      <c r="F79" s="11"/>
      <c r="G79" s="11"/>
      <c r="I79" s="38"/>
      <c r="J79" s="38"/>
      <c r="K79" s="10"/>
      <c r="L79" s="10"/>
      <c r="N79" s="11"/>
      <c r="P79" s="31" t="str">
        <f aca="false">IF($A79="","",IF(IFERROR(IF(INDEX(drops!$I$2:$I$21,MATCH($A79,drops!$A$2:$A$21,0))="","",INDEX(drops!$I$2:$I$21,MATCH($A79,drops!$A$2:$A$21,0))),"")="OK",IFERROR(IF(INDEX(drops!$B$2:$B$21,MATCH($A79,drops!$A$2:$A$21,0))="","",INDEX(drops!$B$2:$B$21,MATCH($A79,drops!$A$2:$A$21,0))),""),""))</f>
        <v/>
      </c>
      <c r="Q79" s="30" t="str">
        <f aca="false">IF($B79="","",IFERROR(IF(INDEX(offices!$N$2:$N$61,MATCH($B79,offices!$A$2:$A$61,0))="","",INDEX(offices!$N$2:$N$61,MATCH($B79,offices!$A$2:$A$61,0))),""))</f>
        <v/>
      </c>
      <c r="R79" s="30" t="str">
        <f aca="false">IF($B79="","",IFERROR(IF(INDEX(offices!$O$2:$O$61,MATCH($B79,offices!$A$2:$A$61,0))="","",INDEX(offices!$O$2:$O$61,MATCH($B79,offices!$A$2:$A$61,0))),""))</f>
        <v/>
      </c>
      <c r="S79" s="30" t="str">
        <f aca="false">IF($B79="","",IFERROR(IF(INDEX(offices!$P$2:$P$61,MATCH($B79,offices!$A$2:$A$61,0))="","",INDEX(offices!$P$2:$P$61,MATCH($B79,offices!$A$2:$A$61,0))),""))</f>
        <v/>
      </c>
      <c r="T79" s="30" t="str">
        <f aca="false">IF($B79="","",IFERROR(IF(INDEX(offices!$Y$2:$Y$61,MATCH($B79,offices!$A$2:$A$61,0))="","",INDEX(offices!$Y$2:$Y$61,MATCH($B79,offices!$A$2:$A$61,0))),""))</f>
        <v/>
      </c>
      <c r="U79" s="30" t="str">
        <f aca="false">IF($B79="","",IFERROR(IF(INDEX(offices!$X$2:$X$61,MATCH($B79,offices!$A$2:$A$61,0))="","",INDEX(offices!$X$2:$X$61,MATCH($B79,offices!$A$2:$A$61,0))),""))</f>
        <v/>
      </c>
      <c r="V79" s="30" t="str">
        <f aca="false">IF($B79="","",IFERROR(IF(INDEX(offices!$U$2:$U$61,MATCH($B79,offices!$A$2:$A$61,0))="","",INDEX(offices!$U$2:$U$61,MATCH($B79,offices!$A$2:$A$61,0))),""))</f>
        <v/>
      </c>
      <c r="W79" s="30" t="str">
        <f aca="false">IF($B79="","",IFERROR(IF(INDEX(offices!$AI$2:$AI$61,MATCH($B79,offices!$A$2:$A$61,0))="","",INDEX(offices!$AI$2:$AI$61,MATCH($B79,offices!$A$2:$A$61,0))),""))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Z$2:$Z$61,MATCH($B79,offices!$A$2:$A$61,0))="","",INDEX(offices!$Z$2:$Z$61,MATCH($B79,offices!$A$2:$A$61,0))),"")="yes",IFERROR(IF(INDEX(offices!$Z$2:$Z$61,MATCH($B79,offices!$A$2:$A$61,0))="","",INDEX(offices!$Z$2:$Z$61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","")&amp;IF(AND($U79="front desk",$X79&lt;&gt;"Y"),"info: front desk not agreed: the owner must take it; ",""))</f>
        <v/>
      </c>
    </row>
    <row r="80" customFormat="false" ht="15" hidden="false" customHeight="false" outlineLevel="0" collapsed="false">
      <c r="D80" s="38"/>
      <c r="E80" s="11"/>
      <c r="F80" s="11"/>
      <c r="G80" s="11"/>
      <c r="I80" s="38"/>
      <c r="J80" s="38"/>
      <c r="K80" s="10"/>
      <c r="L80" s="10"/>
      <c r="N80" s="11"/>
      <c r="P80" s="31" t="str">
        <f aca="false">IF($A80="","",IF(IFERROR(IF(INDEX(drops!$I$2:$I$21,MATCH($A80,drops!$A$2:$A$21,0))="","",INDEX(drops!$I$2:$I$21,MATCH($A80,drops!$A$2:$A$21,0))),"")="OK",IFERROR(IF(INDEX(drops!$B$2:$B$21,MATCH($A80,drops!$A$2:$A$21,0))="","",INDEX(drops!$B$2:$B$21,MATCH($A80,drops!$A$2:$A$21,0))),""),""))</f>
        <v/>
      </c>
      <c r="Q80" s="30" t="str">
        <f aca="false">IF($B80="","",IFERROR(IF(INDEX(offices!$N$2:$N$61,MATCH($B80,offices!$A$2:$A$61,0))="","",INDEX(offices!$N$2:$N$61,MATCH($B80,offices!$A$2:$A$61,0))),""))</f>
        <v/>
      </c>
      <c r="R80" s="30" t="str">
        <f aca="false">IF($B80="","",IFERROR(IF(INDEX(offices!$O$2:$O$61,MATCH($B80,offices!$A$2:$A$61,0))="","",INDEX(offices!$O$2:$O$61,MATCH($B80,offices!$A$2:$A$61,0))),""))</f>
        <v/>
      </c>
      <c r="S80" s="30" t="str">
        <f aca="false">IF($B80="","",IFERROR(IF(INDEX(offices!$P$2:$P$61,MATCH($B80,offices!$A$2:$A$61,0))="","",INDEX(offices!$P$2:$P$61,MATCH($B80,offices!$A$2:$A$61,0))),""))</f>
        <v/>
      </c>
      <c r="T80" s="30" t="str">
        <f aca="false">IF($B80="","",IFERROR(IF(INDEX(offices!$Y$2:$Y$61,MATCH($B80,offices!$A$2:$A$61,0))="","",INDEX(offices!$Y$2:$Y$61,MATCH($B80,offices!$A$2:$A$61,0))),""))</f>
        <v/>
      </c>
      <c r="U80" s="30" t="str">
        <f aca="false">IF($B80="","",IFERROR(IF(INDEX(offices!$X$2:$X$61,MATCH($B80,offices!$A$2:$A$61,0))="","",INDEX(offices!$X$2:$X$61,MATCH($B80,offices!$A$2:$A$61,0))),""))</f>
        <v/>
      </c>
      <c r="V80" s="30" t="str">
        <f aca="false">IF($B80="","",IFERROR(IF(INDEX(offices!$U$2:$U$61,MATCH($B80,offices!$A$2:$A$61,0))="","",INDEX(offices!$U$2:$U$61,MATCH($B80,offices!$A$2:$A$61,0))),""))</f>
        <v/>
      </c>
      <c r="W80" s="30" t="str">
        <f aca="false">IF($B80="","",IFERROR(IF(INDEX(offices!$AI$2:$AI$61,MATCH($B80,offices!$A$2:$A$61,0))="","",INDEX(offices!$AI$2:$AI$61,MATCH($B80,offices!$A$2:$A$61,0))),""))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Z$2:$Z$61,MATCH($B80,offices!$A$2:$A$61,0))="","",INDEX(offices!$Z$2:$Z$61,MATCH($B80,offices!$A$2:$A$61,0))),"")="yes",IFERROR(IF(INDEX(offices!$Z$2:$Z$61,MATCH($B80,offices!$A$2:$A$61,0))="","",INDEX(offices!$Z$2:$Z$61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","")&amp;IF(AND($U80="front desk",$X80&lt;&gt;"Y"),"info: front desk not agreed: the owner must take it; ",""))</f>
        <v/>
      </c>
    </row>
    <row r="81" customFormat="false" ht="15" hidden="false" customHeight="false" outlineLevel="0" collapsed="false">
      <c r="D81" s="38"/>
      <c r="E81" s="11"/>
      <c r="F81" s="11"/>
      <c r="G81" s="11"/>
      <c r="I81" s="38"/>
      <c r="J81" s="38"/>
      <c r="K81" s="10"/>
      <c r="L81" s="10"/>
      <c r="N81" s="11"/>
      <c r="P81" s="31" t="str">
        <f aca="false">IF($A81="","",IF(IFERROR(IF(INDEX(drops!$I$2:$I$21,MATCH($A81,drops!$A$2:$A$21,0))="","",INDEX(drops!$I$2:$I$21,MATCH($A81,drops!$A$2:$A$21,0))),"")="OK",IFERROR(IF(INDEX(drops!$B$2:$B$21,MATCH($A81,drops!$A$2:$A$21,0))="","",INDEX(drops!$B$2:$B$21,MATCH($A81,drops!$A$2:$A$21,0))),""),""))</f>
        <v/>
      </c>
      <c r="Q81" s="30" t="str">
        <f aca="false">IF($B81="","",IFERROR(IF(INDEX(offices!$N$2:$N$61,MATCH($B81,offices!$A$2:$A$61,0))="","",INDEX(offices!$N$2:$N$61,MATCH($B81,offices!$A$2:$A$61,0))),""))</f>
        <v/>
      </c>
      <c r="R81" s="30" t="str">
        <f aca="false">IF($B81="","",IFERROR(IF(INDEX(offices!$O$2:$O$61,MATCH($B81,offices!$A$2:$A$61,0))="","",INDEX(offices!$O$2:$O$61,MATCH($B81,offices!$A$2:$A$61,0))),""))</f>
        <v/>
      </c>
      <c r="S81" s="30" t="str">
        <f aca="false">IF($B81="","",IFERROR(IF(INDEX(offices!$P$2:$P$61,MATCH($B81,offices!$A$2:$A$61,0))="","",INDEX(offices!$P$2:$P$61,MATCH($B81,offices!$A$2:$A$61,0))),""))</f>
        <v/>
      </c>
      <c r="T81" s="30" t="str">
        <f aca="false">IF($B81="","",IFERROR(IF(INDEX(offices!$Y$2:$Y$61,MATCH($B81,offices!$A$2:$A$61,0))="","",INDEX(offices!$Y$2:$Y$61,MATCH($B81,offices!$A$2:$A$61,0))),""))</f>
        <v/>
      </c>
      <c r="U81" s="30" t="str">
        <f aca="false">IF($B81="","",IFERROR(IF(INDEX(offices!$X$2:$X$61,MATCH($B81,offices!$A$2:$A$61,0))="","",INDEX(offices!$X$2:$X$61,MATCH($B81,offices!$A$2:$A$61,0))),""))</f>
        <v/>
      </c>
      <c r="V81" s="30" t="str">
        <f aca="false">IF($B81="","",IFERROR(IF(INDEX(offices!$U$2:$U$61,MATCH($B81,offices!$A$2:$A$61,0))="","",INDEX(offices!$U$2:$U$61,MATCH($B81,offices!$A$2:$A$61,0))),""))</f>
        <v/>
      </c>
      <c r="W81" s="30" t="str">
        <f aca="false">IF($B81="","",IFERROR(IF(INDEX(offices!$AI$2:$AI$61,MATCH($B81,offices!$A$2:$A$61,0))="","",INDEX(offices!$AI$2:$AI$61,MATCH($B81,offices!$A$2:$A$61,0))),""))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Z$2:$Z$61,MATCH($B81,offices!$A$2:$A$61,0))="","",INDEX(offices!$Z$2:$Z$61,MATCH($B81,offices!$A$2:$A$61,0))),"")="yes",IFERROR(IF(INDEX(offices!$Z$2:$Z$61,MATCH($B81,offices!$A$2:$A$61,0))="","",INDEX(offices!$Z$2:$Z$61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","")&amp;IF(AND($U81="front desk",$X81&lt;&gt;"Y"),"info: front desk not agreed: the owner must take it; ",""))</f>
        <v/>
      </c>
    </row>
    <row r="82" customFormat="false" ht="15" hidden="false" customHeight="false" outlineLevel="0" collapsed="false">
      <c r="D82" s="38"/>
      <c r="E82" s="11"/>
      <c r="F82" s="11"/>
      <c r="G82" s="11"/>
      <c r="I82" s="38"/>
      <c r="J82" s="38"/>
      <c r="K82" s="10"/>
      <c r="L82" s="10"/>
      <c r="N82" s="11"/>
      <c r="P82" s="31" t="str">
        <f aca="false">IF($A82="","",IF(IFERROR(IF(INDEX(drops!$I$2:$I$21,MATCH($A82,drops!$A$2:$A$21,0))="","",INDEX(drops!$I$2:$I$21,MATCH($A82,drops!$A$2:$A$21,0))),"")="OK",IFERROR(IF(INDEX(drops!$B$2:$B$21,MATCH($A82,drops!$A$2:$A$21,0))="","",INDEX(drops!$B$2:$B$21,MATCH($A82,drops!$A$2:$A$21,0))),""),""))</f>
        <v/>
      </c>
      <c r="Q82" s="30" t="str">
        <f aca="false">IF($B82="","",IFERROR(IF(INDEX(offices!$N$2:$N$61,MATCH($B82,offices!$A$2:$A$61,0))="","",INDEX(offices!$N$2:$N$61,MATCH($B82,offices!$A$2:$A$61,0))),""))</f>
        <v/>
      </c>
      <c r="R82" s="30" t="str">
        <f aca="false">IF($B82="","",IFERROR(IF(INDEX(offices!$O$2:$O$61,MATCH($B82,offices!$A$2:$A$61,0))="","",INDEX(offices!$O$2:$O$61,MATCH($B82,offices!$A$2:$A$61,0))),""))</f>
        <v/>
      </c>
      <c r="S82" s="30" t="str">
        <f aca="false">IF($B82="","",IFERROR(IF(INDEX(offices!$P$2:$P$61,MATCH($B82,offices!$A$2:$A$61,0))="","",INDEX(offices!$P$2:$P$61,MATCH($B82,offices!$A$2:$A$61,0))),""))</f>
        <v/>
      </c>
      <c r="T82" s="30" t="str">
        <f aca="false">IF($B82="","",IFERROR(IF(INDEX(offices!$Y$2:$Y$61,MATCH($B82,offices!$A$2:$A$61,0))="","",INDEX(offices!$Y$2:$Y$61,MATCH($B82,offices!$A$2:$A$61,0))),""))</f>
        <v/>
      </c>
      <c r="U82" s="30" t="str">
        <f aca="false">IF($B82="","",IFERROR(IF(INDEX(offices!$X$2:$X$61,MATCH($B82,offices!$A$2:$A$61,0))="","",INDEX(offices!$X$2:$X$61,MATCH($B82,offices!$A$2:$A$61,0))),""))</f>
        <v/>
      </c>
      <c r="V82" s="30" t="str">
        <f aca="false">IF($B82="","",IFERROR(IF(INDEX(offices!$U$2:$U$61,MATCH($B82,offices!$A$2:$A$61,0))="","",INDEX(offices!$U$2:$U$61,MATCH($B82,offices!$A$2:$A$61,0))),""))</f>
        <v/>
      </c>
      <c r="W82" s="30" t="str">
        <f aca="false">IF($B82="","",IFERROR(IF(INDEX(offices!$AI$2:$AI$61,MATCH($B82,offices!$A$2:$A$61,0))="","",INDEX(offices!$AI$2:$AI$61,MATCH($B82,offices!$A$2:$A$61,0))),""))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Z$2:$Z$61,MATCH($B82,offices!$A$2:$A$61,0))="","",INDEX(offices!$Z$2:$Z$61,MATCH($B82,offices!$A$2:$A$61,0))),"")="yes",IFERROR(IF(INDEX(offices!$Z$2:$Z$61,MATCH($B82,offices!$A$2:$A$61,0))="","",INDEX(offices!$Z$2:$Z$61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","")&amp;IF(AND($U82="front desk",$X82&lt;&gt;"Y"),"info: front desk not agreed: the owner must take it; ",""))</f>
        <v/>
      </c>
    </row>
    <row r="83" customFormat="false" ht="15" hidden="false" customHeight="false" outlineLevel="0" collapsed="false">
      <c r="D83" s="38"/>
      <c r="E83" s="11"/>
      <c r="F83" s="11"/>
      <c r="G83" s="11"/>
      <c r="I83" s="38"/>
      <c r="J83" s="38"/>
      <c r="K83" s="10"/>
      <c r="L83" s="10"/>
      <c r="N83" s="11"/>
      <c r="P83" s="31" t="str">
        <f aca="false">IF($A83="","",IF(IFERROR(IF(INDEX(drops!$I$2:$I$21,MATCH($A83,drops!$A$2:$A$21,0))="","",INDEX(drops!$I$2:$I$21,MATCH($A83,drops!$A$2:$A$21,0))),"")="OK",IFERROR(IF(INDEX(drops!$B$2:$B$21,MATCH($A83,drops!$A$2:$A$21,0))="","",INDEX(drops!$B$2:$B$21,MATCH($A83,drops!$A$2:$A$21,0))),""),""))</f>
        <v/>
      </c>
      <c r="Q83" s="30" t="str">
        <f aca="false">IF($B83="","",IFERROR(IF(INDEX(offices!$N$2:$N$61,MATCH($B83,offices!$A$2:$A$61,0))="","",INDEX(offices!$N$2:$N$61,MATCH($B83,offices!$A$2:$A$61,0))),""))</f>
        <v/>
      </c>
      <c r="R83" s="30" t="str">
        <f aca="false">IF($B83="","",IFERROR(IF(INDEX(offices!$O$2:$O$61,MATCH($B83,offices!$A$2:$A$61,0))="","",INDEX(offices!$O$2:$O$61,MATCH($B83,offices!$A$2:$A$61,0))),""))</f>
        <v/>
      </c>
      <c r="S83" s="30" t="str">
        <f aca="false">IF($B83="","",IFERROR(IF(INDEX(offices!$P$2:$P$61,MATCH($B83,offices!$A$2:$A$61,0))="","",INDEX(offices!$P$2:$P$61,MATCH($B83,offices!$A$2:$A$61,0))),""))</f>
        <v/>
      </c>
      <c r="T83" s="30" t="str">
        <f aca="false">IF($B83="","",IFERROR(IF(INDEX(offices!$Y$2:$Y$61,MATCH($B83,offices!$A$2:$A$61,0))="","",INDEX(offices!$Y$2:$Y$61,MATCH($B83,offices!$A$2:$A$61,0))),""))</f>
        <v/>
      </c>
      <c r="U83" s="30" t="str">
        <f aca="false">IF($B83="","",IFERROR(IF(INDEX(offices!$X$2:$X$61,MATCH($B83,offices!$A$2:$A$61,0))="","",INDEX(offices!$X$2:$X$61,MATCH($B83,offices!$A$2:$A$61,0))),""))</f>
        <v/>
      </c>
      <c r="V83" s="30" t="str">
        <f aca="false">IF($B83="","",IFERROR(IF(INDEX(offices!$U$2:$U$61,MATCH($B83,offices!$A$2:$A$61,0))="","",INDEX(offices!$U$2:$U$61,MATCH($B83,offices!$A$2:$A$61,0))),""))</f>
        <v/>
      </c>
      <c r="W83" s="30" t="str">
        <f aca="false">IF($B83="","",IFERROR(IF(INDEX(offices!$AI$2:$AI$61,MATCH($B83,offices!$A$2:$A$61,0))="","",INDEX(offices!$AI$2:$AI$61,MATCH($B83,offices!$A$2:$A$61,0))),""))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Z$2:$Z$61,MATCH($B83,offices!$A$2:$A$61,0))="","",INDEX(offices!$Z$2:$Z$61,MATCH($B83,offices!$A$2:$A$61,0))),"")="yes",IFERROR(IF(INDEX(offices!$Z$2:$Z$61,MATCH($B83,offices!$A$2:$A$61,0))="","",INDEX(offices!$Z$2:$Z$61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","")&amp;IF(AND($U83="front desk",$X83&lt;&gt;"Y"),"info: front desk not agreed: the owner must take it; ",""))</f>
        <v/>
      </c>
    </row>
    <row r="84" customFormat="false" ht="15" hidden="false" customHeight="false" outlineLevel="0" collapsed="false">
      <c r="D84" s="38"/>
      <c r="E84" s="11"/>
      <c r="F84" s="11"/>
      <c r="G84" s="11"/>
      <c r="I84" s="38"/>
      <c r="J84" s="38"/>
      <c r="K84" s="10"/>
      <c r="L84" s="10"/>
      <c r="N84" s="11"/>
      <c r="P84" s="31" t="str">
        <f aca="false">IF($A84="","",IF(IFERROR(IF(INDEX(drops!$I$2:$I$21,MATCH($A84,drops!$A$2:$A$21,0))="","",INDEX(drops!$I$2:$I$21,MATCH($A84,drops!$A$2:$A$21,0))),"")="OK",IFERROR(IF(INDEX(drops!$B$2:$B$21,MATCH($A84,drops!$A$2:$A$21,0))="","",INDEX(drops!$B$2:$B$21,MATCH($A84,drops!$A$2:$A$21,0))),""),""))</f>
        <v/>
      </c>
      <c r="Q84" s="30" t="str">
        <f aca="false">IF($B84="","",IFERROR(IF(INDEX(offices!$N$2:$N$61,MATCH($B84,offices!$A$2:$A$61,0))="","",INDEX(offices!$N$2:$N$61,MATCH($B84,offices!$A$2:$A$61,0))),""))</f>
        <v/>
      </c>
      <c r="R84" s="30" t="str">
        <f aca="false">IF($B84="","",IFERROR(IF(INDEX(offices!$O$2:$O$61,MATCH($B84,offices!$A$2:$A$61,0))="","",INDEX(offices!$O$2:$O$61,MATCH($B84,offices!$A$2:$A$61,0))),""))</f>
        <v/>
      </c>
      <c r="S84" s="30" t="str">
        <f aca="false">IF($B84="","",IFERROR(IF(INDEX(offices!$P$2:$P$61,MATCH($B84,offices!$A$2:$A$61,0))="","",INDEX(offices!$P$2:$P$61,MATCH($B84,offices!$A$2:$A$61,0))),""))</f>
        <v/>
      </c>
      <c r="T84" s="30" t="str">
        <f aca="false">IF($B84="","",IFERROR(IF(INDEX(offices!$Y$2:$Y$61,MATCH($B84,offices!$A$2:$A$61,0))="","",INDEX(offices!$Y$2:$Y$61,MATCH($B84,offices!$A$2:$A$61,0))),""))</f>
        <v/>
      </c>
      <c r="U84" s="30" t="str">
        <f aca="false">IF($B84="","",IFERROR(IF(INDEX(offices!$X$2:$X$61,MATCH($B84,offices!$A$2:$A$61,0))="","",INDEX(offices!$X$2:$X$61,MATCH($B84,offices!$A$2:$A$61,0))),""))</f>
        <v/>
      </c>
      <c r="V84" s="30" t="str">
        <f aca="false">IF($B84="","",IFERROR(IF(INDEX(offices!$U$2:$U$61,MATCH($B84,offices!$A$2:$A$61,0))="","",INDEX(offices!$U$2:$U$61,MATCH($B84,offices!$A$2:$A$61,0))),""))</f>
        <v/>
      </c>
      <c r="W84" s="30" t="str">
        <f aca="false">IF($B84="","",IFERROR(IF(INDEX(offices!$AI$2:$AI$61,MATCH($B84,offices!$A$2:$A$61,0))="","",INDEX(offices!$AI$2:$AI$61,MATCH($B84,offices!$A$2:$A$61,0))),""))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Z$2:$Z$61,MATCH($B84,offices!$A$2:$A$61,0))="","",INDEX(offices!$Z$2:$Z$61,MATCH($B84,offices!$A$2:$A$61,0))),"")="yes",IFERROR(IF(INDEX(offices!$Z$2:$Z$61,MATCH($B84,offices!$A$2:$A$61,0))="","",INDEX(offices!$Z$2:$Z$61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","")&amp;IF(AND($U84="front desk",$X84&lt;&gt;"Y"),"info: front desk not agreed: the owner must take it; ",""))</f>
        <v/>
      </c>
    </row>
    <row r="85" customFormat="false" ht="15" hidden="false" customHeight="false" outlineLevel="0" collapsed="false">
      <c r="D85" s="38"/>
      <c r="E85" s="11"/>
      <c r="F85" s="11"/>
      <c r="G85" s="11"/>
      <c r="I85" s="38"/>
      <c r="J85" s="38"/>
      <c r="K85" s="10"/>
      <c r="L85" s="10"/>
      <c r="N85" s="11"/>
      <c r="P85" s="31" t="str">
        <f aca="false">IF($A85="","",IF(IFERROR(IF(INDEX(drops!$I$2:$I$21,MATCH($A85,drops!$A$2:$A$21,0))="","",INDEX(drops!$I$2:$I$21,MATCH($A85,drops!$A$2:$A$21,0))),"")="OK",IFERROR(IF(INDEX(drops!$B$2:$B$21,MATCH($A85,drops!$A$2:$A$21,0))="","",INDEX(drops!$B$2:$B$21,MATCH($A85,drops!$A$2:$A$21,0))),""),""))</f>
        <v/>
      </c>
      <c r="Q85" s="30" t="str">
        <f aca="false">IF($B85="","",IFERROR(IF(INDEX(offices!$N$2:$N$61,MATCH($B85,offices!$A$2:$A$61,0))="","",INDEX(offices!$N$2:$N$61,MATCH($B85,offices!$A$2:$A$61,0))),""))</f>
        <v/>
      </c>
      <c r="R85" s="30" t="str">
        <f aca="false">IF($B85="","",IFERROR(IF(INDEX(offices!$O$2:$O$61,MATCH($B85,offices!$A$2:$A$61,0))="","",INDEX(offices!$O$2:$O$61,MATCH($B85,offices!$A$2:$A$61,0))),""))</f>
        <v/>
      </c>
      <c r="S85" s="30" t="str">
        <f aca="false">IF($B85="","",IFERROR(IF(INDEX(offices!$P$2:$P$61,MATCH($B85,offices!$A$2:$A$61,0))="","",INDEX(offices!$P$2:$P$61,MATCH($B85,offices!$A$2:$A$61,0))),""))</f>
        <v/>
      </c>
      <c r="T85" s="30" t="str">
        <f aca="false">IF($B85="","",IFERROR(IF(INDEX(offices!$Y$2:$Y$61,MATCH($B85,offices!$A$2:$A$61,0))="","",INDEX(offices!$Y$2:$Y$61,MATCH($B85,offices!$A$2:$A$61,0))),""))</f>
        <v/>
      </c>
      <c r="U85" s="30" t="str">
        <f aca="false">IF($B85="","",IFERROR(IF(INDEX(offices!$X$2:$X$61,MATCH($B85,offices!$A$2:$A$61,0))="","",INDEX(offices!$X$2:$X$61,MATCH($B85,offices!$A$2:$A$61,0))),""))</f>
        <v/>
      </c>
      <c r="V85" s="30" t="str">
        <f aca="false">IF($B85="","",IFERROR(IF(INDEX(offices!$U$2:$U$61,MATCH($B85,offices!$A$2:$A$61,0))="","",INDEX(offices!$U$2:$U$61,MATCH($B85,offices!$A$2:$A$61,0))),""))</f>
        <v/>
      </c>
      <c r="W85" s="30" t="str">
        <f aca="false">IF($B85="","",IFERROR(IF(INDEX(offices!$AI$2:$AI$61,MATCH($B85,offices!$A$2:$A$61,0))="","",INDEX(offices!$AI$2:$AI$61,MATCH($B85,offices!$A$2:$A$61,0))),""))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Z$2:$Z$61,MATCH($B85,offices!$A$2:$A$61,0))="","",INDEX(offices!$Z$2:$Z$61,MATCH($B85,offices!$A$2:$A$61,0))),"")="yes",IFERROR(IF(INDEX(offices!$Z$2:$Z$61,MATCH($B85,offices!$A$2:$A$61,0))="","",INDEX(offices!$Z$2:$Z$61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","")&amp;IF(AND($U85="front desk",$X85&lt;&gt;"Y"),"info: front desk not agreed: the owner must take it; ",""))</f>
        <v/>
      </c>
    </row>
    <row r="86" customFormat="false" ht="15" hidden="false" customHeight="false" outlineLevel="0" collapsed="false">
      <c r="D86" s="38"/>
      <c r="E86" s="11"/>
      <c r="F86" s="11"/>
      <c r="G86" s="11"/>
      <c r="I86" s="38"/>
      <c r="J86" s="38"/>
      <c r="K86" s="10"/>
      <c r="L86" s="10"/>
      <c r="N86" s="11"/>
      <c r="P86" s="31" t="str">
        <f aca="false">IF($A86="","",IF(IFERROR(IF(INDEX(drops!$I$2:$I$21,MATCH($A86,drops!$A$2:$A$21,0))="","",INDEX(drops!$I$2:$I$21,MATCH($A86,drops!$A$2:$A$21,0))),"")="OK",IFERROR(IF(INDEX(drops!$B$2:$B$21,MATCH($A86,drops!$A$2:$A$21,0))="","",INDEX(drops!$B$2:$B$21,MATCH($A86,drops!$A$2:$A$21,0))),""),""))</f>
        <v/>
      </c>
      <c r="Q86" s="30" t="str">
        <f aca="false">IF($B86="","",IFERROR(IF(INDEX(offices!$N$2:$N$61,MATCH($B86,offices!$A$2:$A$61,0))="","",INDEX(offices!$N$2:$N$61,MATCH($B86,offices!$A$2:$A$61,0))),""))</f>
        <v/>
      </c>
      <c r="R86" s="30" t="str">
        <f aca="false">IF($B86="","",IFERROR(IF(INDEX(offices!$O$2:$O$61,MATCH($B86,offices!$A$2:$A$61,0))="","",INDEX(offices!$O$2:$O$61,MATCH($B86,offices!$A$2:$A$61,0))),""))</f>
        <v/>
      </c>
      <c r="S86" s="30" t="str">
        <f aca="false">IF($B86="","",IFERROR(IF(INDEX(offices!$P$2:$P$61,MATCH($B86,offices!$A$2:$A$61,0))="","",INDEX(offices!$P$2:$P$61,MATCH($B86,offices!$A$2:$A$61,0))),""))</f>
        <v/>
      </c>
      <c r="T86" s="30" t="str">
        <f aca="false">IF($B86="","",IFERROR(IF(INDEX(offices!$Y$2:$Y$61,MATCH($B86,offices!$A$2:$A$61,0))="","",INDEX(offices!$Y$2:$Y$61,MATCH($B86,offices!$A$2:$A$61,0))),""))</f>
        <v/>
      </c>
      <c r="U86" s="30" t="str">
        <f aca="false">IF($B86="","",IFERROR(IF(INDEX(offices!$X$2:$X$61,MATCH($B86,offices!$A$2:$A$61,0))="","",INDEX(offices!$X$2:$X$61,MATCH($B86,offices!$A$2:$A$61,0))),""))</f>
        <v/>
      </c>
      <c r="V86" s="30" t="str">
        <f aca="false">IF($B86="","",IFERROR(IF(INDEX(offices!$U$2:$U$61,MATCH($B86,offices!$A$2:$A$61,0))="","",INDEX(offices!$U$2:$U$61,MATCH($B86,offices!$A$2:$A$61,0))),""))</f>
        <v/>
      </c>
      <c r="W86" s="30" t="str">
        <f aca="false">IF($B86="","",IFERROR(IF(INDEX(offices!$AI$2:$AI$61,MATCH($B86,offices!$A$2:$A$61,0))="","",INDEX(offices!$AI$2:$AI$61,MATCH($B86,offices!$A$2:$A$61,0))),""))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Z$2:$Z$61,MATCH($B86,offices!$A$2:$A$61,0))="","",INDEX(offices!$Z$2:$Z$61,MATCH($B86,offices!$A$2:$A$61,0))),"")="yes",IFERROR(IF(INDEX(offices!$Z$2:$Z$61,MATCH($B86,offices!$A$2:$A$61,0))="","",INDEX(offices!$Z$2:$Z$61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","")&amp;IF(AND($U86="front desk",$X86&lt;&gt;"Y"),"info: front desk not agreed: the owner must take it; ",""))</f>
        <v/>
      </c>
    </row>
    <row r="87" customFormat="false" ht="15" hidden="false" customHeight="false" outlineLevel="0" collapsed="false">
      <c r="D87" s="38"/>
      <c r="E87" s="11"/>
      <c r="F87" s="11"/>
      <c r="G87" s="11"/>
      <c r="I87" s="38"/>
      <c r="J87" s="38"/>
      <c r="K87" s="10"/>
      <c r="L87" s="10"/>
      <c r="N87" s="11"/>
      <c r="P87" s="31" t="str">
        <f aca="false">IF($A87="","",IF(IFERROR(IF(INDEX(drops!$I$2:$I$21,MATCH($A87,drops!$A$2:$A$21,0))="","",INDEX(drops!$I$2:$I$21,MATCH($A87,drops!$A$2:$A$21,0))),"")="OK",IFERROR(IF(INDEX(drops!$B$2:$B$21,MATCH($A87,drops!$A$2:$A$21,0))="","",INDEX(drops!$B$2:$B$21,MATCH($A87,drops!$A$2:$A$21,0))),""),""))</f>
        <v/>
      </c>
      <c r="Q87" s="30" t="str">
        <f aca="false">IF($B87="","",IFERROR(IF(INDEX(offices!$N$2:$N$61,MATCH($B87,offices!$A$2:$A$61,0))="","",INDEX(offices!$N$2:$N$61,MATCH($B87,offices!$A$2:$A$61,0))),""))</f>
        <v/>
      </c>
      <c r="R87" s="30" t="str">
        <f aca="false">IF($B87="","",IFERROR(IF(INDEX(offices!$O$2:$O$61,MATCH($B87,offices!$A$2:$A$61,0))="","",INDEX(offices!$O$2:$O$61,MATCH($B87,offices!$A$2:$A$61,0))),""))</f>
        <v/>
      </c>
      <c r="S87" s="30" t="str">
        <f aca="false">IF($B87="","",IFERROR(IF(INDEX(offices!$P$2:$P$61,MATCH($B87,offices!$A$2:$A$61,0))="","",INDEX(offices!$P$2:$P$61,MATCH($B87,offices!$A$2:$A$61,0))),""))</f>
        <v/>
      </c>
      <c r="T87" s="30" t="str">
        <f aca="false">IF($B87="","",IFERROR(IF(INDEX(offices!$Y$2:$Y$61,MATCH($B87,offices!$A$2:$A$61,0))="","",INDEX(offices!$Y$2:$Y$61,MATCH($B87,offices!$A$2:$A$61,0))),""))</f>
        <v/>
      </c>
      <c r="U87" s="30" t="str">
        <f aca="false">IF($B87="","",IFERROR(IF(INDEX(offices!$X$2:$X$61,MATCH($B87,offices!$A$2:$A$61,0))="","",INDEX(offices!$X$2:$X$61,MATCH($B87,offices!$A$2:$A$61,0))),""))</f>
        <v/>
      </c>
      <c r="V87" s="30" t="str">
        <f aca="false">IF($B87="","",IFERROR(IF(INDEX(offices!$U$2:$U$61,MATCH($B87,offices!$A$2:$A$61,0))="","",INDEX(offices!$U$2:$U$61,MATCH($B87,offices!$A$2:$A$61,0))),""))</f>
        <v/>
      </c>
      <c r="W87" s="30" t="str">
        <f aca="false">IF($B87="","",IFERROR(IF(INDEX(offices!$AI$2:$AI$61,MATCH($B87,offices!$A$2:$A$61,0))="","",INDEX(offices!$AI$2:$AI$61,MATCH($B87,offices!$A$2:$A$61,0))),""))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Z$2:$Z$61,MATCH($B87,offices!$A$2:$A$61,0))="","",INDEX(offices!$Z$2:$Z$61,MATCH($B87,offices!$A$2:$A$61,0))),"")="yes",IFERROR(IF(INDEX(offices!$Z$2:$Z$61,MATCH($B87,offices!$A$2:$A$61,0))="","",INDEX(offices!$Z$2:$Z$61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","")&amp;IF(AND($U87="front desk",$X87&lt;&gt;"Y"),"info: front desk not agreed: the owner must take it; ",""))</f>
        <v/>
      </c>
    </row>
    <row r="88" customFormat="false" ht="15" hidden="false" customHeight="false" outlineLevel="0" collapsed="false">
      <c r="D88" s="38"/>
      <c r="E88" s="11"/>
      <c r="F88" s="11"/>
      <c r="G88" s="11"/>
      <c r="I88" s="38"/>
      <c r="J88" s="38"/>
      <c r="K88" s="10"/>
      <c r="L88" s="10"/>
      <c r="N88" s="11"/>
      <c r="P88" s="31" t="str">
        <f aca="false">IF($A88="","",IF(IFERROR(IF(INDEX(drops!$I$2:$I$21,MATCH($A88,drops!$A$2:$A$21,0))="","",INDEX(drops!$I$2:$I$21,MATCH($A88,drops!$A$2:$A$21,0))),"")="OK",IFERROR(IF(INDEX(drops!$B$2:$B$21,MATCH($A88,drops!$A$2:$A$21,0))="","",INDEX(drops!$B$2:$B$21,MATCH($A88,drops!$A$2:$A$21,0))),""),""))</f>
        <v/>
      </c>
      <c r="Q88" s="30" t="str">
        <f aca="false">IF($B88="","",IFERROR(IF(INDEX(offices!$N$2:$N$61,MATCH($B88,offices!$A$2:$A$61,0))="","",INDEX(offices!$N$2:$N$61,MATCH($B88,offices!$A$2:$A$61,0))),""))</f>
        <v/>
      </c>
      <c r="R88" s="30" t="str">
        <f aca="false">IF($B88="","",IFERROR(IF(INDEX(offices!$O$2:$O$61,MATCH($B88,offices!$A$2:$A$61,0))="","",INDEX(offices!$O$2:$O$61,MATCH($B88,offices!$A$2:$A$61,0))),""))</f>
        <v/>
      </c>
      <c r="S88" s="30" t="str">
        <f aca="false">IF($B88="","",IFERROR(IF(INDEX(offices!$P$2:$P$61,MATCH($B88,offices!$A$2:$A$61,0))="","",INDEX(offices!$P$2:$P$61,MATCH($B88,offices!$A$2:$A$61,0))),""))</f>
        <v/>
      </c>
      <c r="T88" s="30" t="str">
        <f aca="false">IF($B88="","",IFERROR(IF(INDEX(offices!$Y$2:$Y$61,MATCH($B88,offices!$A$2:$A$61,0))="","",INDEX(offices!$Y$2:$Y$61,MATCH($B88,offices!$A$2:$A$61,0))),""))</f>
        <v/>
      </c>
      <c r="U88" s="30" t="str">
        <f aca="false">IF($B88="","",IFERROR(IF(INDEX(offices!$X$2:$X$61,MATCH($B88,offices!$A$2:$A$61,0))="","",INDEX(offices!$X$2:$X$61,MATCH($B88,offices!$A$2:$A$61,0))),""))</f>
        <v/>
      </c>
      <c r="V88" s="30" t="str">
        <f aca="false">IF($B88="","",IFERROR(IF(INDEX(offices!$U$2:$U$61,MATCH($B88,offices!$A$2:$A$61,0))="","",INDEX(offices!$U$2:$U$61,MATCH($B88,offices!$A$2:$A$61,0))),""))</f>
        <v/>
      </c>
      <c r="W88" s="30" t="str">
        <f aca="false">IF($B88="","",IFERROR(IF(INDEX(offices!$AI$2:$AI$61,MATCH($B88,offices!$A$2:$A$61,0))="","",INDEX(offices!$AI$2:$AI$61,MATCH($B88,offices!$A$2:$A$61,0))),""))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Z$2:$Z$61,MATCH($B88,offices!$A$2:$A$61,0))="","",INDEX(offices!$Z$2:$Z$61,MATCH($B88,offices!$A$2:$A$61,0))),"")="yes",IFERROR(IF(INDEX(offices!$Z$2:$Z$61,MATCH($B88,offices!$A$2:$A$61,0))="","",INDEX(offices!$Z$2:$Z$61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","")&amp;IF(AND($U88="front desk",$X88&lt;&gt;"Y"),"info: front desk not agreed: the owner must take it; ",""))</f>
        <v/>
      </c>
    </row>
    <row r="89" customFormat="false" ht="15" hidden="false" customHeight="false" outlineLevel="0" collapsed="false">
      <c r="D89" s="38"/>
      <c r="E89" s="11"/>
      <c r="F89" s="11"/>
      <c r="G89" s="11"/>
      <c r="I89" s="38"/>
      <c r="J89" s="38"/>
      <c r="K89" s="10"/>
      <c r="L89" s="10"/>
      <c r="N89" s="11"/>
      <c r="P89" s="31" t="str">
        <f aca="false">IF($A89="","",IF(IFERROR(IF(INDEX(drops!$I$2:$I$21,MATCH($A89,drops!$A$2:$A$21,0))="","",INDEX(drops!$I$2:$I$21,MATCH($A89,drops!$A$2:$A$21,0))),"")="OK",IFERROR(IF(INDEX(drops!$B$2:$B$21,MATCH($A89,drops!$A$2:$A$21,0))="","",INDEX(drops!$B$2:$B$21,MATCH($A89,drops!$A$2:$A$21,0))),""),""))</f>
        <v/>
      </c>
      <c r="Q89" s="30" t="str">
        <f aca="false">IF($B89="","",IFERROR(IF(INDEX(offices!$N$2:$N$61,MATCH($B89,offices!$A$2:$A$61,0))="","",INDEX(offices!$N$2:$N$61,MATCH($B89,offices!$A$2:$A$61,0))),""))</f>
        <v/>
      </c>
      <c r="R89" s="30" t="str">
        <f aca="false">IF($B89="","",IFERROR(IF(INDEX(offices!$O$2:$O$61,MATCH($B89,offices!$A$2:$A$61,0))="","",INDEX(offices!$O$2:$O$61,MATCH($B89,offices!$A$2:$A$61,0))),""))</f>
        <v/>
      </c>
      <c r="S89" s="30" t="str">
        <f aca="false">IF($B89="","",IFERROR(IF(INDEX(offices!$P$2:$P$61,MATCH($B89,offices!$A$2:$A$61,0))="","",INDEX(offices!$P$2:$P$61,MATCH($B89,offices!$A$2:$A$61,0))),""))</f>
        <v/>
      </c>
      <c r="T89" s="30" t="str">
        <f aca="false">IF($B89="","",IFERROR(IF(INDEX(offices!$Y$2:$Y$61,MATCH($B89,offices!$A$2:$A$61,0))="","",INDEX(offices!$Y$2:$Y$61,MATCH($B89,offices!$A$2:$A$61,0))),""))</f>
        <v/>
      </c>
      <c r="U89" s="30" t="str">
        <f aca="false">IF($B89="","",IFERROR(IF(INDEX(offices!$X$2:$X$61,MATCH($B89,offices!$A$2:$A$61,0))="","",INDEX(offices!$X$2:$X$61,MATCH($B89,offices!$A$2:$A$61,0))),""))</f>
        <v/>
      </c>
      <c r="V89" s="30" t="str">
        <f aca="false">IF($B89="","",IFERROR(IF(INDEX(offices!$U$2:$U$61,MATCH($B89,offices!$A$2:$A$61,0))="","",INDEX(offices!$U$2:$U$61,MATCH($B89,offices!$A$2:$A$61,0))),""))</f>
        <v/>
      </c>
      <c r="W89" s="30" t="str">
        <f aca="false">IF($B89="","",IFERROR(IF(INDEX(offices!$AI$2:$AI$61,MATCH($B89,offices!$A$2:$A$61,0))="","",INDEX(offices!$AI$2:$AI$61,MATCH($B89,offices!$A$2:$A$61,0))),""))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Z$2:$Z$61,MATCH($B89,offices!$A$2:$A$61,0))="","",INDEX(offices!$Z$2:$Z$61,MATCH($B89,offices!$A$2:$A$61,0))),"")="yes",IFERROR(IF(INDEX(offices!$Z$2:$Z$61,MATCH($B89,offices!$A$2:$A$61,0))="","",INDEX(offices!$Z$2:$Z$61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","")&amp;IF(AND($U89="front desk",$X89&lt;&gt;"Y"),"info: front desk not agreed: the owner must take it; ",""))</f>
        <v/>
      </c>
    </row>
    <row r="90" customFormat="false" ht="15" hidden="false" customHeight="false" outlineLevel="0" collapsed="false">
      <c r="D90" s="38"/>
      <c r="E90" s="11"/>
      <c r="F90" s="11"/>
      <c r="G90" s="11"/>
      <c r="I90" s="38"/>
      <c r="J90" s="38"/>
      <c r="K90" s="10"/>
      <c r="L90" s="10"/>
      <c r="N90" s="11"/>
      <c r="P90" s="31" t="str">
        <f aca="false">IF($A90="","",IF(IFERROR(IF(INDEX(drops!$I$2:$I$21,MATCH($A90,drops!$A$2:$A$21,0))="","",INDEX(drops!$I$2:$I$21,MATCH($A90,drops!$A$2:$A$21,0))),"")="OK",IFERROR(IF(INDEX(drops!$B$2:$B$21,MATCH($A90,drops!$A$2:$A$21,0))="","",INDEX(drops!$B$2:$B$21,MATCH($A90,drops!$A$2:$A$21,0))),""),""))</f>
        <v/>
      </c>
      <c r="Q90" s="30" t="str">
        <f aca="false">IF($B90="","",IFERROR(IF(INDEX(offices!$N$2:$N$61,MATCH($B90,offices!$A$2:$A$61,0))="","",INDEX(offices!$N$2:$N$61,MATCH($B90,offices!$A$2:$A$61,0))),""))</f>
        <v/>
      </c>
      <c r="R90" s="30" t="str">
        <f aca="false">IF($B90="","",IFERROR(IF(INDEX(offices!$O$2:$O$61,MATCH($B90,offices!$A$2:$A$61,0))="","",INDEX(offices!$O$2:$O$61,MATCH($B90,offices!$A$2:$A$61,0))),""))</f>
        <v/>
      </c>
      <c r="S90" s="30" t="str">
        <f aca="false">IF($B90="","",IFERROR(IF(INDEX(offices!$P$2:$P$61,MATCH($B90,offices!$A$2:$A$61,0))="","",INDEX(offices!$P$2:$P$61,MATCH($B90,offices!$A$2:$A$61,0))),""))</f>
        <v/>
      </c>
      <c r="T90" s="30" t="str">
        <f aca="false">IF($B90="","",IFERROR(IF(INDEX(offices!$Y$2:$Y$61,MATCH($B90,offices!$A$2:$A$61,0))="","",INDEX(offices!$Y$2:$Y$61,MATCH($B90,offices!$A$2:$A$61,0))),""))</f>
        <v/>
      </c>
      <c r="U90" s="30" t="str">
        <f aca="false">IF($B90="","",IFERROR(IF(INDEX(offices!$X$2:$X$61,MATCH($B90,offices!$A$2:$A$61,0))="","",INDEX(offices!$X$2:$X$61,MATCH($B90,offices!$A$2:$A$61,0))),""))</f>
        <v/>
      </c>
      <c r="V90" s="30" t="str">
        <f aca="false">IF($B90="","",IFERROR(IF(INDEX(offices!$U$2:$U$61,MATCH($B90,offices!$A$2:$A$61,0))="","",INDEX(offices!$U$2:$U$61,MATCH($B90,offices!$A$2:$A$61,0))),""))</f>
        <v/>
      </c>
      <c r="W90" s="30" t="str">
        <f aca="false">IF($B90="","",IFERROR(IF(INDEX(offices!$AI$2:$AI$61,MATCH($B90,offices!$A$2:$A$61,0))="","",INDEX(offices!$AI$2:$AI$61,MATCH($B90,offices!$A$2:$A$61,0))),""))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Z$2:$Z$61,MATCH($B90,offices!$A$2:$A$61,0))="","",INDEX(offices!$Z$2:$Z$61,MATCH($B90,offices!$A$2:$A$61,0))),"")="yes",IFERROR(IF(INDEX(offices!$Z$2:$Z$61,MATCH($B90,offices!$A$2:$A$61,0))="","",INDEX(offices!$Z$2:$Z$61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","")&amp;IF(AND($U90="front desk",$X90&lt;&gt;"Y"),"info: front desk not agreed: the owner must take it; ",""))</f>
        <v/>
      </c>
    </row>
    <row r="91" customFormat="false" ht="15" hidden="false" customHeight="false" outlineLevel="0" collapsed="false">
      <c r="D91" s="38"/>
      <c r="E91" s="11"/>
      <c r="F91" s="11"/>
      <c r="G91" s="11"/>
      <c r="I91" s="38"/>
      <c r="J91" s="38"/>
      <c r="K91" s="10"/>
      <c r="L91" s="10"/>
      <c r="N91" s="11"/>
      <c r="P91" s="31" t="str">
        <f aca="false">IF($A91="","",IF(IFERROR(IF(INDEX(drops!$I$2:$I$21,MATCH($A91,drops!$A$2:$A$21,0))="","",INDEX(drops!$I$2:$I$21,MATCH($A91,drops!$A$2:$A$21,0))),"")="OK",IFERROR(IF(INDEX(drops!$B$2:$B$21,MATCH($A91,drops!$A$2:$A$21,0))="","",INDEX(drops!$B$2:$B$21,MATCH($A91,drops!$A$2:$A$21,0))),""),""))</f>
        <v/>
      </c>
      <c r="Q91" s="30" t="str">
        <f aca="false">IF($B91="","",IFERROR(IF(INDEX(offices!$N$2:$N$61,MATCH($B91,offices!$A$2:$A$61,0))="","",INDEX(offices!$N$2:$N$61,MATCH($B91,offices!$A$2:$A$61,0))),""))</f>
        <v/>
      </c>
      <c r="R91" s="30" t="str">
        <f aca="false">IF($B91="","",IFERROR(IF(INDEX(offices!$O$2:$O$61,MATCH($B91,offices!$A$2:$A$61,0))="","",INDEX(offices!$O$2:$O$61,MATCH($B91,offices!$A$2:$A$61,0))),""))</f>
        <v/>
      </c>
      <c r="S91" s="30" t="str">
        <f aca="false">IF($B91="","",IFERROR(IF(INDEX(offices!$P$2:$P$61,MATCH($B91,offices!$A$2:$A$61,0))="","",INDEX(offices!$P$2:$P$61,MATCH($B91,offices!$A$2:$A$61,0))),""))</f>
        <v/>
      </c>
      <c r="T91" s="30" t="str">
        <f aca="false">IF($B91="","",IFERROR(IF(INDEX(offices!$Y$2:$Y$61,MATCH($B91,offices!$A$2:$A$61,0))="","",INDEX(offices!$Y$2:$Y$61,MATCH($B91,offices!$A$2:$A$61,0))),""))</f>
        <v/>
      </c>
      <c r="U91" s="30" t="str">
        <f aca="false">IF($B91="","",IFERROR(IF(INDEX(offices!$X$2:$X$61,MATCH($B91,offices!$A$2:$A$61,0))="","",INDEX(offices!$X$2:$X$61,MATCH($B91,offices!$A$2:$A$61,0))),""))</f>
        <v/>
      </c>
      <c r="V91" s="30" t="str">
        <f aca="false">IF($B91="","",IFERROR(IF(INDEX(offices!$U$2:$U$61,MATCH($B91,offices!$A$2:$A$61,0))="","",INDEX(offices!$U$2:$U$61,MATCH($B91,offices!$A$2:$A$61,0))),""))</f>
        <v/>
      </c>
      <c r="W91" s="30" t="str">
        <f aca="false">IF($B91="","",IFERROR(IF(INDEX(offices!$AI$2:$AI$61,MATCH($B91,offices!$A$2:$A$61,0))="","",INDEX(offices!$AI$2:$AI$61,MATCH($B91,offices!$A$2:$A$61,0))),""))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Z$2:$Z$61,MATCH($B91,offices!$A$2:$A$61,0))="","",INDEX(offices!$Z$2:$Z$61,MATCH($B91,offices!$A$2:$A$61,0))),"")="yes",IFERROR(IF(INDEX(offices!$Z$2:$Z$61,MATCH($B91,offices!$A$2:$A$61,0))="","",INDEX(offices!$Z$2:$Z$61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","")&amp;IF(AND($U91="front desk",$X91&lt;&gt;"Y"),"info: front desk not agreed: the owner must take it; ",""))</f>
        <v/>
      </c>
    </row>
    <row r="92" customFormat="false" ht="15" hidden="false" customHeight="false" outlineLevel="0" collapsed="false">
      <c r="D92" s="38"/>
      <c r="E92" s="11"/>
      <c r="F92" s="11"/>
      <c r="G92" s="11"/>
      <c r="I92" s="38"/>
      <c r="J92" s="38"/>
      <c r="K92" s="10"/>
      <c r="L92" s="10"/>
      <c r="N92" s="11"/>
      <c r="P92" s="31" t="str">
        <f aca="false">IF($A92="","",IF(IFERROR(IF(INDEX(drops!$I$2:$I$21,MATCH($A92,drops!$A$2:$A$21,0))="","",INDEX(drops!$I$2:$I$21,MATCH($A92,drops!$A$2:$A$21,0))),"")="OK",IFERROR(IF(INDEX(drops!$B$2:$B$21,MATCH($A92,drops!$A$2:$A$21,0))="","",INDEX(drops!$B$2:$B$21,MATCH($A92,drops!$A$2:$A$21,0))),""),""))</f>
        <v/>
      </c>
      <c r="Q92" s="30" t="str">
        <f aca="false">IF($B92="","",IFERROR(IF(INDEX(offices!$N$2:$N$61,MATCH($B92,offices!$A$2:$A$61,0))="","",INDEX(offices!$N$2:$N$61,MATCH($B92,offices!$A$2:$A$61,0))),""))</f>
        <v/>
      </c>
      <c r="R92" s="30" t="str">
        <f aca="false">IF($B92="","",IFERROR(IF(INDEX(offices!$O$2:$O$61,MATCH($B92,offices!$A$2:$A$61,0))="","",INDEX(offices!$O$2:$O$61,MATCH($B92,offices!$A$2:$A$61,0))),""))</f>
        <v/>
      </c>
      <c r="S92" s="30" t="str">
        <f aca="false">IF($B92="","",IFERROR(IF(INDEX(offices!$P$2:$P$61,MATCH($B92,offices!$A$2:$A$61,0))="","",INDEX(offices!$P$2:$P$61,MATCH($B92,offices!$A$2:$A$61,0))),""))</f>
        <v/>
      </c>
      <c r="T92" s="30" t="str">
        <f aca="false">IF($B92="","",IFERROR(IF(INDEX(offices!$Y$2:$Y$61,MATCH($B92,offices!$A$2:$A$61,0))="","",INDEX(offices!$Y$2:$Y$61,MATCH($B92,offices!$A$2:$A$61,0))),""))</f>
        <v/>
      </c>
      <c r="U92" s="30" t="str">
        <f aca="false">IF($B92="","",IFERROR(IF(INDEX(offices!$X$2:$X$61,MATCH($B92,offices!$A$2:$A$61,0))="","",INDEX(offices!$X$2:$X$61,MATCH($B92,offices!$A$2:$A$61,0))),""))</f>
        <v/>
      </c>
      <c r="V92" s="30" t="str">
        <f aca="false">IF($B92="","",IFERROR(IF(INDEX(offices!$U$2:$U$61,MATCH($B92,offices!$A$2:$A$61,0))="","",INDEX(offices!$U$2:$U$61,MATCH($B92,offices!$A$2:$A$61,0))),""))</f>
        <v/>
      </c>
      <c r="W92" s="30" t="str">
        <f aca="false">IF($B92="","",IFERROR(IF(INDEX(offices!$AI$2:$AI$61,MATCH($B92,offices!$A$2:$A$61,0))="","",INDEX(offices!$AI$2:$AI$61,MATCH($B92,offices!$A$2:$A$61,0))),""))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Z$2:$Z$61,MATCH($B92,offices!$A$2:$A$61,0))="","",INDEX(offices!$Z$2:$Z$61,MATCH($B92,offices!$A$2:$A$61,0))),"")="yes",IFERROR(IF(INDEX(offices!$Z$2:$Z$61,MATCH($B92,offices!$A$2:$A$61,0))="","",INDEX(offices!$Z$2:$Z$61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","")&amp;IF(AND($U92="front desk",$X92&lt;&gt;"Y"),"info: front desk not agreed: the owner must take it; ",""))</f>
        <v/>
      </c>
    </row>
    <row r="93" customFormat="false" ht="15" hidden="false" customHeight="false" outlineLevel="0" collapsed="false">
      <c r="D93" s="38"/>
      <c r="E93" s="11"/>
      <c r="F93" s="11"/>
      <c r="G93" s="11"/>
      <c r="I93" s="38"/>
      <c r="J93" s="38"/>
      <c r="K93" s="10"/>
      <c r="L93" s="10"/>
      <c r="N93" s="11"/>
      <c r="P93" s="31" t="str">
        <f aca="false">IF($A93="","",IF(IFERROR(IF(INDEX(drops!$I$2:$I$21,MATCH($A93,drops!$A$2:$A$21,0))="","",INDEX(drops!$I$2:$I$21,MATCH($A93,drops!$A$2:$A$21,0))),"")="OK",IFERROR(IF(INDEX(drops!$B$2:$B$21,MATCH($A93,drops!$A$2:$A$21,0))="","",INDEX(drops!$B$2:$B$21,MATCH($A93,drops!$A$2:$A$21,0))),""),""))</f>
        <v/>
      </c>
      <c r="Q93" s="30" t="str">
        <f aca="false">IF($B93="","",IFERROR(IF(INDEX(offices!$N$2:$N$61,MATCH($B93,offices!$A$2:$A$61,0))="","",INDEX(offices!$N$2:$N$61,MATCH($B93,offices!$A$2:$A$61,0))),""))</f>
        <v/>
      </c>
      <c r="R93" s="30" t="str">
        <f aca="false">IF($B93="","",IFERROR(IF(INDEX(offices!$O$2:$O$61,MATCH($B93,offices!$A$2:$A$61,0))="","",INDEX(offices!$O$2:$O$61,MATCH($B93,offices!$A$2:$A$61,0))),""))</f>
        <v/>
      </c>
      <c r="S93" s="30" t="str">
        <f aca="false">IF($B93="","",IFERROR(IF(INDEX(offices!$P$2:$P$61,MATCH($B93,offices!$A$2:$A$61,0))="","",INDEX(offices!$P$2:$P$61,MATCH($B93,offices!$A$2:$A$61,0))),""))</f>
        <v/>
      </c>
      <c r="T93" s="30" t="str">
        <f aca="false">IF($B93="","",IFERROR(IF(INDEX(offices!$Y$2:$Y$61,MATCH($B93,offices!$A$2:$A$61,0))="","",INDEX(offices!$Y$2:$Y$61,MATCH($B93,offices!$A$2:$A$61,0))),""))</f>
        <v/>
      </c>
      <c r="U93" s="30" t="str">
        <f aca="false">IF($B93="","",IFERROR(IF(INDEX(offices!$X$2:$X$61,MATCH($B93,offices!$A$2:$A$61,0))="","",INDEX(offices!$X$2:$X$61,MATCH($B93,offices!$A$2:$A$61,0))),""))</f>
        <v/>
      </c>
      <c r="V93" s="30" t="str">
        <f aca="false">IF($B93="","",IFERROR(IF(INDEX(offices!$U$2:$U$61,MATCH($B93,offices!$A$2:$A$61,0))="","",INDEX(offices!$U$2:$U$61,MATCH($B93,offices!$A$2:$A$61,0))),""))</f>
        <v/>
      </c>
      <c r="W93" s="30" t="str">
        <f aca="false">IF($B93="","",IFERROR(IF(INDEX(offices!$AI$2:$AI$61,MATCH($B93,offices!$A$2:$A$61,0))="","",INDEX(offices!$AI$2:$AI$61,MATCH($B93,offices!$A$2:$A$61,0))),""))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Z$2:$Z$61,MATCH($B93,offices!$A$2:$A$61,0))="","",INDEX(offices!$Z$2:$Z$61,MATCH($B93,offices!$A$2:$A$61,0))),"")="yes",IFERROR(IF(INDEX(offices!$Z$2:$Z$61,MATCH($B93,offices!$A$2:$A$61,0))="","",INDEX(offices!$Z$2:$Z$61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","")&amp;IF(AND($U93="front desk",$X93&lt;&gt;"Y"),"info: front desk not agreed: the owner must take it; ",""))</f>
        <v/>
      </c>
    </row>
    <row r="94" customFormat="false" ht="15" hidden="false" customHeight="false" outlineLevel="0" collapsed="false">
      <c r="D94" s="38"/>
      <c r="E94" s="11"/>
      <c r="F94" s="11"/>
      <c r="G94" s="11"/>
      <c r="I94" s="38"/>
      <c r="J94" s="38"/>
      <c r="K94" s="10"/>
      <c r="L94" s="10"/>
      <c r="N94" s="11"/>
      <c r="P94" s="31" t="str">
        <f aca="false">IF($A94="","",IF(IFERROR(IF(INDEX(drops!$I$2:$I$21,MATCH($A94,drops!$A$2:$A$21,0))="","",INDEX(drops!$I$2:$I$21,MATCH($A94,drops!$A$2:$A$21,0))),"")="OK",IFERROR(IF(INDEX(drops!$B$2:$B$21,MATCH($A94,drops!$A$2:$A$21,0))="","",INDEX(drops!$B$2:$B$21,MATCH($A94,drops!$A$2:$A$21,0))),""),""))</f>
        <v/>
      </c>
      <c r="Q94" s="30" t="str">
        <f aca="false">IF($B94="","",IFERROR(IF(INDEX(offices!$N$2:$N$61,MATCH($B94,offices!$A$2:$A$61,0))="","",INDEX(offices!$N$2:$N$61,MATCH($B94,offices!$A$2:$A$61,0))),""))</f>
        <v/>
      </c>
      <c r="R94" s="30" t="str">
        <f aca="false">IF($B94="","",IFERROR(IF(INDEX(offices!$O$2:$O$61,MATCH($B94,offices!$A$2:$A$61,0))="","",INDEX(offices!$O$2:$O$61,MATCH($B94,offices!$A$2:$A$61,0))),""))</f>
        <v/>
      </c>
      <c r="S94" s="30" t="str">
        <f aca="false">IF($B94="","",IFERROR(IF(INDEX(offices!$P$2:$P$61,MATCH($B94,offices!$A$2:$A$61,0))="","",INDEX(offices!$P$2:$P$61,MATCH($B94,offices!$A$2:$A$61,0))),""))</f>
        <v/>
      </c>
      <c r="T94" s="30" t="str">
        <f aca="false">IF($B94="","",IFERROR(IF(INDEX(offices!$Y$2:$Y$61,MATCH($B94,offices!$A$2:$A$61,0))="","",INDEX(offices!$Y$2:$Y$61,MATCH($B94,offices!$A$2:$A$61,0))),""))</f>
        <v/>
      </c>
      <c r="U94" s="30" t="str">
        <f aca="false">IF($B94="","",IFERROR(IF(INDEX(offices!$X$2:$X$61,MATCH($B94,offices!$A$2:$A$61,0))="","",INDEX(offices!$X$2:$X$61,MATCH($B94,offices!$A$2:$A$61,0))),""))</f>
        <v/>
      </c>
      <c r="V94" s="30" t="str">
        <f aca="false">IF($B94="","",IFERROR(IF(INDEX(offices!$U$2:$U$61,MATCH($B94,offices!$A$2:$A$61,0))="","",INDEX(offices!$U$2:$U$61,MATCH($B94,offices!$A$2:$A$61,0))),""))</f>
        <v/>
      </c>
      <c r="W94" s="30" t="str">
        <f aca="false">IF($B94="","",IFERROR(IF(INDEX(offices!$AI$2:$AI$61,MATCH($B94,offices!$A$2:$A$61,0))="","",INDEX(offices!$AI$2:$AI$61,MATCH($B94,offices!$A$2:$A$61,0))),""))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Z$2:$Z$61,MATCH($B94,offices!$A$2:$A$61,0))="","",INDEX(offices!$Z$2:$Z$61,MATCH($B94,offices!$A$2:$A$61,0))),"")="yes",IFERROR(IF(INDEX(offices!$Z$2:$Z$61,MATCH($B94,offices!$A$2:$A$61,0))="","",INDEX(offices!$Z$2:$Z$61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","")&amp;IF(AND($U94="front desk",$X94&lt;&gt;"Y"),"info: front desk not agreed: the owner must take it; ",""))</f>
        <v/>
      </c>
    </row>
    <row r="95" customFormat="false" ht="15" hidden="false" customHeight="false" outlineLevel="0" collapsed="false">
      <c r="D95" s="38"/>
      <c r="E95" s="11"/>
      <c r="F95" s="11"/>
      <c r="G95" s="11"/>
      <c r="I95" s="38"/>
      <c r="J95" s="38"/>
      <c r="K95" s="10"/>
      <c r="L95" s="10"/>
      <c r="N95" s="11"/>
      <c r="P95" s="31" t="str">
        <f aca="false">IF($A95="","",IF(IFERROR(IF(INDEX(drops!$I$2:$I$21,MATCH($A95,drops!$A$2:$A$21,0))="","",INDEX(drops!$I$2:$I$21,MATCH($A95,drops!$A$2:$A$21,0))),"")="OK",IFERROR(IF(INDEX(drops!$B$2:$B$21,MATCH($A95,drops!$A$2:$A$21,0))="","",INDEX(drops!$B$2:$B$21,MATCH($A95,drops!$A$2:$A$21,0))),""),""))</f>
        <v/>
      </c>
      <c r="Q95" s="30" t="str">
        <f aca="false">IF($B95="","",IFERROR(IF(INDEX(offices!$N$2:$N$61,MATCH($B95,offices!$A$2:$A$61,0))="","",INDEX(offices!$N$2:$N$61,MATCH($B95,offices!$A$2:$A$61,0))),""))</f>
        <v/>
      </c>
      <c r="R95" s="30" t="str">
        <f aca="false">IF($B95="","",IFERROR(IF(INDEX(offices!$O$2:$O$61,MATCH($B95,offices!$A$2:$A$61,0))="","",INDEX(offices!$O$2:$O$61,MATCH($B95,offices!$A$2:$A$61,0))),""))</f>
        <v/>
      </c>
      <c r="S95" s="30" t="str">
        <f aca="false">IF($B95="","",IFERROR(IF(INDEX(offices!$P$2:$P$61,MATCH($B95,offices!$A$2:$A$61,0))="","",INDEX(offices!$P$2:$P$61,MATCH($B95,offices!$A$2:$A$61,0))),""))</f>
        <v/>
      </c>
      <c r="T95" s="30" t="str">
        <f aca="false">IF($B95="","",IFERROR(IF(INDEX(offices!$Y$2:$Y$61,MATCH($B95,offices!$A$2:$A$61,0))="","",INDEX(offices!$Y$2:$Y$61,MATCH($B95,offices!$A$2:$A$61,0))),""))</f>
        <v/>
      </c>
      <c r="U95" s="30" t="str">
        <f aca="false">IF($B95="","",IFERROR(IF(INDEX(offices!$X$2:$X$61,MATCH($B95,offices!$A$2:$A$61,0))="","",INDEX(offices!$X$2:$X$61,MATCH($B95,offices!$A$2:$A$61,0))),""))</f>
        <v/>
      </c>
      <c r="V95" s="30" t="str">
        <f aca="false">IF($B95="","",IFERROR(IF(INDEX(offices!$U$2:$U$61,MATCH($B95,offices!$A$2:$A$61,0))="","",INDEX(offices!$U$2:$U$61,MATCH($B95,offices!$A$2:$A$61,0))),""))</f>
        <v/>
      </c>
      <c r="W95" s="30" t="str">
        <f aca="false">IF($B95="","",IFERROR(IF(INDEX(offices!$AI$2:$AI$61,MATCH($B95,offices!$A$2:$A$61,0))="","",INDEX(offices!$AI$2:$AI$61,MATCH($B95,offices!$A$2:$A$61,0))),""))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Z$2:$Z$61,MATCH($B95,offices!$A$2:$A$61,0))="","",INDEX(offices!$Z$2:$Z$61,MATCH($B95,offices!$A$2:$A$61,0))),"")="yes",IFERROR(IF(INDEX(offices!$Z$2:$Z$61,MATCH($B95,offices!$A$2:$A$61,0))="","",INDEX(offices!$Z$2:$Z$61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","")&amp;IF(AND($U95="front desk",$X95&lt;&gt;"Y"),"info: front desk not agreed: the owner must take it; ",""))</f>
        <v/>
      </c>
    </row>
    <row r="96" customFormat="false" ht="15" hidden="false" customHeight="false" outlineLevel="0" collapsed="false">
      <c r="D96" s="38"/>
      <c r="E96" s="11"/>
      <c r="F96" s="11"/>
      <c r="G96" s="11"/>
      <c r="I96" s="38"/>
      <c r="J96" s="38"/>
      <c r="K96" s="10"/>
      <c r="L96" s="10"/>
      <c r="N96" s="11"/>
      <c r="P96" s="31" t="str">
        <f aca="false">IF($A96="","",IF(IFERROR(IF(INDEX(drops!$I$2:$I$21,MATCH($A96,drops!$A$2:$A$21,0))="","",INDEX(drops!$I$2:$I$21,MATCH($A96,drops!$A$2:$A$21,0))),"")="OK",IFERROR(IF(INDEX(drops!$B$2:$B$21,MATCH($A96,drops!$A$2:$A$21,0))="","",INDEX(drops!$B$2:$B$21,MATCH($A96,drops!$A$2:$A$21,0))),""),""))</f>
        <v/>
      </c>
      <c r="Q96" s="30" t="str">
        <f aca="false">IF($B96="","",IFERROR(IF(INDEX(offices!$N$2:$N$61,MATCH($B96,offices!$A$2:$A$61,0))="","",INDEX(offices!$N$2:$N$61,MATCH($B96,offices!$A$2:$A$61,0))),""))</f>
        <v/>
      </c>
      <c r="R96" s="30" t="str">
        <f aca="false">IF($B96="","",IFERROR(IF(INDEX(offices!$O$2:$O$61,MATCH($B96,offices!$A$2:$A$61,0))="","",INDEX(offices!$O$2:$O$61,MATCH($B96,offices!$A$2:$A$61,0))),""))</f>
        <v/>
      </c>
      <c r="S96" s="30" t="str">
        <f aca="false">IF($B96="","",IFERROR(IF(INDEX(offices!$P$2:$P$61,MATCH($B96,offices!$A$2:$A$61,0))="","",INDEX(offices!$P$2:$P$61,MATCH($B96,offices!$A$2:$A$61,0))),""))</f>
        <v/>
      </c>
      <c r="T96" s="30" t="str">
        <f aca="false">IF($B96="","",IFERROR(IF(INDEX(offices!$Y$2:$Y$61,MATCH($B96,offices!$A$2:$A$61,0))="","",INDEX(offices!$Y$2:$Y$61,MATCH($B96,offices!$A$2:$A$61,0))),""))</f>
        <v/>
      </c>
      <c r="U96" s="30" t="str">
        <f aca="false">IF($B96="","",IFERROR(IF(INDEX(offices!$X$2:$X$61,MATCH($B96,offices!$A$2:$A$61,0))="","",INDEX(offices!$X$2:$X$61,MATCH($B96,offices!$A$2:$A$61,0))),""))</f>
        <v/>
      </c>
      <c r="V96" s="30" t="str">
        <f aca="false">IF($B96="","",IFERROR(IF(INDEX(offices!$U$2:$U$61,MATCH($B96,offices!$A$2:$A$61,0))="","",INDEX(offices!$U$2:$U$61,MATCH($B96,offices!$A$2:$A$61,0))),""))</f>
        <v/>
      </c>
      <c r="W96" s="30" t="str">
        <f aca="false">IF($B96="","",IFERROR(IF(INDEX(offices!$AI$2:$AI$61,MATCH($B96,offices!$A$2:$A$61,0))="","",INDEX(offices!$AI$2:$AI$61,MATCH($B96,offices!$A$2:$A$61,0))),""))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Z$2:$Z$61,MATCH($B96,offices!$A$2:$A$61,0))="","",INDEX(offices!$Z$2:$Z$61,MATCH($B96,offices!$A$2:$A$61,0))),"")="yes",IFERROR(IF(INDEX(offices!$Z$2:$Z$61,MATCH($B96,offices!$A$2:$A$61,0))="","",INDEX(offices!$Z$2:$Z$61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","")&amp;IF(AND($U96="front desk",$X96&lt;&gt;"Y"),"info: front desk not agreed: the owner must take it; ",""))</f>
        <v/>
      </c>
    </row>
    <row r="97" customFormat="false" ht="15" hidden="false" customHeight="false" outlineLevel="0" collapsed="false">
      <c r="D97" s="38"/>
      <c r="E97" s="11"/>
      <c r="F97" s="11"/>
      <c r="G97" s="11"/>
      <c r="I97" s="38"/>
      <c r="J97" s="38"/>
      <c r="K97" s="10"/>
      <c r="L97" s="10"/>
      <c r="N97" s="11"/>
      <c r="P97" s="31" t="str">
        <f aca="false">IF($A97="","",IF(IFERROR(IF(INDEX(drops!$I$2:$I$21,MATCH($A97,drops!$A$2:$A$21,0))="","",INDEX(drops!$I$2:$I$21,MATCH($A97,drops!$A$2:$A$21,0))),"")="OK",IFERROR(IF(INDEX(drops!$B$2:$B$21,MATCH($A97,drops!$A$2:$A$21,0))="","",INDEX(drops!$B$2:$B$21,MATCH($A97,drops!$A$2:$A$21,0))),""),""))</f>
        <v/>
      </c>
      <c r="Q97" s="30" t="str">
        <f aca="false">IF($B97="","",IFERROR(IF(INDEX(offices!$N$2:$N$61,MATCH($B97,offices!$A$2:$A$61,0))="","",INDEX(offices!$N$2:$N$61,MATCH($B97,offices!$A$2:$A$61,0))),""))</f>
        <v/>
      </c>
      <c r="R97" s="30" t="str">
        <f aca="false">IF($B97="","",IFERROR(IF(INDEX(offices!$O$2:$O$61,MATCH($B97,offices!$A$2:$A$61,0))="","",INDEX(offices!$O$2:$O$61,MATCH($B97,offices!$A$2:$A$61,0))),""))</f>
        <v/>
      </c>
      <c r="S97" s="30" t="str">
        <f aca="false">IF($B97="","",IFERROR(IF(INDEX(offices!$P$2:$P$61,MATCH($B97,offices!$A$2:$A$61,0))="","",INDEX(offices!$P$2:$P$61,MATCH($B97,offices!$A$2:$A$61,0))),""))</f>
        <v/>
      </c>
      <c r="T97" s="30" t="str">
        <f aca="false">IF($B97="","",IFERROR(IF(INDEX(offices!$Y$2:$Y$61,MATCH($B97,offices!$A$2:$A$61,0))="","",INDEX(offices!$Y$2:$Y$61,MATCH($B97,offices!$A$2:$A$61,0))),""))</f>
        <v/>
      </c>
      <c r="U97" s="30" t="str">
        <f aca="false">IF($B97="","",IFERROR(IF(INDEX(offices!$X$2:$X$61,MATCH($B97,offices!$A$2:$A$61,0))="","",INDEX(offices!$X$2:$X$61,MATCH($B97,offices!$A$2:$A$61,0))),""))</f>
        <v/>
      </c>
      <c r="V97" s="30" t="str">
        <f aca="false">IF($B97="","",IFERROR(IF(INDEX(offices!$U$2:$U$61,MATCH($B97,offices!$A$2:$A$61,0))="","",INDEX(offices!$U$2:$U$61,MATCH($B97,offices!$A$2:$A$61,0))),""))</f>
        <v/>
      </c>
      <c r="W97" s="30" t="str">
        <f aca="false">IF($B97="","",IFERROR(IF(INDEX(offices!$AI$2:$AI$61,MATCH($B97,offices!$A$2:$A$61,0))="","",INDEX(offices!$AI$2:$AI$61,MATCH($B97,offices!$A$2:$A$61,0))),""))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Z$2:$Z$61,MATCH($B97,offices!$A$2:$A$61,0))="","",INDEX(offices!$Z$2:$Z$61,MATCH($B97,offices!$A$2:$A$61,0))),"")="yes",IFERROR(IF(INDEX(offices!$Z$2:$Z$61,MATCH($B97,offices!$A$2:$A$61,0))="","",INDEX(offices!$Z$2:$Z$61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","")&amp;IF(AND($U97="front desk",$X97&lt;&gt;"Y"),"info: front desk not agreed: the owner must take it; ",""))</f>
        <v/>
      </c>
    </row>
    <row r="98" customFormat="false" ht="15" hidden="false" customHeight="false" outlineLevel="0" collapsed="false">
      <c r="D98" s="38"/>
      <c r="E98" s="11"/>
      <c r="F98" s="11"/>
      <c r="G98" s="11"/>
      <c r="I98" s="38"/>
      <c r="J98" s="38"/>
      <c r="K98" s="10"/>
      <c r="L98" s="10"/>
      <c r="N98" s="11"/>
      <c r="P98" s="31" t="str">
        <f aca="false">IF($A98="","",IF(IFERROR(IF(INDEX(drops!$I$2:$I$21,MATCH($A98,drops!$A$2:$A$21,0))="","",INDEX(drops!$I$2:$I$21,MATCH($A98,drops!$A$2:$A$21,0))),"")="OK",IFERROR(IF(INDEX(drops!$B$2:$B$21,MATCH($A98,drops!$A$2:$A$21,0))="","",INDEX(drops!$B$2:$B$21,MATCH($A98,drops!$A$2:$A$21,0))),""),""))</f>
        <v/>
      </c>
      <c r="Q98" s="30" t="str">
        <f aca="false">IF($B98="","",IFERROR(IF(INDEX(offices!$N$2:$N$61,MATCH($B98,offices!$A$2:$A$61,0))="","",INDEX(offices!$N$2:$N$61,MATCH($B98,offices!$A$2:$A$61,0))),""))</f>
        <v/>
      </c>
      <c r="R98" s="30" t="str">
        <f aca="false">IF($B98="","",IFERROR(IF(INDEX(offices!$O$2:$O$61,MATCH($B98,offices!$A$2:$A$61,0))="","",INDEX(offices!$O$2:$O$61,MATCH($B98,offices!$A$2:$A$61,0))),""))</f>
        <v/>
      </c>
      <c r="S98" s="30" t="str">
        <f aca="false">IF($B98="","",IFERROR(IF(INDEX(offices!$P$2:$P$61,MATCH($B98,offices!$A$2:$A$61,0))="","",INDEX(offices!$P$2:$P$61,MATCH($B98,offices!$A$2:$A$61,0))),""))</f>
        <v/>
      </c>
      <c r="T98" s="30" t="str">
        <f aca="false">IF($B98="","",IFERROR(IF(INDEX(offices!$Y$2:$Y$61,MATCH($B98,offices!$A$2:$A$61,0))="","",INDEX(offices!$Y$2:$Y$61,MATCH($B98,offices!$A$2:$A$61,0))),""))</f>
        <v/>
      </c>
      <c r="U98" s="30" t="str">
        <f aca="false">IF($B98="","",IFERROR(IF(INDEX(offices!$X$2:$X$61,MATCH($B98,offices!$A$2:$A$61,0))="","",INDEX(offices!$X$2:$X$61,MATCH($B98,offices!$A$2:$A$61,0))),""))</f>
        <v/>
      </c>
      <c r="V98" s="30" t="str">
        <f aca="false">IF($B98="","",IFERROR(IF(INDEX(offices!$U$2:$U$61,MATCH($B98,offices!$A$2:$A$61,0))="","",INDEX(offices!$U$2:$U$61,MATCH($B98,offices!$A$2:$A$61,0))),""))</f>
        <v/>
      </c>
      <c r="W98" s="30" t="str">
        <f aca="false">IF($B98="","",IFERROR(IF(INDEX(offices!$AI$2:$AI$61,MATCH($B98,offices!$A$2:$A$61,0))="","",INDEX(offices!$AI$2:$AI$61,MATCH($B98,offices!$A$2:$A$61,0))),""))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Z$2:$Z$61,MATCH($B98,offices!$A$2:$A$61,0))="","",INDEX(offices!$Z$2:$Z$61,MATCH($B98,offices!$A$2:$A$61,0))),"")="yes",IFERROR(IF(INDEX(offices!$Z$2:$Z$61,MATCH($B98,offices!$A$2:$A$61,0))="","",INDEX(offices!$Z$2:$Z$61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","")&amp;IF(AND($U98="front desk",$X98&lt;&gt;"Y"),"info: front desk not agreed: the owner must take it; ",""))</f>
        <v/>
      </c>
    </row>
    <row r="99" customFormat="false" ht="15" hidden="false" customHeight="false" outlineLevel="0" collapsed="false">
      <c r="D99" s="38"/>
      <c r="E99" s="11"/>
      <c r="F99" s="11"/>
      <c r="G99" s="11"/>
      <c r="I99" s="38"/>
      <c r="J99" s="38"/>
      <c r="K99" s="10"/>
      <c r="L99" s="10"/>
      <c r="N99" s="11"/>
      <c r="P99" s="31" t="str">
        <f aca="false">IF($A99="","",IF(IFERROR(IF(INDEX(drops!$I$2:$I$21,MATCH($A99,drops!$A$2:$A$21,0))="","",INDEX(drops!$I$2:$I$21,MATCH($A99,drops!$A$2:$A$21,0))),"")="OK",IFERROR(IF(INDEX(drops!$B$2:$B$21,MATCH($A99,drops!$A$2:$A$21,0))="","",INDEX(drops!$B$2:$B$21,MATCH($A99,drops!$A$2:$A$21,0))),""),""))</f>
        <v/>
      </c>
      <c r="Q99" s="30" t="str">
        <f aca="false">IF($B99="","",IFERROR(IF(INDEX(offices!$N$2:$N$61,MATCH($B99,offices!$A$2:$A$61,0))="","",INDEX(offices!$N$2:$N$61,MATCH($B99,offices!$A$2:$A$61,0))),""))</f>
        <v/>
      </c>
      <c r="R99" s="30" t="str">
        <f aca="false">IF($B99="","",IFERROR(IF(INDEX(offices!$O$2:$O$61,MATCH($B99,offices!$A$2:$A$61,0))="","",INDEX(offices!$O$2:$O$61,MATCH($B99,offices!$A$2:$A$61,0))),""))</f>
        <v/>
      </c>
      <c r="S99" s="30" t="str">
        <f aca="false">IF($B99="","",IFERROR(IF(INDEX(offices!$P$2:$P$61,MATCH($B99,offices!$A$2:$A$61,0))="","",INDEX(offices!$P$2:$P$61,MATCH($B99,offices!$A$2:$A$61,0))),""))</f>
        <v/>
      </c>
      <c r="T99" s="30" t="str">
        <f aca="false">IF($B99="","",IFERROR(IF(INDEX(offices!$Y$2:$Y$61,MATCH($B99,offices!$A$2:$A$61,0))="","",INDEX(offices!$Y$2:$Y$61,MATCH($B99,offices!$A$2:$A$61,0))),""))</f>
        <v/>
      </c>
      <c r="U99" s="30" t="str">
        <f aca="false">IF($B99="","",IFERROR(IF(INDEX(offices!$X$2:$X$61,MATCH($B99,offices!$A$2:$A$61,0))="","",INDEX(offices!$X$2:$X$61,MATCH($B99,offices!$A$2:$A$61,0))),""))</f>
        <v/>
      </c>
      <c r="V99" s="30" t="str">
        <f aca="false">IF($B99="","",IFERROR(IF(INDEX(offices!$U$2:$U$61,MATCH($B99,offices!$A$2:$A$61,0))="","",INDEX(offices!$U$2:$U$61,MATCH($B99,offices!$A$2:$A$61,0))),""))</f>
        <v/>
      </c>
      <c r="W99" s="30" t="str">
        <f aca="false">IF($B99="","",IFERROR(IF(INDEX(offices!$AI$2:$AI$61,MATCH($B99,offices!$A$2:$A$61,0))="","",INDEX(offices!$AI$2:$AI$61,MATCH($B99,offices!$A$2:$A$61,0))),""))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Z$2:$Z$61,MATCH($B99,offices!$A$2:$A$61,0))="","",INDEX(offices!$Z$2:$Z$61,MATCH($B99,offices!$A$2:$A$61,0))),"")="yes",IFERROR(IF(INDEX(offices!$Z$2:$Z$61,MATCH($B99,offices!$A$2:$A$61,0))="","",INDEX(offices!$Z$2:$Z$61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","")&amp;IF(AND($U99="front desk",$X99&lt;&gt;"Y"),"info: front desk not agreed: the owner must take it; ",""))</f>
        <v/>
      </c>
    </row>
    <row r="100" customFormat="false" ht="15" hidden="false" customHeight="false" outlineLevel="0" collapsed="false">
      <c r="D100" s="38"/>
      <c r="E100" s="11"/>
      <c r="F100" s="11"/>
      <c r="G100" s="11"/>
      <c r="I100" s="38"/>
      <c r="J100" s="38"/>
      <c r="K100" s="10"/>
      <c r="L100" s="10"/>
      <c r="N100" s="11"/>
      <c r="P100" s="31" t="str">
        <f aca="false">IF($A100="","",IF(IFERROR(IF(INDEX(drops!$I$2:$I$21,MATCH($A100,drops!$A$2:$A$21,0))="","",INDEX(drops!$I$2:$I$21,MATCH($A100,drops!$A$2:$A$21,0))),"")="OK",IFERROR(IF(INDEX(drops!$B$2:$B$21,MATCH($A100,drops!$A$2:$A$21,0))="","",INDEX(drops!$B$2:$B$21,MATCH($A100,drops!$A$2:$A$21,0))),""),""))</f>
        <v/>
      </c>
      <c r="Q100" s="30" t="str">
        <f aca="false">IF($B100="","",IFERROR(IF(INDEX(offices!$N$2:$N$61,MATCH($B100,offices!$A$2:$A$61,0))="","",INDEX(offices!$N$2:$N$61,MATCH($B100,offices!$A$2:$A$61,0))),""))</f>
        <v/>
      </c>
      <c r="R100" s="30" t="str">
        <f aca="false">IF($B100="","",IFERROR(IF(INDEX(offices!$O$2:$O$61,MATCH($B100,offices!$A$2:$A$61,0))="","",INDEX(offices!$O$2:$O$61,MATCH($B100,offices!$A$2:$A$61,0))),""))</f>
        <v/>
      </c>
      <c r="S100" s="30" t="str">
        <f aca="false">IF($B100="","",IFERROR(IF(INDEX(offices!$P$2:$P$61,MATCH($B100,offices!$A$2:$A$61,0))="","",INDEX(offices!$P$2:$P$61,MATCH($B100,offices!$A$2:$A$61,0))),""))</f>
        <v/>
      </c>
      <c r="T100" s="30" t="str">
        <f aca="false">IF($B100="","",IFERROR(IF(INDEX(offices!$Y$2:$Y$61,MATCH($B100,offices!$A$2:$A$61,0))="","",INDEX(offices!$Y$2:$Y$61,MATCH($B100,offices!$A$2:$A$61,0))),""))</f>
        <v/>
      </c>
      <c r="U100" s="30" t="str">
        <f aca="false">IF($B100="","",IFERROR(IF(INDEX(offices!$X$2:$X$61,MATCH($B100,offices!$A$2:$A$61,0))="","",INDEX(offices!$X$2:$X$61,MATCH($B100,offices!$A$2:$A$61,0))),""))</f>
        <v/>
      </c>
      <c r="V100" s="30" t="str">
        <f aca="false">IF($B100="","",IFERROR(IF(INDEX(offices!$U$2:$U$61,MATCH($B100,offices!$A$2:$A$61,0))="","",INDEX(offices!$U$2:$U$61,MATCH($B100,offices!$A$2:$A$61,0))),""))</f>
        <v/>
      </c>
      <c r="W100" s="30" t="str">
        <f aca="false">IF($B100="","",IFERROR(IF(INDEX(offices!$AI$2:$AI$61,MATCH($B100,offices!$A$2:$A$61,0))="","",INDEX(offices!$AI$2:$AI$61,MATCH($B100,offices!$A$2:$A$61,0))),""))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Z$2:$Z$61,MATCH($B100,offices!$A$2:$A$61,0))="","",INDEX(offices!$Z$2:$Z$61,MATCH($B100,offices!$A$2:$A$61,0))),"")="yes",IFERROR(IF(INDEX(offices!$Z$2:$Z$61,MATCH($B100,offices!$A$2:$A$61,0))="","",INDEX(offices!$Z$2:$Z$61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","")&amp;IF(AND($U100="front desk",$X100&lt;&gt;"Y"),"info: front desk not agreed: the owner must take it; ",""))</f>
        <v/>
      </c>
    </row>
    <row r="101" customFormat="false" ht="15" hidden="false" customHeight="false" outlineLevel="0" collapsed="false">
      <c r="D101" s="38"/>
      <c r="E101" s="11"/>
      <c r="F101" s="11"/>
      <c r="G101" s="11"/>
      <c r="I101" s="38"/>
      <c r="J101" s="38"/>
      <c r="K101" s="10"/>
      <c r="L101" s="10"/>
      <c r="N101" s="11"/>
      <c r="P101" s="31" t="str">
        <f aca="false">IF($A101="","",IF(IFERROR(IF(INDEX(drops!$I$2:$I$21,MATCH($A101,drops!$A$2:$A$21,0))="","",INDEX(drops!$I$2:$I$21,MATCH($A101,drops!$A$2:$A$21,0))),"")="OK",IFERROR(IF(INDEX(drops!$B$2:$B$21,MATCH($A101,drops!$A$2:$A$21,0))="","",INDEX(drops!$B$2:$B$21,MATCH($A101,drops!$A$2:$A$21,0))),""),""))</f>
        <v/>
      </c>
      <c r="Q101" s="30" t="str">
        <f aca="false">IF($B101="","",IFERROR(IF(INDEX(offices!$N$2:$N$61,MATCH($B101,offices!$A$2:$A$61,0))="","",INDEX(offices!$N$2:$N$61,MATCH($B101,offices!$A$2:$A$61,0))),""))</f>
        <v/>
      </c>
      <c r="R101" s="30" t="str">
        <f aca="false">IF($B101="","",IFERROR(IF(INDEX(offices!$O$2:$O$61,MATCH($B101,offices!$A$2:$A$61,0))="","",INDEX(offices!$O$2:$O$61,MATCH($B101,offices!$A$2:$A$61,0))),""))</f>
        <v/>
      </c>
      <c r="S101" s="30" t="str">
        <f aca="false">IF($B101="","",IFERROR(IF(INDEX(offices!$P$2:$P$61,MATCH($B101,offices!$A$2:$A$61,0))="","",INDEX(offices!$P$2:$P$61,MATCH($B101,offices!$A$2:$A$61,0))),""))</f>
        <v/>
      </c>
      <c r="T101" s="30" t="str">
        <f aca="false">IF($B101="","",IFERROR(IF(INDEX(offices!$Y$2:$Y$61,MATCH($B101,offices!$A$2:$A$61,0))="","",INDEX(offices!$Y$2:$Y$61,MATCH($B101,offices!$A$2:$A$61,0))),""))</f>
        <v/>
      </c>
      <c r="U101" s="30" t="str">
        <f aca="false">IF($B101="","",IFERROR(IF(INDEX(offices!$X$2:$X$61,MATCH($B101,offices!$A$2:$A$61,0))="","",INDEX(offices!$X$2:$X$61,MATCH($B101,offices!$A$2:$A$61,0))),""))</f>
        <v/>
      </c>
      <c r="V101" s="30" t="str">
        <f aca="false">IF($B101="","",IFERROR(IF(INDEX(offices!$U$2:$U$61,MATCH($B101,offices!$A$2:$A$61,0))="","",INDEX(offices!$U$2:$U$61,MATCH($B101,offices!$A$2:$A$61,0))),""))</f>
        <v/>
      </c>
      <c r="W101" s="30" t="str">
        <f aca="false">IF($B101="","",IFERROR(IF(INDEX(offices!$AI$2:$AI$61,MATCH($B101,offices!$A$2:$A$61,0))="","",INDEX(offices!$AI$2:$AI$61,MATCH($B101,offices!$A$2:$A$61,0))),""))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Z$2:$Z$61,MATCH($B101,offices!$A$2:$A$61,0))="","",INDEX(offices!$Z$2:$Z$61,MATCH($B101,offices!$A$2:$A$61,0))),"")="yes",IFERROR(IF(INDEX(offices!$Z$2:$Z$61,MATCH($B101,offices!$A$2:$A$61,0))="","",INDEX(offices!$Z$2:$Z$61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","")&amp;IF(AND($U101="front desk",$X101&lt;&gt;"Y"),"info: front desk not agreed: the owner must take it; ",""))</f>
        <v/>
      </c>
    </row>
    <row r="102" customFormat="false" ht="15" hidden="false" customHeight="false" outlineLevel="0" collapsed="false">
      <c r="D102" s="38"/>
      <c r="E102" s="11"/>
      <c r="F102" s="11"/>
      <c r="G102" s="11"/>
      <c r="I102" s="38"/>
      <c r="J102" s="38"/>
      <c r="K102" s="10"/>
      <c r="L102" s="10"/>
      <c r="N102" s="11"/>
      <c r="P102" s="31" t="str">
        <f aca="false">IF($A102="","",IF(IFERROR(IF(INDEX(drops!$I$2:$I$21,MATCH($A102,drops!$A$2:$A$21,0))="","",INDEX(drops!$I$2:$I$21,MATCH($A102,drops!$A$2:$A$21,0))),"")="OK",IFERROR(IF(INDEX(drops!$B$2:$B$21,MATCH($A102,drops!$A$2:$A$21,0))="","",INDEX(drops!$B$2:$B$21,MATCH($A102,drops!$A$2:$A$21,0))),""),""))</f>
        <v/>
      </c>
      <c r="Q102" s="30" t="str">
        <f aca="false">IF($B102="","",IFERROR(IF(INDEX(offices!$N$2:$N$61,MATCH($B102,offices!$A$2:$A$61,0))="","",INDEX(offices!$N$2:$N$61,MATCH($B102,offices!$A$2:$A$61,0))),""))</f>
        <v/>
      </c>
      <c r="R102" s="30" t="str">
        <f aca="false">IF($B102="","",IFERROR(IF(INDEX(offices!$O$2:$O$61,MATCH($B102,offices!$A$2:$A$61,0))="","",INDEX(offices!$O$2:$O$61,MATCH($B102,offices!$A$2:$A$61,0))),""))</f>
        <v/>
      </c>
      <c r="S102" s="30" t="str">
        <f aca="false">IF($B102="","",IFERROR(IF(INDEX(offices!$P$2:$P$61,MATCH($B102,offices!$A$2:$A$61,0))="","",INDEX(offices!$P$2:$P$61,MATCH($B102,offices!$A$2:$A$61,0))),""))</f>
        <v/>
      </c>
      <c r="T102" s="30" t="str">
        <f aca="false">IF($B102="","",IFERROR(IF(INDEX(offices!$Y$2:$Y$61,MATCH($B102,offices!$A$2:$A$61,0))="","",INDEX(offices!$Y$2:$Y$61,MATCH($B102,offices!$A$2:$A$61,0))),""))</f>
        <v/>
      </c>
      <c r="U102" s="30" t="str">
        <f aca="false">IF($B102="","",IFERROR(IF(INDEX(offices!$X$2:$X$61,MATCH($B102,offices!$A$2:$A$61,0))="","",INDEX(offices!$X$2:$X$61,MATCH($B102,offices!$A$2:$A$61,0))),""))</f>
        <v/>
      </c>
      <c r="V102" s="30" t="str">
        <f aca="false">IF($B102="","",IFERROR(IF(INDEX(offices!$U$2:$U$61,MATCH($B102,offices!$A$2:$A$61,0))="","",INDEX(offices!$U$2:$U$61,MATCH($B102,offices!$A$2:$A$61,0))),""))</f>
        <v/>
      </c>
      <c r="W102" s="30" t="str">
        <f aca="false">IF($B102="","",IFERROR(IF(INDEX(offices!$AI$2:$AI$61,MATCH($B102,offices!$A$2:$A$61,0))="","",INDEX(offices!$AI$2:$AI$61,MATCH($B102,offices!$A$2:$A$61,0))),""))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Z$2:$Z$61,MATCH($B102,offices!$A$2:$A$61,0))="","",INDEX(offices!$Z$2:$Z$61,MATCH($B102,offices!$A$2:$A$61,0))),"")="yes",IFERROR(IF(INDEX(offices!$Z$2:$Z$61,MATCH($B102,offices!$A$2:$A$61,0))="","",INDEX(offices!$Z$2:$Z$61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","")&amp;IF(AND($U102="front desk",$X102&lt;&gt;"Y"),"info: front desk not agreed: the owner must take it; ",""))</f>
        <v/>
      </c>
    </row>
    <row r="103" customFormat="false" ht="15" hidden="false" customHeight="false" outlineLevel="0" collapsed="false">
      <c r="D103" s="38"/>
      <c r="E103" s="11"/>
      <c r="F103" s="11"/>
      <c r="G103" s="11"/>
      <c r="I103" s="38"/>
      <c r="J103" s="38"/>
      <c r="K103" s="10"/>
      <c r="L103" s="10"/>
      <c r="N103" s="11"/>
      <c r="P103" s="31" t="str">
        <f aca="false">IF($A103="","",IF(IFERROR(IF(INDEX(drops!$I$2:$I$21,MATCH($A103,drops!$A$2:$A$21,0))="","",INDEX(drops!$I$2:$I$21,MATCH($A103,drops!$A$2:$A$21,0))),"")="OK",IFERROR(IF(INDEX(drops!$B$2:$B$21,MATCH($A103,drops!$A$2:$A$21,0))="","",INDEX(drops!$B$2:$B$21,MATCH($A103,drops!$A$2:$A$21,0))),""),""))</f>
        <v/>
      </c>
      <c r="Q103" s="30" t="str">
        <f aca="false">IF($B103="","",IFERROR(IF(INDEX(offices!$N$2:$N$61,MATCH($B103,offices!$A$2:$A$61,0))="","",INDEX(offices!$N$2:$N$61,MATCH($B103,offices!$A$2:$A$61,0))),""))</f>
        <v/>
      </c>
      <c r="R103" s="30" t="str">
        <f aca="false">IF($B103="","",IFERROR(IF(INDEX(offices!$O$2:$O$61,MATCH($B103,offices!$A$2:$A$61,0))="","",INDEX(offices!$O$2:$O$61,MATCH($B103,offices!$A$2:$A$61,0))),""))</f>
        <v/>
      </c>
      <c r="S103" s="30" t="str">
        <f aca="false">IF($B103="","",IFERROR(IF(INDEX(offices!$P$2:$P$61,MATCH($B103,offices!$A$2:$A$61,0))="","",INDEX(offices!$P$2:$P$61,MATCH($B103,offices!$A$2:$A$61,0))),""))</f>
        <v/>
      </c>
      <c r="T103" s="30" t="str">
        <f aca="false">IF($B103="","",IFERROR(IF(INDEX(offices!$Y$2:$Y$61,MATCH($B103,offices!$A$2:$A$61,0))="","",INDEX(offices!$Y$2:$Y$61,MATCH($B103,offices!$A$2:$A$61,0))),""))</f>
        <v/>
      </c>
      <c r="U103" s="30" t="str">
        <f aca="false">IF($B103="","",IFERROR(IF(INDEX(offices!$X$2:$X$61,MATCH($B103,offices!$A$2:$A$61,0))="","",INDEX(offices!$X$2:$X$61,MATCH($B103,offices!$A$2:$A$61,0))),""))</f>
        <v/>
      </c>
      <c r="V103" s="30" t="str">
        <f aca="false">IF($B103="","",IFERROR(IF(INDEX(offices!$U$2:$U$61,MATCH($B103,offices!$A$2:$A$61,0))="","",INDEX(offices!$U$2:$U$61,MATCH($B103,offices!$A$2:$A$61,0))),""))</f>
        <v/>
      </c>
      <c r="W103" s="30" t="str">
        <f aca="false">IF($B103="","",IFERROR(IF(INDEX(offices!$AI$2:$AI$61,MATCH($B103,offices!$A$2:$A$61,0))="","",INDEX(offices!$AI$2:$AI$61,MATCH($B103,offices!$A$2:$A$61,0))),""))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Z$2:$Z$61,MATCH($B103,offices!$A$2:$A$61,0))="","",INDEX(offices!$Z$2:$Z$61,MATCH($B103,offices!$A$2:$A$61,0))),"")="yes",IFERROR(IF(INDEX(offices!$Z$2:$Z$61,MATCH($B103,offices!$A$2:$A$61,0))="","",INDEX(offices!$Z$2:$Z$61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","")&amp;IF(AND($U103="front desk",$X103&lt;&gt;"Y"),"info: front desk not agreed: the owner must take it; ",""))</f>
        <v/>
      </c>
    </row>
    <row r="104" customFormat="false" ht="15" hidden="false" customHeight="false" outlineLevel="0" collapsed="false">
      <c r="D104" s="38"/>
      <c r="E104" s="11"/>
      <c r="F104" s="11"/>
      <c r="G104" s="11"/>
      <c r="I104" s="38"/>
      <c r="J104" s="38"/>
      <c r="K104" s="10"/>
      <c r="L104" s="10"/>
      <c r="N104" s="11"/>
      <c r="P104" s="31" t="str">
        <f aca="false">IF($A104="","",IF(IFERROR(IF(INDEX(drops!$I$2:$I$21,MATCH($A104,drops!$A$2:$A$21,0))="","",INDEX(drops!$I$2:$I$21,MATCH($A104,drops!$A$2:$A$21,0))),"")="OK",IFERROR(IF(INDEX(drops!$B$2:$B$21,MATCH($A104,drops!$A$2:$A$21,0))="","",INDEX(drops!$B$2:$B$21,MATCH($A104,drops!$A$2:$A$21,0))),""),""))</f>
        <v/>
      </c>
      <c r="Q104" s="30" t="str">
        <f aca="false">IF($B104="","",IFERROR(IF(INDEX(offices!$N$2:$N$61,MATCH($B104,offices!$A$2:$A$61,0))="","",INDEX(offices!$N$2:$N$61,MATCH($B104,offices!$A$2:$A$61,0))),""))</f>
        <v/>
      </c>
      <c r="R104" s="30" t="str">
        <f aca="false">IF($B104="","",IFERROR(IF(INDEX(offices!$O$2:$O$61,MATCH($B104,offices!$A$2:$A$61,0))="","",INDEX(offices!$O$2:$O$61,MATCH($B104,offices!$A$2:$A$61,0))),""))</f>
        <v/>
      </c>
      <c r="S104" s="30" t="str">
        <f aca="false">IF($B104="","",IFERROR(IF(INDEX(offices!$P$2:$P$61,MATCH($B104,offices!$A$2:$A$61,0))="","",INDEX(offices!$P$2:$P$61,MATCH($B104,offices!$A$2:$A$61,0))),""))</f>
        <v/>
      </c>
      <c r="T104" s="30" t="str">
        <f aca="false">IF($B104="","",IFERROR(IF(INDEX(offices!$Y$2:$Y$61,MATCH($B104,offices!$A$2:$A$61,0))="","",INDEX(offices!$Y$2:$Y$61,MATCH($B104,offices!$A$2:$A$61,0))),""))</f>
        <v/>
      </c>
      <c r="U104" s="30" t="str">
        <f aca="false">IF($B104="","",IFERROR(IF(INDEX(offices!$X$2:$X$61,MATCH($B104,offices!$A$2:$A$61,0))="","",INDEX(offices!$X$2:$X$61,MATCH($B104,offices!$A$2:$A$61,0))),""))</f>
        <v/>
      </c>
      <c r="V104" s="30" t="str">
        <f aca="false">IF($B104="","",IFERROR(IF(INDEX(offices!$U$2:$U$61,MATCH($B104,offices!$A$2:$A$61,0))="","",INDEX(offices!$U$2:$U$61,MATCH($B104,offices!$A$2:$A$61,0))),""))</f>
        <v/>
      </c>
      <c r="W104" s="30" t="str">
        <f aca="false">IF($B104="","",IFERROR(IF(INDEX(offices!$AI$2:$AI$61,MATCH($B104,offices!$A$2:$A$61,0))="","",INDEX(offices!$AI$2:$AI$61,MATCH($B104,offices!$A$2:$A$61,0))),""))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Z$2:$Z$61,MATCH($B104,offices!$A$2:$A$61,0))="","",INDEX(offices!$Z$2:$Z$61,MATCH($B104,offices!$A$2:$A$61,0))),"")="yes",IFERROR(IF(INDEX(offices!$Z$2:$Z$61,MATCH($B104,offices!$A$2:$A$61,0))="","",INDEX(offices!$Z$2:$Z$61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","")&amp;IF(AND($U104="front desk",$X104&lt;&gt;"Y"),"info: front desk not agreed: the owner must take it; ",""))</f>
        <v/>
      </c>
    </row>
    <row r="105" customFormat="false" ht="15" hidden="false" customHeight="false" outlineLevel="0" collapsed="false">
      <c r="D105" s="38"/>
      <c r="E105" s="11"/>
      <c r="F105" s="11"/>
      <c r="G105" s="11"/>
      <c r="I105" s="38"/>
      <c r="J105" s="38"/>
      <c r="K105" s="10"/>
      <c r="L105" s="10"/>
      <c r="N105" s="11"/>
      <c r="P105" s="31" t="str">
        <f aca="false">IF($A105="","",IF(IFERROR(IF(INDEX(drops!$I$2:$I$21,MATCH($A105,drops!$A$2:$A$21,0))="","",INDEX(drops!$I$2:$I$21,MATCH($A105,drops!$A$2:$A$21,0))),"")="OK",IFERROR(IF(INDEX(drops!$B$2:$B$21,MATCH($A105,drops!$A$2:$A$21,0))="","",INDEX(drops!$B$2:$B$21,MATCH($A105,drops!$A$2:$A$21,0))),""),""))</f>
        <v/>
      </c>
      <c r="Q105" s="30" t="str">
        <f aca="false">IF($B105="","",IFERROR(IF(INDEX(offices!$N$2:$N$61,MATCH($B105,offices!$A$2:$A$61,0))="","",INDEX(offices!$N$2:$N$61,MATCH($B105,offices!$A$2:$A$61,0))),""))</f>
        <v/>
      </c>
      <c r="R105" s="30" t="str">
        <f aca="false">IF($B105="","",IFERROR(IF(INDEX(offices!$O$2:$O$61,MATCH($B105,offices!$A$2:$A$61,0))="","",INDEX(offices!$O$2:$O$61,MATCH($B105,offices!$A$2:$A$61,0))),""))</f>
        <v/>
      </c>
      <c r="S105" s="30" t="str">
        <f aca="false">IF($B105="","",IFERROR(IF(INDEX(offices!$P$2:$P$61,MATCH($B105,offices!$A$2:$A$61,0))="","",INDEX(offices!$P$2:$P$61,MATCH($B105,offices!$A$2:$A$61,0))),""))</f>
        <v/>
      </c>
      <c r="T105" s="30" t="str">
        <f aca="false">IF($B105="","",IFERROR(IF(INDEX(offices!$Y$2:$Y$61,MATCH($B105,offices!$A$2:$A$61,0))="","",INDEX(offices!$Y$2:$Y$61,MATCH($B105,offices!$A$2:$A$61,0))),""))</f>
        <v/>
      </c>
      <c r="U105" s="30" t="str">
        <f aca="false">IF($B105="","",IFERROR(IF(INDEX(offices!$X$2:$X$61,MATCH($B105,offices!$A$2:$A$61,0))="","",INDEX(offices!$X$2:$X$61,MATCH($B105,offices!$A$2:$A$61,0))),""))</f>
        <v/>
      </c>
      <c r="V105" s="30" t="str">
        <f aca="false">IF($B105="","",IFERROR(IF(INDEX(offices!$U$2:$U$61,MATCH($B105,offices!$A$2:$A$61,0))="","",INDEX(offices!$U$2:$U$61,MATCH($B105,offices!$A$2:$A$61,0))),""))</f>
        <v/>
      </c>
      <c r="W105" s="30" t="str">
        <f aca="false">IF($B105="","",IFERROR(IF(INDEX(offices!$AI$2:$AI$61,MATCH($B105,offices!$A$2:$A$61,0))="","",INDEX(offices!$AI$2:$AI$61,MATCH($B105,offices!$A$2:$A$61,0))),""))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Z$2:$Z$61,MATCH($B105,offices!$A$2:$A$61,0))="","",INDEX(offices!$Z$2:$Z$61,MATCH($B105,offices!$A$2:$A$61,0))),"")="yes",IFERROR(IF(INDEX(offices!$Z$2:$Z$61,MATCH($B105,offices!$A$2:$A$61,0))="","",INDEX(offices!$Z$2:$Z$61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","")&amp;IF(AND($U105="front desk",$X105&lt;&gt;"Y"),"info: front desk not agreed: the owner must take it; ",""))</f>
        <v/>
      </c>
    </row>
    <row r="106" customFormat="false" ht="15" hidden="false" customHeight="false" outlineLevel="0" collapsed="false">
      <c r="D106" s="38"/>
      <c r="E106" s="11"/>
      <c r="F106" s="11"/>
      <c r="G106" s="11"/>
      <c r="I106" s="38"/>
      <c r="J106" s="38"/>
      <c r="K106" s="10"/>
      <c r="L106" s="10"/>
      <c r="N106" s="11"/>
      <c r="P106" s="31" t="str">
        <f aca="false">IF($A106="","",IF(IFERROR(IF(INDEX(drops!$I$2:$I$21,MATCH($A106,drops!$A$2:$A$21,0))="","",INDEX(drops!$I$2:$I$21,MATCH($A106,drops!$A$2:$A$21,0))),"")="OK",IFERROR(IF(INDEX(drops!$B$2:$B$21,MATCH($A106,drops!$A$2:$A$21,0))="","",INDEX(drops!$B$2:$B$21,MATCH($A106,drops!$A$2:$A$21,0))),""),""))</f>
        <v/>
      </c>
      <c r="Q106" s="30" t="str">
        <f aca="false">IF($B106="","",IFERROR(IF(INDEX(offices!$N$2:$N$61,MATCH($B106,offices!$A$2:$A$61,0))="","",INDEX(offices!$N$2:$N$61,MATCH($B106,offices!$A$2:$A$61,0))),""))</f>
        <v/>
      </c>
      <c r="R106" s="30" t="str">
        <f aca="false">IF($B106="","",IFERROR(IF(INDEX(offices!$O$2:$O$61,MATCH($B106,offices!$A$2:$A$61,0))="","",INDEX(offices!$O$2:$O$61,MATCH($B106,offices!$A$2:$A$61,0))),""))</f>
        <v/>
      </c>
      <c r="S106" s="30" t="str">
        <f aca="false">IF($B106="","",IFERROR(IF(INDEX(offices!$P$2:$P$61,MATCH($B106,offices!$A$2:$A$61,0))="","",INDEX(offices!$P$2:$P$61,MATCH($B106,offices!$A$2:$A$61,0))),""))</f>
        <v/>
      </c>
      <c r="T106" s="30" t="str">
        <f aca="false">IF($B106="","",IFERROR(IF(INDEX(offices!$Y$2:$Y$61,MATCH($B106,offices!$A$2:$A$61,0))="","",INDEX(offices!$Y$2:$Y$61,MATCH($B106,offices!$A$2:$A$61,0))),""))</f>
        <v/>
      </c>
      <c r="U106" s="30" t="str">
        <f aca="false">IF($B106="","",IFERROR(IF(INDEX(offices!$X$2:$X$61,MATCH($B106,offices!$A$2:$A$61,0))="","",INDEX(offices!$X$2:$X$61,MATCH($B106,offices!$A$2:$A$61,0))),""))</f>
        <v/>
      </c>
      <c r="V106" s="30" t="str">
        <f aca="false">IF($B106="","",IFERROR(IF(INDEX(offices!$U$2:$U$61,MATCH($B106,offices!$A$2:$A$61,0))="","",INDEX(offices!$U$2:$U$61,MATCH($B106,offices!$A$2:$A$61,0))),""))</f>
        <v/>
      </c>
      <c r="W106" s="30" t="str">
        <f aca="false">IF($B106="","",IFERROR(IF(INDEX(offices!$AI$2:$AI$61,MATCH($B106,offices!$A$2:$A$61,0))="","",INDEX(offices!$AI$2:$AI$61,MATCH($B106,offices!$A$2:$A$61,0))),""))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Z$2:$Z$61,MATCH($B106,offices!$A$2:$A$61,0))="","",INDEX(offices!$Z$2:$Z$61,MATCH($B106,offices!$A$2:$A$61,0))),"")="yes",IFERROR(IF(INDEX(offices!$Z$2:$Z$61,MATCH($B106,offices!$A$2:$A$61,0))="","",INDEX(offices!$Z$2:$Z$61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","")&amp;IF(AND($U106="front desk",$X106&lt;&gt;"Y"),"info: front desk not agreed: the owner must take it; ",""))</f>
        <v/>
      </c>
    </row>
    <row r="107" customFormat="false" ht="15" hidden="false" customHeight="false" outlineLevel="0" collapsed="false">
      <c r="D107" s="38"/>
      <c r="E107" s="11"/>
      <c r="F107" s="11"/>
      <c r="G107" s="11"/>
      <c r="I107" s="38"/>
      <c r="J107" s="38"/>
      <c r="K107" s="10"/>
      <c r="L107" s="10"/>
      <c r="N107" s="11"/>
      <c r="P107" s="31" t="str">
        <f aca="false">IF($A107="","",IF(IFERROR(IF(INDEX(drops!$I$2:$I$21,MATCH($A107,drops!$A$2:$A$21,0))="","",INDEX(drops!$I$2:$I$21,MATCH($A107,drops!$A$2:$A$21,0))),"")="OK",IFERROR(IF(INDEX(drops!$B$2:$B$21,MATCH($A107,drops!$A$2:$A$21,0))="","",INDEX(drops!$B$2:$B$21,MATCH($A107,drops!$A$2:$A$21,0))),""),""))</f>
        <v/>
      </c>
      <c r="Q107" s="30" t="str">
        <f aca="false">IF($B107="","",IFERROR(IF(INDEX(offices!$N$2:$N$61,MATCH($B107,offices!$A$2:$A$61,0))="","",INDEX(offices!$N$2:$N$61,MATCH($B107,offices!$A$2:$A$61,0))),""))</f>
        <v/>
      </c>
      <c r="R107" s="30" t="str">
        <f aca="false">IF($B107="","",IFERROR(IF(INDEX(offices!$O$2:$O$61,MATCH($B107,offices!$A$2:$A$61,0))="","",INDEX(offices!$O$2:$O$61,MATCH($B107,offices!$A$2:$A$61,0))),""))</f>
        <v/>
      </c>
      <c r="S107" s="30" t="str">
        <f aca="false">IF($B107="","",IFERROR(IF(INDEX(offices!$P$2:$P$61,MATCH($B107,offices!$A$2:$A$61,0))="","",INDEX(offices!$P$2:$P$61,MATCH($B107,offices!$A$2:$A$61,0))),""))</f>
        <v/>
      </c>
      <c r="T107" s="30" t="str">
        <f aca="false">IF($B107="","",IFERROR(IF(INDEX(offices!$Y$2:$Y$61,MATCH($B107,offices!$A$2:$A$61,0))="","",INDEX(offices!$Y$2:$Y$61,MATCH($B107,offices!$A$2:$A$61,0))),""))</f>
        <v/>
      </c>
      <c r="U107" s="30" t="str">
        <f aca="false">IF($B107="","",IFERROR(IF(INDEX(offices!$X$2:$X$61,MATCH($B107,offices!$A$2:$A$61,0))="","",INDEX(offices!$X$2:$X$61,MATCH($B107,offices!$A$2:$A$61,0))),""))</f>
        <v/>
      </c>
      <c r="V107" s="30" t="str">
        <f aca="false">IF($B107="","",IFERROR(IF(INDEX(offices!$U$2:$U$61,MATCH($B107,offices!$A$2:$A$61,0))="","",INDEX(offices!$U$2:$U$61,MATCH($B107,offices!$A$2:$A$61,0))),""))</f>
        <v/>
      </c>
      <c r="W107" s="30" t="str">
        <f aca="false">IF($B107="","",IFERROR(IF(INDEX(offices!$AI$2:$AI$61,MATCH($B107,offices!$A$2:$A$61,0))="","",INDEX(offices!$AI$2:$AI$61,MATCH($B107,offices!$A$2:$A$61,0))),""))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Z$2:$Z$61,MATCH($B107,offices!$A$2:$A$61,0))="","",INDEX(offices!$Z$2:$Z$61,MATCH($B107,offices!$A$2:$A$61,0))),"")="yes",IFERROR(IF(INDEX(offices!$Z$2:$Z$61,MATCH($B107,offices!$A$2:$A$61,0))="","",INDEX(offices!$Z$2:$Z$61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","")&amp;IF(AND($U107="front desk",$X107&lt;&gt;"Y"),"info: front desk not agreed: the owner must take it; ",""))</f>
        <v/>
      </c>
    </row>
    <row r="108" customFormat="false" ht="15" hidden="false" customHeight="false" outlineLevel="0" collapsed="false">
      <c r="D108" s="38"/>
      <c r="E108" s="11"/>
      <c r="F108" s="11"/>
      <c r="G108" s="11"/>
      <c r="I108" s="38"/>
      <c r="J108" s="38"/>
      <c r="K108" s="10"/>
      <c r="L108" s="10"/>
      <c r="N108" s="11"/>
      <c r="P108" s="31" t="str">
        <f aca="false">IF($A108="","",IF(IFERROR(IF(INDEX(drops!$I$2:$I$21,MATCH($A108,drops!$A$2:$A$21,0))="","",INDEX(drops!$I$2:$I$21,MATCH($A108,drops!$A$2:$A$21,0))),"")="OK",IFERROR(IF(INDEX(drops!$B$2:$B$21,MATCH($A108,drops!$A$2:$A$21,0))="","",INDEX(drops!$B$2:$B$21,MATCH($A108,drops!$A$2:$A$21,0))),""),""))</f>
        <v/>
      </c>
      <c r="Q108" s="30" t="str">
        <f aca="false">IF($B108="","",IFERROR(IF(INDEX(offices!$N$2:$N$61,MATCH($B108,offices!$A$2:$A$61,0))="","",INDEX(offices!$N$2:$N$61,MATCH($B108,offices!$A$2:$A$61,0))),""))</f>
        <v/>
      </c>
      <c r="R108" s="30" t="str">
        <f aca="false">IF($B108="","",IFERROR(IF(INDEX(offices!$O$2:$O$61,MATCH($B108,offices!$A$2:$A$61,0))="","",INDEX(offices!$O$2:$O$61,MATCH($B108,offices!$A$2:$A$61,0))),""))</f>
        <v/>
      </c>
      <c r="S108" s="30" t="str">
        <f aca="false">IF($B108="","",IFERROR(IF(INDEX(offices!$P$2:$P$61,MATCH($B108,offices!$A$2:$A$61,0))="","",INDEX(offices!$P$2:$P$61,MATCH($B108,offices!$A$2:$A$61,0))),""))</f>
        <v/>
      </c>
      <c r="T108" s="30" t="str">
        <f aca="false">IF($B108="","",IFERROR(IF(INDEX(offices!$Y$2:$Y$61,MATCH($B108,offices!$A$2:$A$61,0))="","",INDEX(offices!$Y$2:$Y$61,MATCH($B108,offices!$A$2:$A$61,0))),""))</f>
        <v/>
      </c>
      <c r="U108" s="30" t="str">
        <f aca="false">IF($B108="","",IFERROR(IF(INDEX(offices!$X$2:$X$61,MATCH($B108,offices!$A$2:$A$61,0))="","",INDEX(offices!$X$2:$X$61,MATCH($B108,offices!$A$2:$A$61,0))),""))</f>
        <v/>
      </c>
      <c r="V108" s="30" t="str">
        <f aca="false">IF($B108="","",IFERROR(IF(INDEX(offices!$U$2:$U$61,MATCH($B108,offices!$A$2:$A$61,0))="","",INDEX(offices!$U$2:$U$61,MATCH($B108,offices!$A$2:$A$61,0))),""))</f>
        <v/>
      </c>
      <c r="W108" s="30" t="str">
        <f aca="false">IF($B108="","",IFERROR(IF(INDEX(offices!$AI$2:$AI$61,MATCH($B108,offices!$A$2:$A$61,0))="","",INDEX(offices!$AI$2:$AI$61,MATCH($B108,offices!$A$2:$A$61,0))),""))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Z$2:$Z$61,MATCH($B108,offices!$A$2:$A$61,0))="","",INDEX(offices!$Z$2:$Z$61,MATCH($B108,offices!$A$2:$A$61,0))),"")="yes",IFERROR(IF(INDEX(offices!$Z$2:$Z$61,MATCH($B108,offices!$A$2:$A$61,0))="","",INDEX(offices!$Z$2:$Z$61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","")&amp;IF(AND($U108="front desk",$X108&lt;&gt;"Y"),"info: front desk not agreed: the owner must take it; ",""))</f>
        <v/>
      </c>
    </row>
    <row r="109" customFormat="false" ht="15" hidden="false" customHeight="false" outlineLevel="0" collapsed="false">
      <c r="D109" s="38"/>
      <c r="E109" s="11"/>
      <c r="F109" s="11"/>
      <c r="G109" s="11"/>
      <c r="I109" s="38"/>
      <c r="J109" s="38"/>
      <c r="K109" s="10"/>
      <c r="L109" s="10"/>
      <c r="N109" s="11"/>
      <c r="P109" s="31" t="str">
        <f aca="false">IF($A109="","",IF(IFERROR(IF(INDEX(drops!$I$2:$I$21,MATCH($A109,drops!$A$2:$A$21,0))="","",INDEX(drops!$I$2:$I$21,MATCH($A109,drops!$A$2:$A$21,0))),"")="OK",IFERROR(IF(INDEX(drops!$B$2:$B$21,MATCH($A109,drops!$A$2:$A$21,0))="","",INDEX(drops!$B$2:$B$21,MATCH($A109,drops!$A$2:$A$21,0))),""),""))</f>
        <v/>
      </c>
      <c r="Q109" s="30" t="str">
        <f aca="false">IF($B109="","",IFERROR(IF(INDEX(offices!$N$2:$N$61,MATCH($B109,offices!$A$2:$A$61,0))="","",INDEX(offices!$N$2:$N$61,MATCH($B109,offices!$A$2:$A$61,0))),""))</f>
        <v/>
      </c>
      <c r="R109" s="30" t="str">
        <f aca="false">IF($B109="","",IFERROR(IF(INDEX(offices!$O$2:$O$61,MATCH($B109,offices!$A$2:$A$61,0))="","",INDEX(offices!$O$2:$O$61,MATCH($B109,offices!$A$2:$A$61,0))),""))</f>
        <v/>
      </c>
      <c r="S109" s="30" t="str">
        <f aca="false">IF($B109="","",IFERROR(IF(INDEX(offices!$P$2:$P$61,MATCH($B109,offices!$A$2:$A$61,0))="","",INDEX(offices!$P$2:$P$61,MATCH($B109,offices!$A$2:$A$61,0))),""))</f>
        <v/>
      </c>
      <c r="T109" s="30" t="str">
        <f aca="false">IF($B109="","",IFERROR(IF(INDEX(offices!$Y$2:$Y$61,MATCH($B109,offices!$A$2:$A$61,0))="","",INDEX(offices!$Y$2:$Y$61,MATCH($B109,offices!$A$2:$A$61,0))),""))</f>
        <v/>
      </c>
      <c r="U109" s="30" t="str">
        <f aca="false">IF($B109="","",IFERROR(IF(INDEX(offices!$X$2:$X$61,MATCH($B109,offices!$A$2:$A$61,0))="","",INDEX(offices!$X$2:$X$61,MATCH($B109,offices!$A$2:$A$61,0))),""))</f>
        <v/>
      </c>
      <c r="V109" s="30" t="str">
        <f aca="false">IF($B109="","",IFERROR(IF(INDEX(offices!$U$2:$U$61,MATCH($B109,offices!$A$2:$A$61,0))="","",INDEX(offices!$U$2:$U$61,MATCH($B109,offices!$A$2:$A$61,0))),""))</f>
        <v/>
      </c>
      <c r="W109" s="30" t="str">
        <f aca="false">IF($B109="","",IFERROR(IF(INDEX(offices!$AI$2:$AI$61,MATCH($B109,offices!$A$2:$A$61,0))="","",INDEX(offices!$AI$2:$AI$61,MATCH($B109,offices!$A$2:$A$61,0))),""))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Z$2:$Z$61,MATCH($B109,offices!$A$2:$A$61,0))="","",INDEX(offices!$Z$2:$Z$61,MATCH($B109,offices!$A$2:$A$61,0))),"")="yes",IFERROR(IF(INDEX(offices!$Z$2:$Z$61,MATCH($B109,offices!$A$2:$A$61,0))="","",INDEX(offices!$Z$2:$Z$61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","")&amp;IF(AND($U109="front desk",$X109&lt;&gt;"Y"),"info: front desk not agreed: the owner must take it; ",""))</f>
        <v/>
      </c>
    </row>
    <row r="110" customFormat="false" ht="15" hidden="false" customHeight="false" outlineLevel="0" collapsed="false">
      <c r="D110" s="38"/>
      <c r="E110" s="11"/>
      <c r="F110" s="11"/>
      <c r="G110" s="11"/>
      <c r="I110" s="38"/>
      <c r="J110" s="38"/>
      <c r="K110" s="10"/>
      <c r="L110" s="10"/>
      <c r="N110" s="11"/>
      <c r="P110" s="31" t="str">
        <f aca="false">IF($A110="","",IF(IFERROR(IF(INDEX(drops!$I$2:$I$21,MATCH($A110,drops!$A$2:$A$21,0))="","",INDEX(drops!$I$2:$I$21,MATCH($A110,drops!$A$2:$A$21,0))),"")="OK",IFERROR(IF(INDEX(drops!$B$2:$B$21,MATCH($A110,drops!$A$2:$A$21,0))="","",INDEX(drops!$B$2:$B$21,MATCH($A110,drops!$A$2:$A$21,0))),""),""))</f>
        <v/>
      </c>
      <c r="Q110" s="30" t="str">
        <f aca="false">IF($B110="","",IFERROR(IF(INDEX(offices!$N$2:$N$61,MATCH($B110,offices!$A$2:$A$61,0))="","",INDEX(offices!$N$2:$N$61,MATCH($B110,offices!$A$2:$A$61,0))),""))</f>
        <v/>
      </c>
      <c r="R110" s="30" t="str">
        <f aca="false">IF($B110="","",IFERROR(IF(INDEX(offices!$O$2:$O$61,MATCH($B110,offices!$A$2:$A$61,0))="","",INDEX(offices!$O$2:$O$61,MATCH($B110,offices!$A$2:$A$61,0))),""))</f>
        <v/>
      </c>
      <c r="S110" s="30" t="str">
        <f aca="false">IF($B110="","",IFERROR(IF(INDEX(offices!$P$2:$P$61,MATCH($B110,offices!$A$2:$A$61,0))="","",INDEX(offices!$P$2:$P$61,MATCH($B110,offices!$A$2:$A$61,0))),""))</f>
        <v/>
      </c>
      <c r="T110" s="30" t="str">
        <f aca="false">IF($B110="","",IFERROR(IF(INDEX(offices!$Y$2:$Y$61,MATCH($B110,offices!$A$2:$A$61,0))="","",INDEX(offices!$Y$2:$Y$61,MATCH($B110,offices!$A$2:$A$61,0))),""))</f>
        <v/>
      </c>
      <c r="U110" s="30" t="str">
        <f aca="false">IF($B110="","",IFERROR(IF(INDEX(offices!$X$2:$X$61,MATCH($B110,offices!$A$2:$A$61,0))="","",INDEX(offices!$X$2:$X$61,MATCH($B110,offices!$A$2:$A$61,0))),""))</f>
        <v/>
      </c>
      <c r="V110" s="30" t="str">
        <f aca="false">IF($B110="","",IFERROR(IF(INDEX(offices!$U$2:$U$61,MATCH($B110,offices!$A$2:$A$61,0))="","",INDEX(offices!$U$2:$U$61,MATCH($B110,offices!$A$2:$A$61,0))),""))</f>
        <v/>
      </c>
      <c r="W110" s="30" t="str">
        <f aca="false">IF($B110="","",IFERROR(IF(INDEX(offices!$AI$2:$AI$61,MATCH($B110,offices!$A$2:$A$61,0))="","",INDEX(offices!$AI$2:$AI$61,MATCH($B110,offices!$A$2:$A$61,0))),""))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Z$2:$Z$61,MATCH($B110,offices!$A$2:$A$61,0))="","",INDEX(offices!$Z$2:$Z$61,MATCH($B110,offices!$A$2:$A$61,0))),"")="yes",IFERROR(IF(INDEX(offices!$Z$2:$Z$61,MATCH($B110,offices!$A$2:$A$61,0))="","",INDEX(offices!$Z$2:$Z$61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","")&amp;IF(AND($U110="front desk",$X110&lt;&gt;"Y"),"info: front desk not agreed: the owner must take it; ",""))</f>
        <v/>
      </c>
    </row>
    <row r="111" customFormat="false" ht="15" hidden="false" customHeight="false" outlineLevel="0" collapsed="false">
      <c r="D111" s="38"/>
      <c r="E111" s="11"/>
      <c r="F111" s="11"/>
      <c r="G111" s="11"/>
      <c r="I111" s="38"/>
      <c r="J111" s="38"/>
      <c r="K111" s="10"/>
      <c r="L111" s="10"/>
      <c r="N111" s="11"/>
      <c r="P111" s="31" t="str">
        <f aca="false">IF($A111="","",IF(IFERROR(IF(INDEX(drops!$I$2:$I$21,MATCH($A111,drops!$A$2:$A$21,0))="","",INDEX(drops!$I$2:$I$21,MATCH($A111,drops!$A$2:$A$21,0))),"")="OK",IFERROR(IF(INDEX(drops!$B$2:$B$21,MATCH($A111,drops!$A$2:$A$21,0))="","",INDEX(drops!$B$2:$B$21,MATCH($A111,drops!$A$2:$A$21,0))),""),""))</f>
        <v/>
      </c>
      <c r="Q111" s="30" t="str">
        <f aca="false">IF($B111="","",IFERROR(IF(INDEX(offices!$N$2:$N$61,MATCH($B111,offices!$A$2:$A$61,0))="","",INDEX(offices!$N$2:$N$61,MATCH($B111,offices!$A$2:$A$61,0))),""))</f>
        <v/>
      </c>
      <c r="R111" s="30" t="str">
        <f aca="false">IF($B111="","",IFERROR(IF(INDEX(offices!$O$2:$O$61,MATCH($B111,offices!$A$2:$A$61,0))="","",INDEX(offices!$O$2:$O$61,MATCH($B111,offices!$A$2:$A$61,0))),""))</f>
        <v/>
      </c>
      <c r="S111" s="30" t="str">
        <f aca="false">IF($B111="","",IFERROR(IF(INDEX(offices!$P$2:$P$61,MATCH($B111,offices!$A$2:$A$61,0))="","",INDEX(offices!$P$2:$P$61,MATCH($B111,offices!$A$2:$A$61,0))),""))</f>
        <v/>
      </c>
      <c r="T111" s="30" t="str">
        <f aca="false">IF($B111="","",IFERROR(IF(INDEX(offices!$Y$2:$Y$61,MATCH($B111,offices!$A$2:$A$61,0))="","",INDEX(offices!$Y$2:$Y$61,MATCH($B111,offices!$A$2:$A$61,0))),""))</f>
        <v/>
      </c>
      <c r="U111" s="30" t="str">
        <f aca="false">IF($B111="","",IFERROR(IF(INDEX(offices!$X$2:$X$61,MATCH($B111,offices!$A$2:$A$61,0))="","",INDEX(offices!$X$2:$X$61,MATCH($B111,offices!$A$2:$A$61,0))),""))</f>
        <v/>
      </c>
      <c r="V111" s="30" t="str">
        <f aca="false">IF($B111="","",IFERROR(IF(INDEX(offices!$U$2:$U$61,MATCH($B111,offices!$A$2:$A$61,0))="","",INDEX(offices!$U$2:$U$61,MATCH($B111,offices!$A$2:$A$61,0))),""))</f>
        <v/>
      </c>
      <c r="W111" s="30" t="str">
        <f aca="false">IF($B111="","",IFERROR(IF(INDEX(offices!$AI$2:$AI$61,MATCH($B111,offices!$A$2:$A$61,0))="","",INDEX(offices!$AI$2:$AI$61,MATCH($B111,offices!$A$2:$A$61,0))),""))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Z$2:$Z$61,MATCH($B111,offices!$A$2:$A$61,0))="","",INDEX(offices!$Z$2:$Z$61,MATCH($B111,offices!$A$2:$A$61,0))),"")="yes",IFERROR(IF(INDEX(offices!$Z$2:$Z$61,MATCH($B111,offices!$A$2:$A$61,0))="","",INDEX(offices!$Z$2:$Z$61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","")&amp;IF(AND($U111="front desk",$X111&lt;&gt;"Y"),"info: front desk not agreed: the owner must take it; ",""))</f>
        <v/>
      </c>
    </row>
    <row r="112" customFormat="false" ht="15" hidden="false" customHeight="false" outlineLevel="0" collapsed="false">
      <c r="D112" s="38"/>
      <c r="E112" s="11"/>
      <c r="F112" s="11"/>
      <c r="G112" s="11"/>
      <c r="I112" s="38"/>
      <c r="J112" s="38"/>
      <c r="K112" s="10"/>
      <c r="L112" s="10"/>
      <c r="N112" s="11"/>
      <c r="P112" s="31" t="str">
        <f aca="false">IF($A112="","",IF(IFERROR(IF(INDEX(drops!$I$2:$I$21,MATCH($A112,drops!$A$2:$A$21,0))="","",INDEX(drops!$I$2:$I$21,MATCH($A112,drops!$A$2:$A$21,0))),"")="OK",IFERROR(IF(INDEX(drops!$B$2:$B$21,MATCH($A112,drops!$A$2:$A$21,0))="","",INDEX(drops!$B$2:$B$21,MATCH($A112,drops!$A$2:$A$21,0))),""),""))</f>
        <v/>
      </c>
      <c r="Q112" s="30" t="str">
        <f aca="false">IF($B112="","",IFERROR(IF(INDEX(offices!$N$2:$N$61,MATCH($B112,offices!$A$2:$A$61,0))="","",INDEX(offices!$N$2:$N$61,MATCH($B112,offices!$A$2:$A$61,0))),""))</f>
        <v/>
      </c>
      <c r="R112" s="30" t="str">
        <f aca="false">IF($B112="","",IFERROR(IF(INDEX(offices!$O$2:$O$61,MATCH($B112,offices!$A$2:$A$61,0))="","",INDEX(offices!$O$2:$O$61,MATCH($B112,offices!$A$2:$A$61,0))),""))</f>
        <v/>
      </c>
      <c r="S112" s="30" t="str">
        <f aca="false">IF($B112="","",IFERROR(IF(INDEX(offices!$P$2:$P$61,MATCH($B112,offices!$A$2:$A$61,0))="","",INDEX(offices!$P$2:$P$61,MATCH($B112,offices!$A$2:$A$61,0))),""))</f>
        <v/>
      </c>
      <c r="T112" s="30" t="str">
        <f aca="false">IF($B112="","",IFERROR(IF(INDEX(offices!$Y$2:$Y$61,MATCH($B112,offices!$A$2:$A$61,0))="","",INDEX(offices!$Y$2:$Y$61,MATCH($B112,offices!$A$2:$A$61,0))),""))</f>
        <v/>
      </c>
      <c r="U112" s="30" t="str">
        <f aca="false">IF($B112="","",IFERROR(IF(INDEX(offices!$X$2:$X$61,MATCH($B112,offices!$A$2:$A$61,0))="","",INDEX(offices!$X$2:$X$61,MATCH($B112,offices!$A$2:$A$61,0))),""))</f>
        <v/>
      </c>
      <c r="V112" s="30" t="str">
        <f aca="false">IF($B112="","",IFERROR(IF(INDEX(offices!$U$2:$U$61,MATCH($B112,offices!$A$2:$A$61,0))="","",INDEX(offices!$U$2:$U$61,MATCH($B112,offices!$A$2:$A$61,0))),""))</f>
        <v/>
      </c>
      <c r="W112" s="30" t="str">
        <f aca="false">IF($B112="","",IFERROR(IF(INDEX(offices!$AI$2:$AI$61,MATCH($B112,offices!$A$2:$A$61,0))="","",INDEX(offices!$AI$2:$AI$61,MATCH($B112,offices!$A$2:$A$61,0))),""))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Z$2:$Z$61,MATCH($B112,offices!$A$2:$A$61,0))="","",INDEX(offices!$Z$2:$Z$61,MATCH($B112,offices!$A$2:$A$61,0))),"")="yes",IFERROR(IF(INDEX(offices!$Z$2:$Z$61,MATCH($B112,offices!$A$2:$A$61,0))="","",INDEX(offices!$Z$2:$Z$61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","")&amp;IF(AND($U112="front desk",$X112&lt;&gt;"Y"),"info: front desk not agreed: the owner must take it; ",""))</f>
        <v/>
      </c>
    </row>
    <row r="113" customFormat="false" ht="15" hidden="false" customHeight="false" outlineLevel="0" collapsed="false">
      <c r="D113" s="38"/>
      <c r="E113" s="11"/>
      <c r="F113" s="11"/>
      <c r="G113" s="11"/>
      <c r="I113" s="38"/>
      <c r="J113" s="38"/>
      <c r="K113" s="10"/>
      <c r="L113" s="10"/>
      <c r="N113" s="11"/>
      <c r="P113" s="31" t="str">
        <f aca="false">IF($A113="","",IF(IFERROR(IF(INDEX(drops!$I$2:$I$21,MATCH($A113,drops!$A$2:$A$21,0))="","",INDEX(drops!$I$2:$I$21,MATCH($A113,drops!$A$2:$A$21,0))),"")="OK",IFERROR(IF(INDEX(drops!$B$2:$B$21,MATCH($A113,drops!$A$2:$A$21,0))="","",INDEX(drops!$B$2:$B$21,MATCH($A113,drops!$A$2:$A$21,0))),""),""))</f>
        <v/>
      </c>
      <c r="Q113" s="30" t="str">
        <f aca="false">IF($B113="","",IFERROR(IF(INDEX(offices!$N$2:$N$61,MATCH($B113,offices!$A$2:$A$61,0))="","",INDEX(offices!$N$2:$N$61,MATCH($B113,offices!$A$2:$A$61,0))),""))</f>
        <v/>
      </c>
      <c r="R113" s="30" t="str">
        <f aca="false">IF($B113="","",IFERROR(IF(INDEX(offices!$O$2:$O$61,MATCH($B113,offices!$A$2:$A$61,0))="","",INDEX(offices!$O$2:$O$61,MATCH($B113,offices!$A$2:$A$61,0))),""))</f>
        <v/>
      </c>
      <c r="S113" s="30" t="str">
        <f aca="false">IF($B113="","",IFERROR(IF(INDEX(offices!$P$2:$P$61,MATCH($B113,offices!$A$2:$A$61,0))="","",INDEX(offices!$P$2:$P$61,MATCH($B113,offices!$A$2:$A$61,0))),""))</f>
        <v/>
      </c>
      <c r="T113" s="30" t="str">
        <f aca="false">IF($B113="","",IFERROR(IF(INDEX(offices!$Y$2:$Y$61,MATCH($B113,offices!$A$2:$A$61,0))="","",INDEX(offices!$Y$2:$Y$61,MATCH($B113,offices!$A$2:$A$61,0))),""))</f>
        <v/>
      </c>
      <c r="U113" s="30" t="str">
        <f aca="false">IF($B113="","",IFERROR(IF(INDEX(offices!$X$2:$X$61,MATCH($B113,offices!$A$2:$A$61,0))="","",INDEX(offices!$X$2:$X$61,MATCH($B113,offices!$A$2:$A$61,0))),""))</f>
        <v/>
      </c>
      <c r="V113" s="30" t="str">
        <f aca="false">IF($B113="","",IFERROR(IF(INDEX(offices!$U$2:$U$61,MATCH($B113,offices!$A$2:$A$61,0))="","",INDEX(offices!$U$2:$U$61,MATCH($B113,offices!$A$2:$A$61,0))),""))</f>
        <v/>
      </c>
      <c r="W113" s="30" t="str">
        <f aca="false">IF($B113="","",IFERROR(IF(INDEX(offices!$AI$2:$AI$61,MATCH($B113,offices!$A$2:$A$61,0))="","",INDEX(offices!$AI$2:$AI$61,MATCH($B113,offices!$A$2:$A$61,0))),""))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Z$2:$Z$61,MATCH($B113,offices!$A$2:$A$61,0))="","",INDEX(offices!$Z$2:$Z$61,MATCH($B113,offices!$A$2:$A$61,0))),"")="yes",IFERROR(IF(INDEX(offices!$Z$2:$Z$61,MATCH($B113,offices!$A$2:$A$61,0))="","",INDEX(offices!$Z$2:$Z$61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","")&amp;IF(AND($U113="front desk",$X113&lt;&gt;"Y"),"info: front desk not agreed: the owner must take it; ",""))</f>
        <v/>
      </c>
    </row>
    <row r="114" customFormat="false" ht="15" hidden="false" customHeight="false" outlineLevel="0" collapsed="false">
      <c r="D114" s="38"/>
      <c r="E114" s="11"/>
      <c r="F114" s="11"/>
      <c r="G114" s="11"/>
      <c r="I114" s="38"/>
      <c r="J114" s="38"/>
      <c r="K114" s="10"/>
      <c r="L114" s="10"/>
      <c r="N114" s="11"/>
      <c r="P114" s="31" t="str">
        <f aca="false">IF($A114="","",IF(IFERROR(IF(INDEX(drops!$I$2:$I$21,MATCH($A114,drops!$A$2:$A$21,0))="","",INDEX(drops!$I$2:$I$21,MATCH($A114,drops!$A$2:$A$21,0))),"")="OK",IFERROR(IF(INDEX(drops!$B$2:$B$21,MATCH($A114,drops!$A$2:$A$21,0))="","",INDEX(drops!$B$2:$B$21,MATCH($A114,drops!$A$2:$A$21,0))),""),""))</f>
        <v/>
      </c>
      <c r="Q114" s="30" t="str">
        <f aca="false">IF($B114="","",IFERROR(IF(INDEX(offices!$N$2:$N$61,MATCH($B114,offices!$A$2:$A$61,0))="","",INDEX(offices!$N$2:$N$61,MATCH($B114,offices!$A$2:$A$61,0))),""))</f>
        <v/>
      </c>
      <c r="R114" s="30" t="str">
        <f aca="false">IF($B114="","",IFERROR(IF(INDEX(offices!$O$2:$O$61,MATCH($B114,offices!$A$2:$A$61,0))="","",INDEX(offices!$O$2:$O$61,MATCH($B114,offices!$A$2:$A$61,0))),""))</f>
        <v/>
      </c>
      <c r="S114" s="30" t="str">
        <f aca="false">IF($B114="","",IFERROR(IF(INDEX(offices!$P$2:$P$61,MATCH($B114,offices!$A$2:$A$61,0))="","",INDEX(offices!$P$2:$P$61,MATCH($B114,offices!$A$2:$A$61,0))),""))</f>
        <v/>
      </c>
      <c r="T114" s="30" t="str">
        <f aca="false">IF($B114="","",IFERROR(IF(INDEX(offices!$Y$2:$Y$61,MATCH($B114,offices!$A$2:$A$61,0))="","",INDEX(offices!$Y$2:$Y$61,MATCH($B114,offices!$A$2:$A$61,0))),""))</f>
        <v/>
      </c>
      <c r="U114" s="30" t="str">
        <f aca="false">IF($B114="","",IFERROR(IF(INDEX(offices!$X$2:$X$61,MATCH($B114,offices!$A$2:$A$61,0))="","",INDEX(offices!$X$2:$X$61,MATCH($B114,offices!$A$2:$A$61,0))),""))</f>
        <v/>
      </c>
      <c r="V114" s="30" t="str">
        <f aca="false">IF($B114="","",IFERROR(IF(INDEX(offices!$U$2:$U$61,MATCH($B114,offices!$A$2:$A$61,0))="","",INDEX(offices!$U$2:$U$61,MATCH($B114,offices!$A$2:$A$61,0))),""))</f>
        <v/>
      </c>
      <c r="W114" s="30" t="str">
        <f aca="false">IF($B114="","",IFERROR(IF(INDEX(offices!$AI$2:$AI$61,MATCH($B114,offices!$A$2:$A$61,0))="","",INDEX(offices!$AI$2:$AI$61,MATCH($B114,offices!$A$2:$A$61,0))),""))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Z$2:$Z$61,MATCH($B114,offices!$A$2:$A$61,0))="","",INDEX(offices!$Z$2:$Z$61,MATCH($B114,offices!$A$2:$A$61,0))),"")="yes",IFERROR(IF(INDEX(offices!$Z$2:$Z$61,MATCH($B114,offices!$A$2:$A$61,0))="","",INDEX(offices!$Z$2:$Z$61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","")&amp;IF(AND($U114="front desk",$X114&lt;&gt;"Y"),"info: front desk not agreed: the owner must take it; ",""))</f>
        <v/>
      </c>
    </row>
    <row r="115" customFormat="false" ht="15" hidden="false" customHeight="false" outlineLevel="0" collapsed="false">
      <c r="D115" s="38"/>
      <c r="E115" s="11"/>
      <c r="F115" s="11"/>
      <c r="G115" s="11"/>
      <c r="I115" s="38"/>
      <c r="J115" s="38"/>
      <c r="K115" s="10"/>
      <c r="L115" s="10"/>
      <c r="N115" s="11"/>
      <c r="P115" s="31" t="str">
        <f aca="false">IF($A115="","",IF(IFERROR(IF(INDEX(drops!$I$2:$I$21,MATCH($A115,drops!$A$2:$A$21,0))="","",INDEX(drops!$I$2:$I$21,MATCH($A115,drops!$A$2:$A$21,0))),"")="OK",IFERROR(IF(INDEX(drops!$B$2:$B$21,MATCH($A115,drops!$A$2:$A$21,0))="","",INDEX(drops!$B$2:$B$21,MATCH($A115,drops!$A$2:$A$21,0))),""),""))</f>
        <v/>
      </c>
      <c r="Q115" s="30" t="str">
        <f aca="false">IF($B115="","",IFERROR(IF(INDEX(offices!$N$2:$N$61,MATCH($B115,offices!$A$2:$A$61,0))="","",INDEX(offices!$N$2:$N$61,MATCH($B115,offices!$A$2:$A$61,0))),""))</f>
        <v/>
      </c>
      <c r="R115" s="30" t="str">
        <f aca="false">IF($B115="","",IFERROR(IF(INDEX(offices!$O$2:$O$61,MATCH($B115,offices!$A$2:$A$61,0))="","",INDEX(offices!$O$2:$O$61,MATCH($B115,offices!$A$2:$A$61,0))),""))</f>
        <v/>
      </c>
      <c r="S115" s="30" t="str">
        <f aca="false">IF($B115="","",IFERROR(IF(INDEX(offices!$P$2:$P$61,MATCH($B115,offices!$A$2:$A$61,0))="","",INDEX(offices!$P$2:$P$61,MATCH($B115,offices!$A$2:$A$61,0))),""))</f>
        <v/>
      </c>
      <c r="T115" s="30" t="str">
        <f aca="false">IF($B115="","",IFERROR(IF(INDEX(offices!$Y$2:$Y$61,MATCH($B115,offices!$A$2:$A$61,0))="","",INDEX(offices!$Y$2:$Y$61,MATCH($B115,offices!$A$2:$A$61,0))),""))</f>
        <v/>
      </c>
      <c r="U115" s="30" t="str">
        <f aca="false">IF($B115="","",IFERROR(IF(INDEX(offices!$X$2:$X$61,MATCH($B115,offices!$A$2:$A$61,0))="","",INDEX(offices!$X$2:$X$61,MATCH($B115,offices!$A$2:$A$61,0))),""))</f>
        <v/>
      </c>
      <c r="V115" s="30" t="str">
        <f aca="false">IF($B115="","",IFERROR(IF(INDEX(offices!$U$2:$U$61,MATCH($B115,offices!$A$2:$A$61,0))="","",INDEX(offices!$U$2:$U$61,MATCH($B115,offices!$A$2:$A$61,0))),""))</f>
        <v/>
      </c>
      <c r="W115" s="30" t="str">
        <f aca="false">IF($B115="","",IFERROR(IF(INDEX(offices!$AI$2:$AI$61,MATCH($B115,offices!$A$2:$A$61,0))="","",INDEX(offices!$AI$2:$AI$61,MATCH($B115,offices!$A$2:$A$61,0))),""))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Z$2:$Z$61,MATCH($B115,offices!$A$2:$A$61,0))="","",INDEX(offices!$Z$2:$Z$61,MATCH($B115,offices!$A$2:$A$61,0))),"")="yes",IFERROR(IF(INDEX(offices!$Z$2:$Z$61,MATCH($B115,offices!$A$2:$A$61,0))="","",INDEX(offices!$Z$2:$Z$61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","")&amp;IF(AND($U115="front desk",$X115&lt;&gt;"Y"),"info: front desk not agreed: the owner must take it; ",""))</f>
        <v/>
      </c>
    </row>
    <row r="116" customFormat="false" ht="15" hidden="false" customHeight="false" outlineLevel="0" collapsed="false">
      <c r="D116" s="38"/>
      <c r="E116" s="11"/>
      <c r="F116" s="11"/>
      <c r="G116" s="11"/>
      <c r="I116" s="38"/>
      <c r="J116" s="38"/>
      <c r="K116" s="10"/>
      <c r="L116" s="10"/>
      <c r="N116" s="11"/>
      <c r="P116" s="31" t="str">
        <f aca="false">IF($A116="","",IF(IFERROR(IF(INDEX(drops!$I$2:$I$21,MATCH($A116,drops!$A$2:$A$21,0))="","",INDEX(drops!$I$2:$I$21,MATCH($A116,drops!$A$2:$A$21,0))),"")="OK",IFERROR(IF(INDEX(drops!$B$2:$B$21,MATCH($A116,drops!$A$2:$A$21,0))="","",INDEX(drops!$B$2:$B$21,MATCH($A116,drops!$A$2:$A$21,0))),""),""))</f>
        <v/>
      </c>
      <c r="Q116" s="30" t="str">
        <f aca="false">IF($B116="","",IFERROR(IF(INDEX(offices!$N$2:$N$61,MATCH($B116,offices!$A$2:$A$61,0))="","",INDEX(offices!$N$2:$N$61,MATCH($B116,offices!$A$2:$A$61,0))),""))</f>
        <v/>
      </c>
      <c r="R116" s="30" t="str">
        <f aca="false">IF($B116="","",IFERROR(IF(INDEX(offices!$O$2:$O$61,MATCH($B116,offices!$A$2:$A$61,0))="","",INDEX(offices!$O$2:$O$61,MATCH($B116,offices!$A$2:$A$61,0))),""))</f>
        <v/>
      </c>
      <c r="S116" s="30" t="str">
        <f aca="false">IF($B116="","",IFERROR(IF(INDEX(offices!$P$2:$P$61,MATCH($B116,offices!$A$2:$A$61,0))="","",INDEX(offices!$P$2:$P$61,MATCH($B116,offices!$A$2:$A$61,0))),""))</f>
        <v/>
      </c>
      <c r="T116" s="30" t="str">
        <f aca="false">IF($B116="","",IFERROR(IF(INDEX(offices!$Y$2:$Y$61,MATCH($B116,offices!$A$2:$A$61,0))="","",INDEX(offices!$Y$2:$Y$61,MATCH($B116,offices!$A$2:$A$61,0))),""))</f>
        <v/>
      </c>
      <c r="U116" s="30" t="str">
        <f aca="false">IF($B116="","",IFERROR(IF(INDEX(offices!$X$2:$X$61,MATCH($B116,offices!$A$2:$A$61,0))="","",INDEX(offices!$X$2:$X$61,MATCH($B116,offices!$A$2:$A$61,0))),""))</f>
        <v/>
      </c>
      <c r="V116" s="30" t="str">
        <f aca="false">IF($B116="","",IFERROR(IF(INDEX(offices!$U$2:$U$61,MATCH($B116,offices!$A$2:$A$61,0))="","",INDEX(offices!$U$2:$U$61,MATCH($B116,offices!$A$2:$A$61,0))),""))</f>
        <v/>
      </c>
      <c r="W116" s="30" t="str">
        <f aca="false">IF($B116="","",IFERROR(IF(INDEX(offices!$AI$2:$AI$61,MATCH($B116,offices!$A$2:$A$61,0))="","",INDEX(offices!$AI$2:$AI$61,MATCH($B116,offices!$A$2:$A$61,0))),""))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Z$2:$Z$61,MATCH($B116,offices!$A$2:$A$61,0))="","",INDEX(offices!$Z$2:$Z$61,MATCH($B116,offices!$A$2:$A$61,0))),"")="yes",IFERROR(IF(INDEX(offices!$Z$2:$Z$61,MATCH($B116,offices!$A$2:$A$61,0))="","",INDEX(offices!$Z$2:$Z$61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","")&amp;IF(AND($U116="front desk",$X116&lt;&gt;"Y"),"info: front desk not agreed: the owner must take it; ",""))</f>
        <v/>
      </c>
    </row>
    <row r="117" customFormat="false" ht="15" hidden="false" customHeight="false" outlineLevel="0" collapsed="false">
      <c r="D117" s="38"/>
      <c r="E117" s="11"/>
      <c r="F117" s="11"/>
      <c r="G117" s="11"/>
      <c r="I117" s="38"/>
      <c r="J117" s="38"/>
      <c r="K117" s="10"/>
      <c r="L117" s="10"/>
      <c r="N117" s="11"/>
      <c r="P117" s="31" t="str">
        <f aca="false">IF($A117="","",IF(IFERROR(IF(INDEX(drops!$I$2:$I$21,MATCH($A117,drops!$A$2:$A$21,0))="","",INDEX(drops!$I$2:$I$21,MATCH($A117,drops!$A$2:$A$21,0))),"")="OK",IFERROR(IF(INDEX(drops!$B$2:$B$21,MATCH($A117,drops!$A$2:$A$21,0))="","",INDEX(drops!$B$2:$B$21,MATCH($A117,drops!$A$2:$A$21,0))),""),""))</f>
        <v/>
      </c>
      <c r="Q117" s="30" t="str">
        <f aca="false">IF($B117="","",IFERROR(IF(INDEX(offices!$N$2:$N$61,MATCH($B117,offices!$A$2:$A$61,0))="","",INDEX(offices!$N$2:$N$61,MATCH($B117,offices!$A$2:$A$61,0))),""))</f>
        <v/>
      </c>
      <c r="R117" s="30" t="str">
        <f aca="false">IF($B117="","",IFERROR(IF(INDEX(offices!$O$2:$O$61,MATCH($B117,offices!$A$2:$A$61,0))="","",INDEX(offices!$O$2:$O$61,MATCH($B117,offices!$A$2:$A$61,0))),""))</f>
        <v/>
      </c>
      <c r="S117" s="30" t="str">
        <f aca="false">IF($B117="","",IFERROR(IF(INDEX(offices!$P$2:$P$61,MATCH($B117,offices!$A$2:$A$61,0))="","",INDEX(offices!$P$2:$P$61,MATCH($B117,offices!$A$2:$A$61,0))),""))</f>
        <v/>
      </c>
      <c r="T117" s="30" t="str">
        <f aca="false">IF($B117="","",IFERROR(IF(INDEX(offices!$Y$2:$Y$61,MATCH($B117,offices!$A$2:$A$61,0))="","",INDEX(offices!$Y$2:$Y$61,MATCH($B117,offices!$A$2:$A$61,0))),""))</f>
        <v/>
      </c>
      <c r="U117" s="30" t="str">
        <f aca="false">IF($B117="","",IFERROR(IF(INDEX(offices!$X$2:$X$61,MATCH($B117,offices!$A$2:$A$61,0))="","",INDEX(offices!$X$2:$X$61,MATCH($B117,offices!$A$2:$A$61,0))),""))</f>
        <v/>
      </c>
      <c r="V117" s="30" t="str">
        <f aca="false">IF($B117="","",IFERROR(IF(INDEX(offices!$U$2:$U$61,MATCH($B117,offices!$A$2:$A$61,0))="","",INDEX(offices!$U$2:$U$61,MATCH($B117,offices!$A$2:$A$61,0))),""))</f>
        <v/>
      </c>
      <c r="W117" s="30" t="str">
        <f aca="false">IF($B117="","",IFERROR(IF(INDEX(offices!$AI$2:$AI$61,MATCH($B117,offices!$A$2:$A$61,0))="","",INDEX(offices!$AI$2:$AI$61,MATCH($B117,offices!$A$2:$A$61,0))),""))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Z$2:$Z$61,MATCH($B117,offices!$A$2:$A$61,0))="","",INDEX(offices!$Z$2:$Z$61,MATCH($B117,offices!$A$2:$A$61,0))),"")="yes",IFERROR(IF(INDEX(offices!$Z$2:$Z$61,MATCH($B117,offices!$A$2:$A$61,0))="","",INDEX(offices!$Z$2:$Z$61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","")&amp;IF(AND($U117="front desk",$X117&lt;&gt;"Y"),"info: front desk not agreed: the owner must take it; ",""))</f>
        <v/>
      </c>
    </row>
    <row r="118" customFormat="false" ht="15" hidden="false" customHeight="false" outlineLevel="0" collapsed="false">
      <c r="D118" s="38"/>
      <c r="E118" s="11"/>
      <c r="F118" s="11"/>
      <c r="G118" s="11"/>
      <c r="I118" s="38"/>
      <c r="J118" s="38"/>
      <c r="K118" s="10"/>
      <c r="L118" s="10"/>
      <c r="N118" s="11"/>
      <c r="P118" s="31" t="str">
        <f aca="false">IF($A118="","",IF(IFERROR(IF(INDEX(drops!$I$2:$I$21,MATCH($A118,drops!$A$2:$A$21,0))="","",INDEX(drops!$I$2:$I$21,MATCH($A118,drops!$A$2:$A$21,0))),"")="OK",IFERROR(IF(INDEX(drops!$B$2:$B$21,MATCH($A118,drops!$A$2:$A$21,0))="","",INDEX(drops!$B$2:$B$21,MATCH($A118,drops!$A$2:$A$21,0))),""),""))</f>
        <v/>
      </c>
      <c r="Q118" s="30" t="str">
        <f aca="false">IF($B118="","",IFERROR(IF(INDEX(offices!$N$2:$N$61,MATCH($B118,offices!$A$2:$A$61,0))="","",INDEX(offices!$N$2:$N$61,MATCH($B118,offices!$A$2:$A$61,0))),""))</f>
        <v/>
      </c>
      <c r="R118" s="30" t="str">
        <f aca="false">IF($B118="","",IFERROR(IF(INDEX(offices!$O$2:$O$61,MATCH($B118,offices!$A$2:$A$61,0))="","",INDEX(offices!$O$2:$O$61,MATCH($B118,offices!$A$2:$A$61,0))),""))</f>
        <v/>
      </c>
      <c r="S118" s="30" t="str">
        <f aca="false">IF($B118="","",IFERROR(IF(INDEX(offices!$P$2:$P$61,MATCH($B118,offices!$A$2:$A$61,0))="","",INDEX(offices!$P$2:$P$61,MATCH($B118,offices!$A$2:$A$61,0))),""))</f>
        <v/>
      </c>
      <c r="T118" s="30" t="str">
        <f aca="false">IF($B118="","",IFERROR(IF(INDEX(offices!$Y$2:$Y$61,MATCH($B118,offices!$A$2:$A$61,0))="","",INDEX(offices!$Y$2:$Y$61,MATCH($B118,offices!$A$2:$A$61,0))),""))</f>
        <v/>
      </c>
      <c r="U118" s="30" t="str">
        <f aca="false">IF($B118="","",IFERROR(IF(INDEX(offices!$X$2:$X$61,MATCH($B118,offices!$A$2:$A$61,0))="","",INDEX(offices!$X$2:$X$61,MATCH($B118,offices!$A$2:$A$61,0))),""))</f>
        <v/>
      </c>
      <c r="V118" s="30" t="str">
        <f aca="false">IF($B118="","",IFERROR(IF(INDEX(offices!$U$2:$U$61,MATCH($B118,offices!$A$2:$A$61,0))="","",INDEX(offices!$U$2:$U$61,MATCH($B118,offices!$A$2:$A$61,0))),""))</f>
        <v/>
      </c>
      <c r="W118" s="30" t="str">
        <f aca="false">IF($B118="","",IFERROR(IF(INDEX(offices!$AI$2:$AI$61,MATCH($B118,offices!$A$2:$A$61,0))="","",INDEX(offices!$AI$2:$AI$61,MATCH($B118,offices!$A$2:$A$61,0))),""))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Z$2:$Z$61,MATCH($B118,offices!$A$2:$A$61,0))="","",INDEX(offices!$Z$2:$Z$61,MATCH($B118,offices!$A$2:$A$61,0))),"")="yes",IFERROR(IF(INDEX(offices!$Z$2:$Z$61,MATCH($B118,offices!$A$2:$A$61,0))="","",INDEX(offices!$Z$2:$Z$61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","")&amp;IF(AND($U118="front desk",$X118&lt;&gt;"Y"),"info: front desk not agreed: the owner must take it; ",""))</f>
        <v/>
      </c>
    </row>
    <row r="119" customFormat="false" ht="15" hidden="false" customHeight="false" outlineLevel="0" collapsed="false">
      <c r="D119" s="38"/>
      <c r="E119" s="11"/>
      <c r="F119" s="11"/>
      <c r="G119" s="11"/>
      <c r="I119" s="38"/>
      <c r="J119" s="38"/>
      <c r="K119" s="10"/>
      <c r="L119" s="10"/>
      <c r="N119" s="11"/>
      <c r="P119" s="31" t="str">
        <f aca="false">IF($A119="","",IF(IFERROR(IF(INDEX(drops!$I$2:$I$21,MATCH($A119,drops!$A$2:$A$21,0))="","",INDEX(drops!$I$2:$I$21,MATCH($A119,drops!$A$2:$A$21,0))),"")="OK",IFERROR(IF(INDEX(drops!$B$2:$B$21,MATCH($A119,drops!$A$2:$A$21,0))="","",INDEX(drops!$B$2:$B$21,MATCH($A119,drops!$A$2:$A$21,0))),""),""))</f>
        <v/>
      </c>
      <c r="Q119" s="30" t="str">
        <f aca="false">IF($B119="","",IFERROR(IF(INDEX(offices!$N$2:$N$61,MATCH($B119,offices!$A$2:$A$61,0))="","",INDEX(offices!$N$2:$N$61,MATCH($B119,offices!$A$2:$A$61,0))),""))</f>
        <v/>
      </c>
      <c r="R119" s="30" t="str">
        <f aca="false">IF($B119="","",IFERROR(IF(INDEX(offices!$O$2:$O$61,MATCH($B119,offices!$A$2:$A$61,0))="","",INDEX(offices!$O$2:$O$61,MATCH($B119,offices!$A$2:$A$61,0))),""))</f>
        <v/>
      </c>
      <c r="S119" s="30" t="str">
        <f aca="false">IF($B119="","",IFERROR(IF(INDEX(offices!$P$2:$P$61,MATCH($B119,offices!$A$2:$A$61,0))="","",INDEX(offices!$P$2:$P$61,MATCH($B119,offices!$A$2:$A$61,0))),""))</f>
        <v/>
      </c>
      <c r="T119" s="30" t="str">
        <f aca="false">IF($B119="","",IFERROR(IF(INDEX(offices!$Y$2:$Y$61,MATCH($B119,offices!$A$2:$A$61,0))="","",INDEX(offices!$Y$2:$Y$61,MATCH($B119,offices!$A$2:$A$61,0))),""))</f>
        <v/>
      </c>
      <c r="U119" s="30" t="str">
        <f aca="false">IF($B119="","",IFERROR(IF(INDEX(offices!$X$2:$X$61,MATCH($B119,offices!$A$2:$A$61,0))="","",INDEX(offices!$X$2:$X$61,MATCH($B119,offices!$A$2:$A$61,0))),""))</f>
        <v/>
      </c>
      <c r="V119" s="30" t="str">
        <f aca="false">IF($B119="","",IFERROR(IF(INDEX(offices!$U$2:$U$61,MATCH($B119,offices!$A$2:$A$61,0))="","",INDEX(offices!$U$2:$U$61,MATCH($B119,offices!$A$2:$A$61,0))),""))</f>
        <v/>
      </c>
      <c r="W119" s="30" t="str">
        <f aca="false">IF($B119="","",IFERROR(IF(INDEX(offices!$AI$2:$AI$61,MATCH($B119,offices!$A$2:$A$61,0))="","",INDEX(offices!$AI$2:$AI$61,MATCH($B119,offices!$A$2:$A$61,0))),""))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Z$2:$Z$61,MATCH($B119,offices!$A$2:$A$61,0))="","",INDEX(offices!$Z$2:$Z$61,MATCH($B119,offices!$A$2:$A$61,0))),"")="yes",IFERROR(IF(INDEX(offices!$Z$2:$Z$61,MATCH($B119,offices!$A$2:$A$61,0))="","",INDEX(offices!$Z$2:$Z$61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","")&amp;IF(AND($U119="front desk",$X119&lt;&gt;"Y"),"info: front desk not agreed: the owner must take it; ",""))</f>
        <v/>
      </c>
    </row>
    <row r="120" customFormat="false" ht="15" hidden="false" customHeight="false" outlineLevel="0" collapsed="false">
      <c r="D120" s="38"/>
      <c r="E120" s="11"/>
      <c r="F120" s="11"/>
      <c r="G120" s="11"/>
      <c r="I120" s="38"/>
      <c r="J120" s="38"/>
      <c r="K120" s="10"/>
      <c r="L120" s="10"/>
      <c r="N120" s="11"/>
      <c r="P120" s="31" t="str">
        <f aca="false">IF($A120="","",IF(IFERROR(IF(INDEX(drops!$I$2:$I$21,MATCH($A120,drops!$A$2:$A$21,0))="","",INDEX(drops!$I$2:$I$21,MATCH($A120,drops!$A$2:$A$21,0))),"")="OK",IFERROR(IF(INDEX(drops!$B$2:$B$21,MATCH($A120,drops!$A$2:$A$21,0))="","",INDEX(drops!$B$2:$B$21,MATCH($A120,drops!$A$2:$A$21,0))),""),""))</f>
        <v/>
      </c>
      <c r="Q120" s="30" t="str">
        <f aca="false">IF($B120="","",IFERROR(IF(INDEX(offices!$N$2:$N$61,MATCH($B120,offices!$A$2:$A$61,0))="","",INDEX(offices!$N$2:$N$61,MATCH($B120,offices!$A$2:$A$61,0))),""))</f>
        <v/>
      </c>
      <c r="R120" s="30" t="str">
        <f aca="false">IF($B120="","",IFERROR(IF(INDEX(offices!$O$2:$O$61,MATCH($B120,offices!$A$2:$A$61,0))="","",INDEX(offices!$O$2:$O$61,MATCH($B120,offices!$A$2:$A$61,0))),""))</f>
        <v/>
      </c>
      <c r="S120" s="30" t="str">
        <f aca="false">IF($B120="","",IFERROR(IF(INDEX(offices!$P$2:$P$61,MATCH($B120,offices!$A$2:$A$61,0))="","",INDEX(offices!$P$2:$P$61,MATCH($B120,offices!$A$2:$A$61,0))),""))</f>
        <v/>
      </c>
      <c r="T120" s="30" t="str">
        <f aca="false">IF($B120="","",IFERROR(IF(INDEX(offices!$Y$2:$Y$61,MATCH($B120,offices!$A$2:$A$61,0))="","",INDEX(offices!$Y$2:$Y$61,MATCH($B120,offices!$A$2:$A$61,0))),""))</f>
        <v/>
      </c>
      <c r="U120" s="30" t="str">
        <f aca="false">IF($B120="","",IFERROR(IF(INDEX(offices!$X$2:$X$61,MATCH($B120,offices!$A$2:$A$61,0))="","",INDEX(offices!$X$2:$X$61,MATCH($B120,offices!$A$2:$A$61,0))),""))</f>
        <v/>
      </c>
      <c r="V120" s="30" t="str">
        <f aca="false">IF($B120="","",IFERROR(IF(INDEX(offices!$U$2:$U$61,MATCH($B120,offices!$A$2:$A$61,0))="","",INDEX(offices!$U$2:$U$61,MATCH($B120,offices!$A$2:$A$61,0))),""))</f>
        <v/>
      </c>
      <c r="W120" s="30" t="str">
        <f aca="false">IF($B120="","",IFERROR(IF(INDEX(offices!$AI$2:$AI$61,MATCH($B120,offices!$A$2:$A$61,0))="","",INDEX(offices!$AI$2:$AI$61,MATCH($B120,offices!$A$2:$A$61,0))),""))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Z$2:$Z$61,MATCH($B120,offices!$A$2:$A$61,0))="","",INDEX(offices!$Z$2:$Z$61,MATCH($B120,offices!$A$2:$A$61,0))),"")="yes",IFERROR(IF(INDEX(offices!$Z$2:$Z$61,MATCH($B120,offices!$A$2:$A$61,0))="","",INDEX(offices!$Z$2:$Z$61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","")&amp;IF(AND($U120="front desk",$X120&lt;&gt;"Y"),"info: front desk not agreed: the owner must take it; ",""))</f>
        <v/>
      </c>
    </row>
    <row r="121" customFormat="false" ht="15" hidden="false" customHeight="false" outlineLevel="0" collapsed="false">
      <c r="D121" s="38"/>
      <c r="E121" s="11"/>
      <c r="F121" s="11"/>
      <c r="G121" s="11"/>
      <c r="I121" s="38"/>
      <c r="J121" s="38"/>
      <c r="K121" s="10"/>
      <c r="L121" s="10"/>
      <c r="N121" s="11"/>
      <c r="P121" s="31" t="str">
        <f aca="false">IF($A121="","",IF(IFERROR(IF(INDEX(drops!$I$2:$I$21,MATCH($A121,drops!$A$2:$A$21,0))="","",INDEX(drops!$I$2:$I$21,MATCH($A121,drops!$A$2:$A$21,0))),"")="OK",IFERROR(IF(INDEX(drops!$B$2:$B$21,MATCH($A121,drops!$A$2:$A$21,0))="","",INDEX(drops!$B$2:$B$21,MATCH($A121,drops!$A$2:$A$21,0))),""),""))</f>
        <v/>
      </c>
      <c r="Q121" s="30" t="str">
        <f aca="false">IF($B121="","",IFERROR(IF(INDEX(offices!$N$2:$N$61,MATCH($B121,offices!$A$2:$A$61,0))="","",INDEX(offices!$N$2:$N$61,MATCH($B121,offices!$A$2:$A$61,0))),""))</f>
        <v/>
      </c>
      <c r="R121" s="30" t="str">
        <f aca="false">IF($B121="","",IFERROR(IF(INDEX(offices!$O$2:$O$61,MATCH($B121,offices!$A$2:$A$61,0))="","",INDEX(offices!$O$2:$O$61,MATCH($B121,offices!$A$2:$A$61,0))),""))</f>
        <v/>
      </c>
      <c r="S121" s="30" t="str">
        <f aca="false">IF($B121="","",IFERROR(IF(INDEX(offices!$P$2:$P$61,MATCH($B121,offices!$A$2:$A$61,0))="","",INDEX(offices!$P$2:$P$61,MATCH($B121,offices!$A$2:$A$61,0))),""))</f>
        <v/>
      </c>
      <c r="T121" s="30" t="str">
        <f aca="false">IF($B121="","",IFERROR(IF(INDEX(offices!$Y$2:$Y$61,MATCH($B121,offices!$A$2:$A$61,0))="","",INDEX(offices!$Y$2:$Y$61,MATCH($B121,offices!$A$2:$A$61,0))),""))</f>
        <v/>
      </c>
      <c r="U121" s="30" t="str">
        <f aca="false">IF($B121="","",IFERROR(IF(INDEX(offices!$X$2:$X$61,MATCH($B121,offices!$A$2:$A$61,0))="","",INDEX(offices!$X$2:$X$61,MATCH($B121,offices!$A$2:$A$61,0))),""))</f>
        <v/>
      </c>
      <c r="V121" s="30" t="str">
        <f aca="false">IF($B121="","",IFERROR(IF(INDEX(offices!$U$2:$U$61,MATCH($B121,offices!$A$2:$A$61,0))="","",INDEX(offices!$U$2:$U$61,MATCH($B121,offices!$A$2:$A$61,0))),""))</f>
        <v/>
      </c>
      <c r="W121" s="30" t="str">
        <f aca="false">IF($B121="","",IFERROR(IF(INDEX(offices!$AI$2:$AI$61,MATCH($B121,offices!$A$2:$A$61,0))="","",INDEX(offices!$AI$2:$AI$61,MATCH($B121,offices!$A$2:$A$61,0))),""))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Z$2:$Z$61,MATCH($B121,offices!$A$2:$A$61,0))="","",INDEX(offices!$Z$2:$Z$61,MATCH($B121,offices!$A$2:$A$61,0))),"")="yes",IFERROR(IF(INDEX(offices!$Z$2:$Z$61,MATCH($B121,offices!$A$2:$A$61,0))="","",INDEX(offices!$Z$2:$Z$61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","")&amp;IF(AND($U121="front desk",$X121&lt;&gt;"Y"),"info: front desk not agreed: the owner must take it; ",""))</f>
        <v/>
      </c>
    </row>
    <row r="122" customFormat="false" ht="15" hidden="false" customHeight="false" outlineLevel="0" collapsed="false">
      <c r="D122" s="38"/>
      <c r="E122" s="11"/>
      <c r="F122" s="11"/>
      <c r="G122" s="11"/>
      <c r="I122" s="38"/>
      <c r="J122" s="38"/>
      <c r="K122" s="10"/>
      <c r="L122" s="10"/>
      <c r="N122" s="11"/>
      <c r="P122" s="31" t="str">
        <f aca="false">IF($A122="","",IF(IFERROR(IF(INDEX(drops!$I$2:$I$21,MATCH($A122,drops!$A$2:$A$21,0))="","",INDEX(drops!$I$2:$I$21,MATCH($A122,drops!$A$2:$A$21,0))),"")="OK",IFERROR(IF(INDEX(drops!$B$2:$B$21,MATCH($A122,drops!$A$2:$A$21,0))="","",INDEX(drops!$B$2:$B$21,MATCH($A122,drops!$A$2:$A$21,0))),""),""))</f>
        <v/>
      </c>
      <c r="Q122" s="30" t="str">
        <f aca="false">IF($B122="","",IFERROR(IF(INDEX(offices!$N$2:$N$61,MATCH($B122,offices!$A$2:$A$61,0))="","",INDEX(offices!$N$2:$N$61,MATCH($B122,offices!$A$2:$A$61,0))),""))</f>
        <v/>
      </c>
      <c r="R122" s="30" t="str">
        <f aca="false">IF($B122="","",IFERROR(IF(INDEX(offices!$O$2:$O$61,MATCH($B122,offices!$A$2:$A$61,0))="","",INDEX(offices!$O$2:$O$61,MATCH($B122,offices!$A$2:$A$61,0))),""))</f>
        <v/>
      </c>
      <c r="S122" s="30" t="str">
        <f aca="false">IF($B122="","",IFERROR(IF(INDEX(offices!$P$2:$P$61,MATCH($B122,offices!$A$2:$A$61,0))="","",INDEX(offices!$P$2:$P$61,MATCH($B122,offices!$A$2:$A$61,0))),""))</f>
        <v/>
      </c>
      <c r="T122" s="30" t="str">
        <f aca="false">IF($B122="","",IFERROR(IF(INDEX(offices!$Y$2:$Y$61,MATCH($B122,offices!$A$2:$A$61,0))="","",INDEX(offices!$Y$2:$Y$61,MATCH($B122,offices!$A$2:$A$61,0))),""))</f>
        <v/>
      </c>
      <c r="U122" s="30" t="str">
        <f aca="false">IF($B122="","",IFERROR(IF(INDEX(offices!$X$2:$X$61,MATCH($B122,offices!$A$2:$A$61,0))="","",INDEX(offices!$X$2:$X$61,MATCH($B122,offices!$A$2:$A$61,0))),""))</f>
        <v/>
      </c>
      <c r="V122" s="30" t="str">
        <f aca="false">IF($B122="","",IFERROR(IF(INDEX(offices!$U$2:$U$61,MATCH($B122,offices!$A$2:$A$61,0))="","",INDEX(offices!$U$2:$U$61,MATCH($B122,offices!$A$2:$A$61,0))),""))</f>
        <v/>
      </c>
      <c r="W122" s="30" t="str">
        <f aca="false">IF($B122="","",IFERROR(IF(INDEX(offices!$AI$2:$AI$61,MATCH($B122,offices!$A$2:$A$61,0))="","",INDEX(offices!$AI$2:$AI$61,MATCH($B122,offices!$A$2:$A$61,0))),""))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Z$2:$Z$61,MATCH($B122,offices!$A$2:$A$61,0))="","",INDEX(offices!$Z$2:$Z$61,MATCH($B122,offices!$A$2:$A$61,0))),"")="yes",IFERROR(IF(INDEX(offices!$Z$2:$Z$61,MATCH($B122,offices!$A$2:$A$61,0))="","",INDEX(offices!$Z$2:$Z$61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","")&amp;IF(AND($U122="front desk",$X122&lt;&gt;"Y"),"info: front desk not agreed: the owner must take it; ",""))</f>
        <v/>
      </c>
    </row>
    <row r="123" customFormat="false" ht="15" hidden="false" customHeight="false" outlineLevel="0" collapsed="false">
      <c r="D123" s="38"/>
      <c r="E123" s="11"/>
      <c r="F123" s="11"/>
      <c r="G123" s="11"/>
      <c r="I123" s="38"/>
      <c r="J123" s="38"/>
      <c r="K123" s="10"/>
      <c r="L123" s="10"/>
      <c r="N123" s="11"/>
      <c r="P123" s="31" t="str">
        <f aca="false">IF($A123="","",IF(IFERROR(IF(INDEX(drops!$I$2:$I$21,MATCH($A123,drops!$A$2:$A$21,0))="","",INDEX(drops!$I$2:$I$21,MATCH($A123,drops!$A$2:$A$21,0))),"")="OK",IFERROR(IF(INDEX(drops!$B$2:$B$21,MATCH($A123,drops!$A$2:$A$21,0))="","",INDEX(drops!$B$2:$B$21,MATCH($A123,drops!$A$2:$A$21,0))),""),""))</f>
        <v/>
      </c>
      <c r="Q123" s="30" t="str">
        <f aca="false">IF($B123="","",IFERROR(IF(INDEX(offices!$N$2:$N$61,MATCH($B123,offices!$A$2:$A$61,0))="","",INDEX(offices!$N$2:$N$61,MATCH($B123,offices!$A$2:$A$61,0))),""))</f>
        <v/>
      </c>
      <c r="R123" s="30" t="str">
        <f aca="false">IF($B123="","",IFERROR(IF(INDEX(offices!$O$2:$O$61,MATCH($B123,offices!$A$2:$A$61,0))="","",INDEX(offices!$O$2:$O$61,MATCH($B123,offices!$A$2:$A$61,0))),""))</f>
        <v/>
      </c>
      <c r="S123" s="30" t="str">
        <f aca="false">IF($B123="","",IFERROR(IF(INDEX(offices!$P$2:$P$61,MATCH($B123,offices!$A$2:$A$61,0))="","",INDEX(offices!$P$2:$P$61,MATCH($B123,offices!$A$2:$A$61,0))),""))</f>
        <v/>
      </c>
      <c r="T123" s="30" t="str">
        <f aca="false">IF($B123="","",IFERROR(IF(INDEX(offices!$Y$2:$Y$61,MATCH($B123,offices!$A$2:$A$61,0))="","",INDEX(offices!$Y$2:$Y$61,MATCH($B123,offices!$A$2:$A$61,0))),""))</f>
        <v/>
      </c>
      <c r="U123" s="30" t="str">
        <f aca="false">IF($B123="","",IFERROR(IF(INDEX(offices!$X$2:$X$61,MATCH($B123,offices!$A$2:$A$61,0))="","",INDEX(offices!$X$2:$X$61,MATCH($B123,offices!$A$2:$A$61,0))),""))</f>
        <v/>
      </c>
      <c r="V123" s="30" t="str">
        <f aca="false">IF($B123="","",IFERROR(IF(INDEX(offices!$U$2:$U$61,MATCH($B123,offices!$A$2:$A$61,0))="","",INDEX(offices!$U$2:$U$61,MATCH($B123,offices!$A$2:$A$61,0))),""))</f>
        <v/>
      </c>
      <c r="W123" s="30" t="str">
        <f aca="false">IF($B123="","",IFERROR(IF(INDEX(offices!$AI$2:$AI$61,MATCH($B123,offices!$A$2:$A$61,0))="","",INDEX(offices!$AI$2:$AI$61,MATCH($B123,offices!$A$2:$A$61,0))),""))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Z$2:$Z$61,MATCH($B123,offices!$A$2:$A$61,0))="","",INDEX(offices!$Z$2:$Z$61,MATCH($B123,offices!$A$2:$A$61,0))),"")="yes",IFERROR(IF(INDEX(offices!$Z$2:$Z$61,MATCH($B123,offices!$A$2:$A$61,0))="","",INDEX(offices!$Z$2:$Z$61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","")&amp;IF(AND($U123="front desk",$X123&lt;&gt;"Y"),"info: front desk not agreed: the owner must take it; ",""))</f>
        <v/>
      </c>
    </row>
    <row r="124" customFormat="false" ht="15" hidden="false" customHeight="false" outlineLevel="0" collapsed="false">
      <c r="D124" s="38"/>
      <c r="E124" s="11"/>
      <c r="F124" s="11"/>
      <c r="G124" s="11"/>
      <c r="I124" s="38"/>
      <c r="J124" s="38"/>
      <c r="K124" s="10"/>
      <c r="L124" s="10"/>
      <c r="N124" s="11"/>
      <c r="P124" s="31" t="str">
        <f aca="false">IF($A124="","",IF(IFERROR(IF(INDEX(drops!$I$2:$I$21,MATCH($A124,drops!$A$2:$A$21,0))="","",INDEX(drops!$I$2:$I$21,MATCH($A124,drops!$A$2:$A$21,0))),"")="OK",IFERROR(IF(INDEX(drops!$B$2:$B$21,MATCH($A124,drops!$A$2:$A$21,0))="","",INDEX(drops!$B$2:$B$21,MATCH($A124,drops!$A$2:$A$21,0))),""),""))</f>
        <v/>
      </c>
      <c r="Q124" s="30" t="str">
        <f aca="false">IF($B124="","",IFERROR(IF(INDEX(offices!$N$2:$N$61,MATCH($B124,offices!$A$2:$A$61,0))="","",INDEX(offices!$N$2:$N$61,MATCH($B124,offices!$A$2:$A$61,0))),""))</f>
        <v/>
      </c>
      <c r="R124" s="30" t="str">
        <f aca="false">IF($B124="","",IFERROR(IF(INDEX(offices!$O$2:$O$61,MATCH($B124,offices!$A$2:$A$61,0))="","",INDEX(offices!$O$2:$O$61,MATCH($B124,offices!$A$2:$A$61,0))),""))</f>
        <v/>
      </c>
      <c r="S124" s="30" t="str">
        <f aca="false">IF($B124="","",IFERROR(IF(INDEX(offices!$P$2:$P$61,MATCH($B124,offices!$A$2:$A$61,0))="","",INDEX(offices!$P$2:$P$61,MATCH($B124,offices!$A$2:$A$61,0))),""))</f>
        <v/>
      </c>
      <c r="T124" s="30" t="str">
        <f aca="false">IF($B124="","",IFERROR(IF(INDEX(offices!$Y$2:$Y$61,MATCH($B124,offices!$A$2:$A$61,0))="","",INDEX(offices!$Y$2:$Y$61,MATCH($B124,offices!$A$2:$A$61,0))),""))</f>
        <v/>
      </c>
      <c r="U124" s="30" t="str">
        <f aca="false">IF($B124="","",IFERROR(IF(INDEX(offices!$X$2:$X$61,MATCH($B124,offices!$A$2:$A$61,0))="","",INDEX(offices!$X$2:$X$61,MATCH($B124,offices!$A$2:$A$61,0))),""))</f>
        <v/>
      </c>
      <c r="V124" s="30" t="str">
        <f aca="false">IF($B124="","",IFERROR(IF(INDEX(offices!$U$2:$U$61,MATCH($B124,offices!$A$2:$A$61,0))="","",INDEX(offices!$U$2:$U$61,MATCH($B124,offices!$A$2:$A$61,0))),""))</f>
        <v/>
      </c>
      <c r="W124" s="30" t="str">
        <f aca="false">IF($B124="","",IFERROR(IF(INDEX(offices!$AI$2:$AI$61,MATCH($B124,offices!$A$2:$A$61,0))="","",INDEX(offices!$AI$2:$AI$61,MATCH($B124,offices!$A$2:$A$61,0))),""))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Z$2:$Z$61,MATCH($B124,offices!$A$2:$A$61,0))="","",INDEX(offices!$Z$2:$Z$61,MATCH($B124,offices!$A$2:$A$61,0))),"")="yes",IFERROR(IF(INDEX(offices!$Z$2:$Z$61,MATCH($B124,offices!$A$2:$A$61,0))="","",INDEX(offices!$Z$2:$Z$61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","")&amp;IF(AND($U124="front desk",$X124&lt;&gt;"Y"),"info: front desk not agreed: the owner must take it; ",""))</f>
        <v/>
      </c>
    </row>
    <row r="125" customFormat="false" ht="15" hidden="false" customHeight="false" outlineLevel="0" collapsed="false">
      <c r="D125" s="38"/>
      <c r="E125" s="11"/>
      <c r="F125" s="11"/>
      <c r="G125" s="11"/>
      <c r="I125" s="38"/>
      <c r="J125" s="38"/>
      <c r="K125" s="10"/>
      <c r="L125" s="10"/>
      <c r="N125" s="11"/>
      <c r="P125" s="31" t="str">
        <f aca="false">IF($A125="","",IF(IFERROR(IF(INDEX(drops!$I$2:$I$21,MATCH($A125,drops!$A$2:$A$21,0))="","",INDEX(drops!$I$2:$I$21,MATCH($A125,drops!$A$2:$A$21,0))),"")="OK",IFERROR(IF(INDEX(drops!$B$2:$B$21,MATCH($A125,drops!$A$2:$A$21,0))="","",INDEX(drops!$B$2:$B$21,MATCH($A125,drops!$A$2:$A$21,0))),""),""))</f>
        <v/>
      </c>
      <c r="Q125" s="30" t="str">
        <f aca="false">IF($B125="","",IFERROR(IF(INDEX(offices!$N$2:$N$61,MATCH($B125,offices!$A$2:$A$61,0))="","",INDEX(offices!$N$2:$N$61,MATCH($B125,offices!$A$2:$A$61,0))),""))</f>
        <v/>
      </c>
      <c r="R125" s="30" t="str">
        <f aca="false">IF($B125="","",IFERROR(IF(INDEX(offices!$O$2:$O$61,MATCH($B125,offices!$A$2:$A$61,0))="","",INDEX(offices!$O$2:$O$61,MATCH($B125,offices!$A$2:$A$61,0))),""))</f>
        <v/>
      </c>
      <c r="S125" s="30" t="str">
        <f aca="false">IF($B125="","",IFERROR(IF(INDEX(offices!$P$2:$P$61,MATCH($B125,offices!$A$2:$A$61,0))="","",INDEX(offices!$P$2:$P$61,MATCH($B125,offices!$A$2:$A$61,0))),""))</f>
        <v/>
      </c>
      <c r="T125" s="30" t="str">
        <f aca="false">IF($B125="","",IFERROR(IF(INDEX(offices!$Y$2:$Y$61,MATCH($B125,offices!$A$2:$A$61,0))="","",INDEX(offices!$Y$2:$Y$61,MATCH($B125,offices!$A$2:$A$61,0))),""))</f>
        <v/>
      </c>
      <c r="U125" s="30" t="str">
        <f aca="false">IF($B125="","",IFERROR(IF(INDEX(offices!$X$2:$X$61,MATCH($B125,offices!$A$2:$A$61,0))="","",INDEX(offices!$X$2:$X$61,MATCH($B125,offices!$A$2:$A$61,0))),""))</f>
        <v/>
      </c>
      <c r="V125" s="30" t="str">
        <f aca="false">IF($B125="","",IFERROR(IF(INDEX(offices!$U$2:$U$61,MATCH($B125,offices!$A$2:$A$61,0))="","",INDEX(offices!$U$2:$U$61,MATCH($B125,offices!$A$2:$A$61,0))),""))</f>
        <v/>
      </c>
      <c r="W125" s="30" t="str">
        <f aca="false">IF($B125="","",IFERROR(IF(INDEX(offices!$AI$2:$AI$61,MATCH($B125,offices!$A$2:$A$61,0))="","",INDEX(offices!$AI$2:$AI$61,MATCH($B125,offices!$A$2:$A$61,0))),""))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Z$2:$Z$61,MATCH($B125,offices!$A$2:$A$61,0))="","",INDEX(offices!$Z$2:$Z$61,MATCH($B125,offices!$A$2:$A$61,0))),"")="yes",IFERROR(IF(INDEX(offices!$Z$2:$Z$61,MATCH($B125,offices!$A$2:$A$61,0))="","",INDEX(offices!$Z$2:$Z$61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","")&amp;IF(AND($U125="front desk",$X125&lt;&gt;"Y"),"info: front desk not agreed: the owner must take it; ",""))</f>
        <v/>
      </c>
    </row>
    <row r="126" customFormat="false" ht="15" hidden="false" customHeight="false" outlineLevel="0" collapsed="false">
      <c r="D126" s="38"/>
      <c r="E126" s="11"/>
      <c r="F126" s="11"/>
      <c r="G126" s="11"/>
      <c r="I126" s="38"/>
      <c r="J126" s="38"/>
      <c r="K126" s="10"/>
      <c r="L126" s="10"/>
      <c r="N126" s="11"/>
      <c r="P126" s="31" t="str">
        <f aca="false">IF($A126="","",IF(IFERROR(IF(INDEX(drops!$I$2:$I$21,MATCH($A126,drops!$A$2:$A$21,0))="","",INDEX(drops!$I$2:$I$21,MATCH($A126,drops!$A$2:$A$21,0))),"")="OK",IFERROR(IF(INDEX(drops!$B$2:$B$21,MATCH($A126,drops!$A$2:$A$21,0))="","",INDEX(drops!$B$2:$B$21,MATCH($A126,drops!$A$2:$A$21,0))),""),""))</f>
        <v/>
      </c>
      <c r="Q126" s="30" t="str">
        <f aca="false">IF($B126="","",IFERROR(IF(INDEX(offices!$N$2:$N$61,MATCH($B126,offices!$A$2:$A$61,0))="","",INDEX(offices!$N$2:$N$61,MATCH($B126,offices!$A$2:$A$61,0))),""))</f>
        <v/>
      </c>
      <c r="R126" s="30" t="str">
        <f aca="false">IF($B126="","",IFERROR(IF(INDEX(offices!$O$2:$O$61,MATCH($B126,offices!$A$2:$A$61,0))="","",INDEX(offices!$O$2:$O$61,MATCH($B126,offices!$A$2:$A$61,0))),""))</f>
        <v/>
      </c>
      <c r="S126" s="30" t="str">
        <f aca="false">IF($B126="","",IFERROR(IF(INDEX(offices!$P$2:$P$61,MATCH($B126,offices!$A$2:$A$61,0))="","",INDEX(offices!$P$2:$P$61,MATCH($B126,offices!$A$2:$A$61,0))),""))</f>
        <v/>
      </c>
      <c r="T126" s="30" t="str">
        <f aca="false">IF($B126="","",IFERROR(IF(INDEX(offices!$Y$2:$Y$61,MATCH($B126,offices!$A$2:$A$61,0))="","",INDEX(offices!$Y$2:$Y$61,MATCH($B126,offices!$A$2:$A$61,0))),""))</f>
        <v/>
      </c>
      <c r="U126" s="30" t="str">
        <f aca="false">IF($B126="","",IFERROR(IF(INDEX(offices!$X$2:$X$61,MATCH($B126,offices!$A$2:$A$61,0))="","",INDEX(offices!$X$2:$X$61,MATCH($B126,offices!$A$2:$A$61,0))),""))</f>
        <v/>
      </c>
      <c r="V126" s="30" t="str">
        <f aca="false">IF($B126="","",IFERROR(IF(INDEX(offices!$U$2:$U$61,MATCH($B126,offices!$A$2:$A$61,0))="","",INDEX(offices!$U$2:$U$61,MATCH($B126,offices!$A$2:$A$61,0))),""))</f>
        <v/>
      </c>
      <c r="W126" s="30" t="str">
        <f aca="false">IF($B126="","",IFERROR(IF(INDEX(offices!$AI$2:$AI$61,MATCH($B126,offices!$A$2:$A$61,0))="","",INDEX(offices!$AI$2:$AI$61,MATCH($B126,offices!$A$2:$A$61,0))),""))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Z$2:$Z$61,MATCH($B126,offices!$A$2:$A$61,0))="","",INDEX(offices!$Z$2:$Z$61,MATCH($B126,offices!$A$2:$A$61,0))),"")="yes",IFERROR(IF(INDEX(offices!$Z$2:$Z$61,MATCH($B126,offices!$A$2:$A$61,0))="","",INDEX(offices!$Z$2:$Z$61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","")&amp;IF(AND($U126="front desk",$X126&lt;&gt;"Y"),"info: front desk not agreed: the owner must take it; ",""))</f>
        <v/>
      </c>
    </row>
    <row r="127" customFormat="false" ht="15" hidden="false" customHeight="false" outlineLevel="0" collapsed="false">
      <c r="D127" s="38"/>
      <c r="E127" s="11"/>
      <c r="F127" s="11"/>
      <c r="G127" s="11"/>
      <c r="I127" s="38"/>
      <c r="J127" s="38"/>
      <c r="K127" s="10"/>
      <c r="L127" s="10"/>
      <c r="N127" s="11"/>
      <c r="P127" s="31" t="str">
        <f aca="false">IF($A127="","",IF(IFERROR(IF(INDEX(drops!$I$2:$I$21,MATCH($A127,drops!$A$2:$A$21,0))="","",INDEX(drops!$I$2:$I$21,MATCH($A127,drops!$A$2:$A$21,0))),"")="OK",IFERROR(IF(INDEX(drops!$B$2:$B$21,MATCH($A127,drops!$A$2:$A$21,0))="","",INDEX(drops!$B$2:$B$21,MATCH($A127,drops!$A$2:$A$21,0))),""),""))</f>
        <v/>
      </c>
      <c r="Q127" s="30" t="str">
        <f aca="false">IF($B127="","",IFERROR(IF(INDEX(offices!$N$2:$N$61,MATCH($B127,offices!$A$2:$A$61,0))="","",INDEX(offices!$N$2:$N$61,MATCH($B127,offices!$A$2:$A$61,0))),""))</f>
        <v/>
      </c>
      <c r="R127" s="30" t="str">
        <f aca="false">IF($B127="","",IFERROR(IF(INDEX(offices!$O$2:$O$61,MATCH($B127,offices!$A$2:$A$61,0))="","",INDEX(offices!$O$2:$O$61,MATCH($B127,offices!$A$2:$A$61,0))),""))</f>
        <v/>
      </c>
      <c r="S127" s="30" t="str">
        <f aca="false">IF($B127="","",IFERROR(IF(INDEX(offices!$P$2:$P$61,MATCH($B127,offices!$A$2:$A$61,0))="","",INDEX(offices!$P$2:$P$61,MATCH($B127,offices!$A$2:$A$61,0))),""))</f>
        <v/>
      </c>
      <c r="T127" s="30" t="str">
        <f aca="false">IF($B127="","",IFERROR(IF(INDEX(offices!$Y$2:$Y$61,MATCH($B127,offices!$A$2:$A$61,0))="","",INDEX(offices!$Y$2:$Y$61,MATCH($B127,offices!$A$2:$A$61,0))),""))</f>
        <v/>
      </c>
      <c r="U127" s="30" t="str">
        <f aca="false">IF($B127="","",IFERROR(IF(INDEX(offices!$X$2:$X$61,MATCH($B127,offices!$A$2:$A$61,0))="","",INDEX(offices!$X$2:$X$61,MATCH($B127,offices!$A$2:$A$61,0))),""))</f>
        <v/>
      </c>
      <c r="V127" s="30" t="str">
        <f aca="false">IF($B127="","",IFERROR(IF(INDEX(offices!$U$2:$U$61,MATCH($B127,offices!$A$2:$A$61,0))="","",INDEX(offices!$U$2:$U$61,MATCH($B127,offices!$A$2:$A$61,0))),""))</f>
        <v/>
      </c>
      <c r="W127" s="30" t="str">
        <f aca="false">IF($B127="","",IFERROR(IF(INDEX(offices!$AI$2:$AI$61,MATCH($B127,offices!$A$2:$A$61,0))="","",INDEX(offices!$AI$2:$AI$61,MATCH($B127,offices!$A$2:$A$61,0))),""))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Z$2:$Z$61,MATCH($B127,offices!$A$2:$A$61,0))="","",INDEX(offices!$Z$2:$Z$61,MATCH($B127,offices!$A$2:$A$61,0))),"")="yes",IFERROR(IF(INDEX(offices!$Z$2:$Z$61,MATCH($B127,offices!$A$2:$A$61,0))="","",INDEX(offices!$Z$2:$Z$61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","")&amp;IF(AND($U127="front desk",$X127&lt;&gt;"Y"),"info: front desk not agreed: the owner must take it; ",""))</f>
        <v/>
      </c>
    </row>
    <row r="128" customFormat="false" ht="15" hidden="false" customHeight="false" outlineLevel="0" collapsed="false">
      <c r="D128" s="38"/>
      <c r="E128" s="11"/>
      <c r="F128" s="11"/>
      <c r="G128" s="11"/>
      <c r="I128" s="38"/>
      <c r="J128" s="38"/>
      <c r="K128" s="10"/>
      <c r="L128" s="10"/>
      <c r="N128" s="11"/>
      <c r="P128" s="31" t="str">
        <f aca="false">IF($A128="","",IF(IFERROR(IF(INDEX(drops!$I$2:$I$21,MATCH($A128,drops!$A$2:$A$21,0))="","",INDEX(drops!$I$2:$I$21,MATCH($A128,drops!$A$2:$A$21,0))),"")="OK",IFERROR(IF(INDEX(drops!$B$2:$B$21,MATCH($A128,drops!$A$2:$A$21,0))="","",INDEX(drops!$B$2:$B$21,MATCH($A128,drops!$A$2:$A$21,0))),""),""))</f>
        <v/>
      </c>
      <c r="Q128" s="30" t="str">
        <f aca="false">IF($B128="","",IFERROR(IF(INDEX(offices!$N$2:$N$61,MATCH($B128,offices!$A$2:$A$61,0))="","",INDEX(offices!$N$2:$N$61,MATCH($B128,offices!$A$2:$A$61,0))),""))</f>
        <v/>
      </c>
      <c r="R128" s="30" t="str">
        <f aca="false">IF($B128="","",IFERROR(IF(INDEX(offices!$O$2:$O$61,MATCH($B128,offices!$A$2:$A$61,0))="","",INDEX(offices!$O$2:$O$61,MATCH($B128,offices!$A$2:$A$61,0))),""))</f>
        <v/>
      </c>
      <c r="S128" s="30" t="str">
        <f aca="false">IF($B128="","",IFERROR(IF(INDEX(offices!$P$2:$P$61,MATCH($B128,offices!$A$2:$A$61,0))="","",INDEX(offices!$P$2:$P$61,MATCH($B128,offices!$A$2:$A$61,0))),""))</f>
        <v/>
      </c>
      <c r="T128" s="30" t="str">
        <f aca="false">IF($B128="","",IFERROR(IF(INDEX(offices!$Y$2:$Y$61,MATCH($B128,offices!$A$2:$A$61,0))="","",INDEX(offices!$Y$2:$Y$61,MATCH($B128,offices!$A$2:$A$61,0))),""))</f>
        <v/>
      </c>
      <c r="U128" s="30" t="str">
        <f aca="false">IF($B128="","",IFERROR(IF(INDEX(offices!$X$2:$X$61,MATCH($B128,offices!$A$2:$A$61,0))="","",INDEX(offices!$X$2:$X$61,MATCH($B128,offices!$A$2:$A$61,0))),""))</f>
        <v/>
      </c>
      <c r="V128" s="30" t="str">
        <f aca="false">IF($B128="","",IFERROR(IF(INDEX(offices!$U$2:$U$61,MATCH($B128,offices!$A$2:$A$61,0))="","",INDEX(offices!$U$2:$U$61,MATCH($B128,offices!$A$2:$A$61,0))),""))</f>
        <v/>
      </c>
      <c r="W128" s="30" t="str">
        <f aca="false">IF($B128="","",IFERROR(IF(INDEX(offices!$AI$2:$AI$61,MATCH($B128,offices!$A$2:$A$61,0))="","",INDEX(offices!$AI$2:$AI$61,MATCH($B128,offices!$A$2:$A$61,0))),""))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Z$2:$Z$61,MATCH($B128,offices!$A$2:$A$61,0))="","",INDEX(offices!$Z$2:$Z$61,MATCH($B128,offices!$A$2:$A$61,0))),"")="yes",IFERROR(IF(INDEX(offices!$Z$2:$Z$61,MATCH($B128,offices!$A$2:$A$61,0))="","",INDEX(offices!$Z$2:$Z$61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","")&amp;IF(AND($U128="front desk",$X128&lt;&gt;"Y"),"info: front desk not agreed: the owner must take it; ",""))</f>
        <v/>
      </c>
    </row>
    <row r="129" customFormat="false" ht="15" hidden="false" customHeight="false" outlineLevel="0" collapsed="false">
      <c r="D129" s="38"/>
      <c r="E129" s="11"/>
      <c r="F129" s="11"/>
      <c r="G129" s="11"/>
      <c r="I129" s="38"/>
      <c r="J129" s="38"/>
      <c r="K129" s="10"/>
      <c r="L129" s="10"/>
      <c r="N129" s="11"/>
      <c r="P129" s="31" t="str">
        <f aca="false">IF($A129="","",IF(IFERROR(IF(INDEX(drops!$I$2:$I$21,MATCH($A129,drops!$A$2:$A$21,0))="","",INDEX(drops!$I$2:$I$21,MATCH($A129,drops!$A$2:$A$21,0))),"")="OK",IFERROR(IF(INDEX(drops!$B$2:$B$21,MATCH($A129,drops!$A$2:$A$21,0))="","",INDEX(drops!$B$2:$B$21,MATCH($A129,drops!$A$2:$A$21,0))),""),""))</f>
        <v/>
      </c>
      <c r="Q129" s="30" t="str">
        <f aca="false">IF($B129="","",IFERROR(IF(INDEX(offices!$N$2:$N$61,MATCH($B129,offices!$A$2:$A$61,0))="","",INDEX(offices!$N$2:$N$61,MATCH($B129,offices!$A$2:$A$61,0))),""))</f>
        <v/>
      </c>
      <c r="R129" s="30" t="str">
        <f aca="false">IF($B129="","",IFERROR(IF(INDEX(offices!$O$2:$O$61,MATCH($B129,offices!$A$2:$A$61,0))="","",INDEX(offices!$O$2:$O$61,MATCH($B129,offices!$A$2:$A$61,0))),""))</f>
        <v/>
      </c>
      <c r="S129" s="30" t="str">
        <f aca="false">IF($B129="","",IFERROR(IF(INDEX(offices!$P$2:$P$61,MATCH($B129,offices!$A$2:$A$61,0))="","",INDEX(offices!$P$2:$P$61,MATCH($B129,offices!$A$2:$A$61,0))),""))</f>
        <v/>
      </c>
      <c r="T129" s="30" t="str">
        <f aca="false">IF($B129="","",IFERROR(IF(INDEX(offices!$Y$2:$Y$61,MATCH($B129,offices!$A$2:$A$61,0))="","",INDEX(offices!$Y$2:$Y$61,MATCH($B129,offices!$A$2:$A$61,0))),""))</f>
        <v/>
      </c>
      <c r="U129" s="30" t="str">
        <f aca="false">IF($B129="","",IFERROR(IF(INDEX(offices!$X$2:$X$61,MATCH($B129,offices!$A$2:$A$61,0))="","",INDEX(offices!$X$2:$X$61,MATCH($B129,offices!$A$2:$A$61,0))),""))</f>
        <v/>
      </c>
      <c r="V129" s="30" t="str">
        <f aca="false">IF($B129="","",IFERROR(IF(INDEX(offices!$U$2:$U$61,MATCH($B129,offices!$A$2:$A$61,0))="","",INDEX(offices!$U$2:$U$61,MATCH($B129,offices!$A$2:$A$61,0))),""))</f>
        <v/>
      </c>
      <c r="W129" s="30" t="str">
        <f aca="false">IF($B129="","",IFERROR(IF(INDEX(offices!$AI$2:$AI$61,MATCH($B129,offices!$A$2:$A$61,0))="","",INDEX(offices!$AI$2:$AI$61,MATCH($B129,offices!$A$2:$A$61,0))),""))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Z$2:$Z$61,MATCH($B129,offices!$A$2:$A$61,0))="","",INDEX(offices!$Z$2:$Z$61,MATCH($B129,offices!$A$2:$A$61,0))),"")="yes",IFERROR(IF(INDEX(offices!$Z$2:$Z$61,MATCH($B129,offices!$A$2:$A$61,0))="","",INDEX(offices!$Z$2:$Z$61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","")&amp;IF(AND($U129="front desk",$X129&lt;&gt;"Y"),"info: front desk not agreed: the owner must take it; ",""))</f>
        <v/>
      </c>
    </row>
    <row r="130" customFormat="false" ht="15" hidden="false" customHeight="false" outlineLevel="0" collapsed="false">
      <c r="D130" s="38"/>
      <c r="E130" s="11"/>
      <c r="F130" s="11"/>
      <c r="G130" s="11"/>
      <c r="I130" s="38"/>
      <c r="J130" s="38"/>
      <c r="K130" s="10"/>
      <c r="L130" s="10"/>
      <c r="N130" s="11"/>
      <c r="P130" s="31" t="str">
        <f aca="false">IF($A130="","",IF(IFERROR(IF(INDEX(drops!$I$2:$I$21,MATCH($A130,drops!$A$2:$A$21,0))="","",INDEX(drops!$I$2:$I$21,MATCH($A130,drops!$A$2:$A$21,0))),"")="OK",IFERROR(IF(INDEX(drops!$B$2:$B$21,MATCH($A130,drops!$A$2:$A$21,0))="","",INDEX(drops!$B$2:$B$21,MATCH($A130,drops!$A$2:$A$21,0))),""),""))</f>
        <v/>
      </c>
      <c r="Q130" s="30" t="str">
        <f aca="false">IF($B130="","",IFERROR(IF(INDEX(offices!$N$2:$N$61,MATCH($B130,offices!$A$2:$A$61,0))="","",INDEX(offices!$N$2:$N$61,MATCH($B130,offices!$A$2:$A$61,0))),""))</f>
        <v/>
      </c>
      <c r="R130" s="30" t="str">
        <f aca="false">IF($B130="","",IFERROR(IF(INDEX(offices!$O$2:$O$61,MATCH($B130,offices!$A$2:$A$61,0))="","",INDEX(offices!$O$2:$O$61,MATCH($B130,offices!$A$2:$A$61,0))),""))</f>
        <v/>
      </c>
      <c r="S130" s="30" t="str">
        <f aca="false">IF($B130="","",IFERROR(IF(INDEX(offices!$P$2:$P$61,MATCH($B130,offices!$A$2:$A$61,0))="","",INDEX(offices!$P$2:$P$61,MATCH($B130,offices!$A$2:$A$61,0))),""))</f>
        <v/>
      </c>
      <c r="T130" s="30" t="str">
        <f aca="false">IF($B130="","",IFERROR(IF(INDEX(offices!$Y$2:$Y$61,MATCH($B130,offices!$A$2:$A$61,0))="","",INDEX(offices!$Y$2:$Y$61,MATCH($B130,offices!$A$2:$A$61,0))),""))</f>
        <v/>
      </c>
      <c r="U130" s="30" t="str">
        <f aca="false">IF($B130="","",IFERROR(IF(INDEX(offices!$X$2:$X$61,MATCH($B130,offices!$A$2:$A$61,0))="","",INDEX(offices!$X$2:$X$61,MATCH($B130,offices!$A$2:$A$61,0))),""))</f>
        <v/>
      </c>
      <c r="V130" s="30" t="str">
        <f aca="false">IF($B130="","",IFERROR(IF(INDEX(offices!$U$2:$U$61,MATCH($B130,offices!$A$2:$A$61,0))="","",INDEX(offices!$U$2:$U$61,MATCH($B130,offices!$A$2:$A$61,0))),""))</f>
        <v/>
      </c>
      <c r="W130" s="30" t="str">
        <f aca="false">IF($B130="","",IFERROR(IF(INDEX(offices!$AI$2:$AI$61,MATCH($B130,offices!$A$2:$A$61,0))="","",INDEX(offices!$AI$2:$AI$61,MATCH($B130,offices!$A$2:$A$61,0))),""))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Z$2:$Z$61,MATCH($B130,offices!$A$2:$A$61,0))="","",INDEX(offices!$Z$2:$Z$61,MATCH($B130,offices!$A$2:$A$61,0))),"")="yes",IFERROR(IF(INDEX(offices!$Z$2:$Z$61,MATCH($B130,offices!$A$2:$A$61,0))="","",INDEX(offices!$Z$2:$Z$61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","")&amp;IF(AND($U130="front desk",$X130&lt;&gt;"Y"),"info: front desk not agreed: the owner must take it; ",""))</f>
        <v/>
      </c>
    </row>
    <row r="131" customFormat="false" ht="15" hidden="false" customHeight="false" outlineLevel="0" collapsed="false">
      <c r="D131" s="38"/>
      <c r="E131" s="11"/>
      <c r="F131" s="11"/>
      <c r="G131" s="11"/>
      <c r="I131" s="38"/>
      <c r="J131" s="38"/>
      <c r="K131" s="10"/>
      <c r="L131" s="10"/>
      <c r="N131" s="11"/>
      <c r="P131" s="31" t="str">
        <f aca="false">IF($A131="","",IF(IFERROR(IF(INDEX(drops!$I$2:$I$21,MATCH($A131,drops!$A$2:$A$21,0))="","",INDEX(drops!$I$2:$I$21,MATCH($A131,drops!$A$2:$A$21,0))),"")="OK",IFERROR(IF(INDEX(drops!$B$2:$B$21,MATCH($A131,drops!$A$2:$A$21,0))="","",INDEX(drops!$B$2:$B$21,MATCH($A131,drops!$A$2:$A$21,0))),""),""))</f>
        <v/>
      </c>
      <c r="Q131" s="30" t="str">
        <f aca="false">IF($B131="","",IFERROR(IF(INDEX(offices!$N$2:$N$61,MATCH($B131,offices!$A$2:$A$61,0))="","",INDEX(offices!$N$2:$N$61,MATCH($B131,offices!$A$2:$A$61,0))),""))</f>
        <v/>
      </c>
      <c r="R131" s="30" t="str">
        <f aca="false">IF($B131="","",IFERROR(IF(INDEX(offices!$O$2:$O$61,MATCH($B131,offices!$A$2:$A$61,0))="","",INDEX(offices!$O$2:$O$61,MATCH($B131,offices!$A$2:$A$61,0))),""))</f>
        <v/>
      </c>
      <c r="S131" s="30" t="str">
        <f aca="false">IF($B131="","",IFERROR(IF(INDEX(offices!$P$2:$P$61,MATCH($B131,offices!$A$2:$A$61,0))="","",INDEX(offices!$P$2:$P$61,MATCH($B131,offices!$A$2:$A$61,0))),""))</f>
        <v/>
      </c>
      <c r="T131" s="30" t="str">
        <f aca="false">IF($B131="","",IFERROR(IF(INDEX(offices!$Y$2:$Y$61,MATCH($B131,offices!$A$2:$A$61,0))="","",INDEX(offices!$Y$2:$Y$61,MATCH($B131,offices!$A$2:$A$61,0))),""))</f>
        <v/>
      </c>
      <c r="U131" s="30" t="str">
        <f aca="false">IF($B131="","",IFERROR(IF(INDEX(offices!$X$2:$X$61,MATCH($B131,offices!$A$2:$A$61,0))="","",INDEX(offices!$X$2:$X$61,MATCH($B131,offices!$A$2:$A$61,0))),""))</f>
        <v/>
      </c>
      <c r="V131" s="30" t="str">
        <f aca="false">IF($B131="","",IFERROR(IF(INDEX(offices!$U$2:$U$61,MATCH($B131,offices!$A$2:$A$61,0))="","",INDEX(offices!$U$2:$U$61,MATCH($B131,offices!$A$2:$A$61,0))),""))</f>
        <v/>
      </c>
      <c r="W131" s="30" t="str">
        <f aca="false">IF($B131="","",IFERROR(IF(INDEX(offices!$AI$2:$AI$61,MATCH($B131,offices!$A$2:$A$61,0))="","",INDEX(offices!$AI$2:$AI$61,MATCH($B131,offices!$A$2:$A$61,0))),""))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Z$2:$Z$61,MATCH($B131,offices!$A$2:$A$61,0))="","",INDEX(offices!$Z$2:$Z$61,MATCH($B131,offices!$A$2:$A$61,0))),"")="yes",IFERROR(IF(INDEX(offices!$Z$2:$Z$61,MATCH($B131,offices!$A$2:$A$61,0))="","",INDEX(offices!$Z$2:$Z$61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","")&amp;IF(AND($U131="front desk",$X131&lt;&gt;"Y"),"info: front desk not agreed: the owner must take it; ",""))</f>
        <v/>
      </c>
    </row>
    <row r="132" customFormat="false" ht="15" hidden="false" customHeight="false" outlineLevel="0" collapsed="false">
      <c r="D132" s="38"/>
      <c r="E132" s="11"/>
      <c r="F132" s="11"/>
      <c r="G132" s="11"/>
      <c r="I132" s="38"/>
      <c r="J132" s="38"/>
      <c r="K132" s="10"/>
      <c r="L132" s="10"/>
      <c r="N132" s="11"/>
      <c r="P132" s="31" t="str">
        <f aca="false">IF($A132="","",IF(IFERROR(IF(INDEX(drops!$I$2:$I$21,MATCH($A132,drops!$A$2:$A$21,0))="","",INDEX(drops!$I$2:$I$21,MATCH($A132,drops!$A$2:$A$21,0))),"")="OK",IFERROR(IF(INDEX(drops!$B$2:$B$21,MATCH($A132,drops!$A$2:$A$21,0))="","",INDEX(drops!$B$2:$B$21,MATCH($A132,drops!$A$2:$A$21,0))),""),""))</f>
        <v/>
      </c>
      <c r="Q132" s="30" t="str">
        <f aca="false">IF($B132="","",IFERROR(IF(INDEX(offices!$N$2:$N$61,MATCH($B132,offices!$A$2:$A$61,0))="","",INDEX(offices!$N$2:$N$61,MATCH($B132,offices!$A$2:$A$61,0))),""))</f>
        <v/>
      </c>
      <c r="R132" s="30" t="str">
        <f aca="false">IF($B132="","",IFERROR(IF(INDEX(offices!$O$2:$O$61,MATCH($B132,offices!$A$2:$A$61,0))="","",INDEX(offices!$O$2:$O$61,MATCH($B132,offices!$A$2:$A$61,0))),""))</f>
        <v/>
      </c>
      <c r="S132" s="30" t="str">
        <f aca="false">IF($B132="","",IFERROR(IF(INDEX(offices!$P$2:$P$61,MATCH($B132,offices!$A$2:$A$61,0))="","",INDEX(offices!$P$2:$P$61,MATCH($B132,offices!$A$2:$A$61,0))),""))</f>
        <v/>
      </c>
      <c r="T132" s="30" t="str">
        <f aca="false">IF($B132="","",IFERROR(IF(INDEX(offices!$Y$2:$Y$61,MATCH($B132,offices!$A$2:$A$61,0))="","",INDEX(offices!$Y$2:$Y$61,MATCH($B132,offices!$A$2:$A$61,0))),""))</f>
        <v/>
      </c>
      <c r="U132" s="30" t="str">
        <f aca="false">IF($B132="","",IFERROR(IF(INDEX(offices!$X$2:$X$61,MATCH($B132,offices!$A$2:$A$61,0))="","",INDEX(offices!$X$2:$X$61,MATCH($B132,offices!$A$2:$A$61,0))),""))</f>
        <v/>
      </c>
      <c r="V132" s="30" t="str">
        <f aca="false">IF($B132="","",IFERROR(IF(INDEX(offices!$U$2:$U$61,MATCH($B132,offices!$A$2:$A$61,0))="","",INDEX(offices!$U$2:$U$61,MATCH($B132,offices!$A$2:$A$61,0))),""))</f>
        <v/>
      </c>
      <c r="W132" s="30" t="str">
        <f aca="false">IF($B132="","",IFERROR(IF(INDEX(offices!$AI$2:$AI$61,MATCH($B132,offices!$A$2:$A$61,0))="","",INDEX(offices!$AI$2:$AI$61,MATCH($B132,offices!$A$2:$A$61,0))),""))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Z$2:$Z$61,MATCH($B132,offices!$A$2:$A$61,0))="","",INDEX(offices!$Z$2:$Z$61,MATCH($B132,offices!$A$2:$A$61,0))),"")="yes",IFERROR(IF(INDEX(offices!$Z$2:$Z$61,MATCH($B132,offices!$A$2:$A$61,0))="","",INDEX(offices!$Z$2:$Z$61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","")&amp;IF(AND($U132="front desk",$X132&lt;&gt;"Y"),"info: front desk not agreed: the owner must take it; ",""))</f>
        <v/>
      </c>
    </row>
    <row r="133" customFormat="false" ht="15" hidden="false" customHeight="false" outlineLevel="0" collapsed="false">
      <c r="D133" s="38"/>
      <c r="E133" s="11"/>
      <c r="F133" s="11"/>
      <c r="G133" s="11"/>
      <c r="I133" s="38"/>
      <c r="J133" s="38"/>
      <c r="K133" s="10"/>
      <c r="L133" s="10"/>
      <c r="N133" s="11"/>
      <c r="P133" s="31" t="str">
        <f aca="false">IF($A133="","",IF(IFERROR(IF(INDEX(drops!$I$2:$I$21,MATCH($A133,drops!$A$2:$A$21,0))="","",INDEX(drops!$I$2:$I$21,MATCH($A133,drops!$A$2:$A$21,0))),"")="OK",IFERROR(IF(INDEX(drops!$B$2:$B$21,MATCH($A133,drops!$A$2:$A$21,0))="","",INDEX(drops!$B$2:$B$21,MATCH($A133,drops!$A$2:$A$21,0))),""),""))</f>
        <v/>
      </c>
      <c r="Q133" s="30" t="str">
        <f aca="false">IF($B133="","",IFERROR(IF(INDEX(offices!$N$2:$N$61,MATCH($B133,offices!$A$2:$A$61,0))="","",INDEX(offices!$N$2:$N$61,MATCH($B133,offices!$A$2:$A$61,0))),""))</f>
        <v/>
      </c>
      <c r="R133" s="30" t="str">
        <f aca="false">IF($B133="","",IFERROR(IF(INDEX(offices!$O$2:$O$61,MATCH($B133,offices!$A$2:$A$61,0))="","",INDEX(offices!$O$2:$O$61,MATCH($B133,offices!$A$2:$A$61,0))),""))</f>
        <v/>
      </c>
      <c r="S133" s="30" t="str">
        <f aca="false">IF($B133="","",IFERROR(IF(INDEX(offices!$P$2:$P$61,MATCH($B133,offices!$A$2:$A$61,0))="","",INDEX(offices!$P$2:$P$61,MATCH($B133,offices!$A$2:$A$61,0))),""))</f>
        <v/>
      </c>
      <c r="T133" s="30" t="str">
        <f aca="false">IF($B133="","",IFERROR(IF(INDEX(offices!$Y$2:$Y$61,MATCH($B133,offices!$A$2:$A$61,0))="","",INDEX(offices!$Y$2:$Y$61,MATCH($B133,offices!$A$2:$A$61,0))),""))</f>
        <v/>
      </c>
      <c r="U133" s="30" t="str">
        <f aca="false">IF($B133="","",IFERROR(IF(INDEX(offices!$X$2:$X$61,MATCH($B133,offices!$A$2:$A$61,0))="","",INDEX(offices!$X$2:$X$61,MATCH($B133,offices!$A$2:$A$61,0))),""))</f>
        <v/>
      </c>
      <c r="V133" s="30" t="str">
        <f aca="false">IF($B133="","",IFERROR(IF(INDEX(offices!$U$2:$U$61,MATCH($B133,offices!$A$2:$A$61,0))="","",INDEX(offices!$U$2:$U$61,MATCH($B133,offices!$A$2:$A$61,0))),""))</f>
        <v/>
      </c>
      <c r="W133" s="30" t="str">
        <f aca="false">IF($B133="","",IFERROR(IF(INDEX(offices!$AI$2:$AI$61,MATCH($B133,offices!$A$2:$A$61,0))="","",INDEX(offices!$AI$2:$AI$61,MATCH($B133,offices!$A$2:$A$61,0))),""))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Z$2:$Z$61,MATCH($B133,offices!$A$2:$A$61,0))="","",INDEX(offices!$Z$2:$Z$61,MATCH($B133,offices!$A$2:$A$61,0))),"")="yes",IFERROR(IF(INDEX(offices!$Z$2:$Z$61,MATCH($B133,offices!$A$2:$A$61,0))="","",INDEX(offices!$Z$2:$Z$61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","")&amp;IF(AND($U133="front desk",$X133&lt;&gt;"Y"),"info: front desk not agreed: the owner must take it; ",""))</f>
        <v/>
      </c>
    </row>
    <row r="134" customFormat="false" ht="15" hidden="false" customHeight="false" outlineLevel="0" collapsed="false">
      <c r="D134" s="38"/>
      <c r="E134" s="11"/>
      <c r="F134" s="11"/>
      <c r="G134" s="11"/>
      <c r="I134" s="38"/>
      <c r="J134" s="38"/>
      <c r="K134" s="10"/>
      <c r="L134" s="10"/>
      <c r="N134" s="11"/>
      <c r="P134" s="31" t="str">
        <f aca="false">IF($A134="","",IF(IFERROR(IF(INDEX(drops!$I$2:$I$21,MATCH($A134,drops!$A$2:$A$21,0))="","",INDEX(drops!$I$2:$I$21,MATCH($A134,drops!$A$2:$A$21,0))),"")="OK",IFERROR(IF(INDEX(drops!$B$2:$B$21,MATCH($A134,drops!$A$2:$A$21,0))="","",INDEX(drops!$B$2:$B$21,MATCH($A134,drops!$A$2:$A$21,0))),""),""))</f>
        <v/>
      </c>
      <c r="Q134" s="30" t="str">
        <f aca="false">IF($B134="","",IFERROR(IF(INDEX(offices!$N$2:$N$61,MATCH($B134,offices!$A$2:$A$61,0))="","",INDEX(offices!$N$2:$N$61,MATCH($B134,offices!$A$2:$A$61,0))),""))</f>
        <v/>
      </c>
      <c r="R134" s="30" t="str">
        <f aca="false">IF($B134="","",IFERROR(IF(INDEX(offices!$O$2:$O$61,MATCH($B134,offices!$A$2:$A$61,0))="","",INDEX(offices!$O$2:$O$61,MATCH($B134,offices!$A$2:$A$61,0))),""))</f>
        <v/>
      </c>
      <c r="S134" s="30" t="str">
        <f aca="false">IF($B134="","",IFERROR(IF(INDEX(offices!$P$2:$P$61,MATCH($B134,offices!$A$2:$A$61,0))="","",INDEX(offices!$P$2:$P$61,MATCH($B134,offices!$A$2:$A$61,0))),""))</f>
        <v/>
      </c>
      <c r="T134" s="30" t="str">
        <f aca="false">IF($B134="","",IFERROR(IF(INDEX(offices!$Y$2:$Y$61,MATCH($B134,offices!$A$2:$A$61,0))="","",INDEX(offices!$Y$2:$Y$61,MATCH($B134,offices!$A$2:$A$61,0))),""))</f>
        <v/>
      </c>
      <c r="U134" s="30" t="str">
        <f aca="false">IF($B134="","",IFERROR(IF(INDEX(offices!$X$2:$X$61,MATCH($B134,offices!$A$2:$A$61,0))="","",INDEX(offices!$X$2:$X$61,MATCH($B134,offices!$A$2:$A$61,0))),""))</f>
        <v/>
      </c>
      <c r="V134" s="30" t="str">
        <f aca="false">IF($B134="","",IFERROR(IF(INDEX(offices!$U$2:$U$61,MATCH($B134,offices!$A$2:$A$61,0))="","",INDEX(offices!$U$2:$U$61,MATCH($B134,offices!$A$2:$A$61,0))),""))</f>
        <v/>
      </c>
      <c r="W134" s="30" t="str">
        <f aca="false">IF($B134="","",IFERROR(IF(INDEX(offices!$AI$2:$AI$61,MATCH($B134,offices!$A$2:$A$61,0))="","",INDEX(offices!$AI$2:$AI$61,MATCH($B134,offices!$A$2:$A$61,0))),""))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Z$2:$Z$61,MATCH($B134,offices!$A$2:$A$61,0))="","",INDEX(offices!$Z$2:$Z$61,MATCH($B134,offices!$A$2:$A$61,0))),"")="yes",IFERROR(IF(INDEX(offices!$Z$2:$Z$61,MATCH($B134,offices!$A$2:$A$61,0))="","",INDEX(offices!$Z$2:$Z$61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","")&amp;IF(AND($U134="front desk",$X134&lt;&gt;"Y"),"info: front desk not agreed: the owner must take it; ",""))</f>
        <v/>
      </c>
    </row>
    <row r="135" customFormat="false" ht="15" hidden="false" customHeight="false" outlineLevel="0" collapsed="false">
      <c r="D135" s="38"/>
      <c r="E135" s="11"/>
      <c r="F135" s="11"/>
      <c r="G135" s="11"/>
      <c r="I135" s="38"/>
      <c r="J135" s="38"/>
      <c r="K135" s="10"/>
      <c r="L135" s="10"/>
      <c r="N135" s="11"/>
      <c r="P135" s="31" t="str">
        <f aca="false">IF($A135="","",IF(IFERROR(IF(INDEX(drops!$I$2:$I$21,MATCH($A135,drops!$A$2:$A$21,0))="","",INDEX(drops!$I$2:$I$21,MATCH($A135,drops!$A$2:$A$21,0))),"")="OK",IFERROR(IF(INDEX(drops!$B$2:$B$21,MATCH($A135,drops!$A$2:$A$21,0))="","",INDEX(drops!$B$2:$B$21,MATCH($A135,drops!$A$2:$A$21,0))),""),""))</f>
        <v/>
      </c>
      <c r="Q135" s="30" t="str">
        <f aca="false">IF($B135="","",IFERROR(IF(INDEX(offices!$N$2:$N$61,MATCH($B135,offices!$A$2:$A$61,0))="","",INDEX(offices!$N$2:$N$61,MATCH($B135,offices!$A$2:$A$61,0))),""))</f>
        <v/>
      </c>
      <c r="R135" s="30" t="str">
        <f aca="false">IF($B135="","",IFERROR(IF(INDEX(offices!$O$2:$O$61,MATCH($B135,offices!$A$2:$A$61,0))="","",INDEX(offices!$O$2:$O$61,MATCH($B135,offices!$A$2:$A$61,0))),""))</f>
        <v/>
      </c>
      <c r="S135" s="30" t="str">
        <f aca="false">IF($B135="","",IFERROR(IF(INDEX(offices!$P$2:$P$61,MATCH($B135,offices!$A$2:$A$61,0))="","",INDEX(offices!$P$2:$P$61,MATCH($B135,offices!$A$2:$A$61,0))),""))</f>
        <v/>
      </c>
      <c r="T135" s="30" t="str">
        <f aca="false">IF($B135="","",IFERROR(IF(INDEX(offices!$Y$2:$Y$61,MATCH($B135,offices!$A$2:$A$61,0))="","",INDEX(offices!$Y$2:$Y$61,MATCH($B135,offices!$A$2:$A$61,0))),""))</f>
        <v/>
      </c>
      <c r="U135" s="30" t="str">
        <f aca="false">IF($B135="","",IFERROR(IF(INDEX(offices!$X$2:$X$61,MATCH($B135,offices!$A$2:$A$61,0))="","",INDEX(offices!$X$2:$X$61,MATCH($B135,offices!$A$2:$A$61,0))),""))</f>
        <v/>
      </c>
      <c r="V135" s="30" t="str">
        <f aca="false">IF($B135="","",IFERROR(IF(INDEX(offices!$U$2:$U$61,MATCH($B135,offices!$A$2:$A$61,0))="","",INDEX(offices!$U$2:$U$61,MATCH($B135,offices!$A$2:$A$61,0))),""))</f>
        <v/>
      </c>
      <c r="W135" s="30" t="str">
        <f aca="false">IF($B135="","",IFERROR(IF(INDEX(offices!$AI$2:$AI$61,MATCH($B135,offices!$A$2:$A$61,0))="","",INDEX(offices!$AI$2:$AI$61,MATCH($B135,offices!$A$2:$A$61,0))),""))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Z$2:$Z$61,MATCH($B135,offices!$A$2:$A$61,0))="","",INDEX(offices!$Z$2:$Z$61,MATCH($B135,offices!$A$2:$A$61,0))),"")="yes",IFERROR(IF(INDEX(offices!$Z$2:$Z$61,MATCH($B135,offices!$A$2:$A$61,0))="","",INDEX(offices!$Z$2:$Z$61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","")&amp;IF(AND($U135="front desk",$X135&lt;&gt;"Y"),"info: front desk not agreed: the owner must take it; ",""))</f>
        <v/>
      </c>
    </row>
    <row r="136" customFormat="false" ht="15" hidden="false" customHeight="false" outlineLevel="0" collapsed="false">
      <c r="D136" s="38"/>
      <c r="E136" s="11"/>
      <c r="F136" s="11"/>
      <c r="G136" s="11"/>
      <c r="I136" s="38"/>
      <c r="J136" s="38"/>
      <c r="K136" s="10"/>
      <c r="L136" s="10"/>
      <c r="N136" s="11"/>
      <c r="P136" s="31" t="str">
        <f aca="false">IF($A136="","",IF(IFERROR(IF(INDEX(drops!$I$2:$I$21,MATCH($A136,drops!$A$2:$A$21,0))="","",INDEX(drops!$I$2:$I$21,MATCH($A136,drops!$A$2:$A$21,0))),"")="OK",IFERROR(IF(INDEX(drops!$B$2:$B$21,MATCH($A136,drops!$A$2:$A$21,0))="","",INDEX(drops!$B$2:$B$21,MATCH($A136,drops!$A$2:$A$21,0))),""),""))</f>
        <v/>
      </c>
      <c r="Q136" s="30" t="str">
        <f aca="false">IF($B136="","",IFERROR(IF(INDEX(offices!$N$2:$N$61,MATCH($B136,offices!$A$2:$A$61,0))="","",INDEX(offices!$N$2:$N$61,MATCH($B136,offices!$A$2:$A$61,0))),""))</f>
        <v/>
      </c>
      <c r="R136" s="30" t="str">
        <f aca="false">IF($B136="","",IFERROR(IF(INDEX(offices!$O$2:$O$61,MATCH($B136,offices!$A$2:$A$61,0))="","",INDEX(offices!$O$2:$O$61,MATCH($B136,offices!$A$2:$A$61,0))),""))</f>
        <v/>
      </c>
      <c r="S136" s="30" t="str">
        <f aca="false">IF($B136="","",IFERROR(IF(INDEX(offices!$P$2:$P$61,MATCH($B136,offices!$A$2:$A$61,0))="","",INDEX(offices!$P$2:$P$61,MATCH($B136,offices!$A$2:$A$61,0))),""))</f>
        <v/>
      </c>
      <c r="T136" s="30" t="str">
        <f aca="false">IF($B136="","",IFERROR(IF(INDEX(offices!$Y$2:$Y$61,MATCH($B136,offices!$A$2:$A$61,0))="","",INDEX(offices!$Y$2:$Y$61,MATCH($B136,offices!$A$2:$A$61,0))),""))</f>
        <v/>
      </c>
      <c r="U136" s="30" t="str">
        <f aca="false">IF($B136="","",IFERROR(IF(INDEX(offices!$X$2:$X$61,MATCH($B136,offices!$A$2:$A$61,0))="","",INDEX(offices!$X$2:$X$61,MATCH($B136,offices!$A$2:$A$61,0))),""))</f>
        <v/>
      </c>
      <c r="V136" s="30" t="str">
        <f aca="false">IF($B136="","",IFERROR(IF(INDEX(offices!$U$2:$U$61,MATCH($B136,offices!$A$2:$A$61,0))="","",INDEX(offices!$U$2:$U$61,MATCH($B136,offices!$A$2:$A$61,0))),""))</f>
        <v/>
      </c>
      <c r="W136" s="30" t="str">
        <f aca="false">IF($B136="","",IFERROR(IF(INDEX(offices!$AI$2:$AI$61,MATCH($B136,offices!$A$2:$A$61,0))="","",INDEX(offices!$AI$2:$AI$61,MATCH($B136,offices!$A$2:$A$61,0))),""))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Z$2:$Z$61,MATCH($B136,offices!$A$2:$A$61,0))="","",INDEX(offices!$Z$2:$Z$61,MATCH($B136,offices!$A$2:$A$61,0))),"")="yes",IFERROR(IF(INDEX(offices!$Z$2:$Z$61,MATCH($B136,offices!$A$2:$A$61,0))="","",INDEX(offices!$Z$2:$Z$61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","")&amp;IF(AND($U136="front desk",$X136&lt;&gt;"Y"),"info: front desk not agreed: the owner must take it; ",""))</f>
        <v/>
      </c>
    </row>
    <row r="137" customFormat="false" ht="15" hidden="false" customHeight="false" outlineLevel="0" collapsed="false">
      <c r="D137" s="38"/>
      <c r="E137" s="11"/>
      <c r="F137" s="11"/>
      <c r="G137" s="11"/>
      <c r="I137" s="38"/>
      <c r="J137" s="38"/>
      <c r="K137" s="10"/>
      <c r="L137" s="10"/>
      <c r="N137" s="11"/>
      <c r="P137" s="31" t="str">
        <f aca="false">IF($A137="","",IF(IFERROR(IF(INDEX(drops!$I$2:$I$21,MATCH($A137,drops!$A$2:$A$21,0))="","",INDEX(drops!$I$2:$I$21,MATCH($A137,drops!$A$2:$A$21,0))),"")="OK",IFERROR(IF(INDEX(drops!$B$2:$B$21,MATCH($A137,drops!$A$2:$A$21,0))="","",INDEX(drops!$B$2:$B$21,MATCH($A137,drops!$A$2:$A$21,0))),""),""))</f>
        <v/>
      </c>
      <c r="Q137" s="30" t="str">
        <f aca="false">IF($B137="","",IFERROR(IF(INDEX(offices!$N$2:$N$61,MATCH($B137,offices!$A$2:$A$61,0))="","",INDEX(offices!$N$2:$N$61,MATCH($B137,offices!$A$2:$A$61,0))),""))</f>
        <v/>
      </c>
      <c r="R137" s="30" t="str">
        <f aca="false">IF($B137="","",IFERROR(IF(INDEX(offices!$O$2:$O$61,MATCH($B137,offices!$A$2:$A$61,0))="","",INDEX(offices!$O$2:$O$61,MATCH($B137,offices!$A$2:$A$61,0))),""))</f>
        <v/>
      </c>
      <c r="S137" s="30" t="str">
        <f aca="false">IF($B137="","",IFERROR(IF(INDEX(offices!$P$2:$P$61,MATCH($B137,offices!$A$2:$A$61,0))="","",INDEX(offices!$P$2:$P$61,MATCH($B137,offices!$A$2:$A$61,0))),""))</f>
        <v/>
      </c>
      <c r="T137" s="30" t="str">
        <f aca="false">IF($B137="","",IFERROR(IF(INDEX(offices!$Y$2:$Y$61,MATCH($B137,offices!$A$2:$A$61,0))="","",INDEX(offices!$Y$2:$Y$61,MATCH($B137,offices!$A$2:$A$61,0))),""))</f>
        <v/>
      </c>
      <c r="U137" s="30" t="str">
        <f aca="false">IF($B137="","",IFERROR(IF(INDEX(offices!$X$2:$X$61,MATCH($B137,offices!$A$2:$A$61,0))="","",INDEX(offices!$X$2:$X$61,MATCH($B137,offices!$A$2:$A$61,0))),""))</f>
        <v/>
      </c>
      <c r="V137" s="30" t="str">
        <f aca="false">IF($B137="","",IFERROR(IF(INDEX(offices!$U$2:$U$61,MATCH($B137,offices!$A$2:$A$61,0))="","",INDEX(offices!$U$2:$U$61,MATCH($B137,offices!$A$2:$A$61,0))),""))</f>
        <v/>
      </c>
      <c r="W137" s="30" t="str">
        <f aca="false">IF($B137="","",IFERROR(IF(INDEX(offices!$AI$2:$AI$61,MATCH($B137,offices!$A$2:$A$61,0))="","",INDEX(offices!$AI$2:$AI$61,MATCH($B137,offices!$A$2:$A$61,0))),""))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Z$2:$Z$61,MATCH($B137,offices!$A$2:$A$61,0))="","",INDEX(offices!$Z$2:$Z$61,MATCH($B137,offices!$A$2:$A$61,0))),"")="yes",IFERROR(IF(INDEX(offices!$Z$2:$Z$61,MATCH($B137,offices!$A$2:$A$61,0))="","",INDEX(offices!$Z$2:$Z$61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","")&amp;IF(AND($U137="front desk",$X137&lt;&gt;"Y"),"info: front desk not agreed: the owner must take it; ",""))</f>
        <v/>
      </c>
    </row>
    <row r="138" customFormat="false" ht="15" hidden="false" customHeight="false" outlineLevel="0" collapsed="false">
      <c r="D138" s="38"/>
      <c r="E138" s="11"/>
      <c r="F138" s="11"/>
      <c r="G138" s="11"/>
      <c r="I138" s="38"/>
      <c r="J138" s="38"/>
      <c r="K138" s="10"/>
      <c r="L138" s="10"/>
      <c r="N138" s="11"/>
      <c r="P138" s="31" t="str">
        <f aca="false">IF($A138="","",IF(IFERROR(IF(INDEX(drops!$I$2:$I$21,MATCH($A138,drops!$A$2:$A$21,0))="","",INDEX(drops!$I$2:$I$21,MATCH($A138,drops!$A$2:$A$21,0))),"")="OK",IFERROR(IF(INDEX(drops!$B$2:$B$21,MATCH($A138,drops!$A$2:$A$21,0))="","",INDEX(drops!$B$2:$B$21,MATCH($A138,drops!$A$2:$A$21,0))),""),""))</f>
        <v/>
      </c>
      <c r="Q138" s="30" t="str">
        <f aca="false">IF($B138="","",IFERROR(IF(INDEX(offices!$N$2:$N$61,MATCH($B138,offices!$A$2:$A$61,0))="","",INDEX(offices!$N$2:$N$61,MATCH($B138,offices!$A$2:$A$61,0))),""))</f>
        <v/>
      </c>
      <c r="R138" s="30" t="str">
        <f aca="false">IF($B138="","",IFERROR(IF(INDEX(offices!$O$2:$O$61,MATCH($B138,offices!$A$2:$A$61,0))="","",INDEX(offices!$O$2:$O$61,MATCH($B138,offices!$A$2:$A$61,0))),""))</f>
        <v/>
      </c>
      <c r="S138" s="30" t="str">
        <f aca="false">IF($B138="","",IFERROR(IF(INDEX(offices!$P$2:$P$61,MATCH($B138,offices!$A$2:$A$61,0))="","",INDEX(offices!$P$2:$P$61,MATCH($B138,offices!$A$2:$A$61,0))),""))</f>
        <v/>
      </c>
      <c r="T138" s="30" t="str">
        <f aca="false">IF($B138="","",IFERROR(IF(INDEX(offices!$Y$2:$Y$61,MATCH($B138,offices!$A$2:$A$61,0))="","",INDEX(offices!$Y$2:$Y$61,MATCH($B138,offices!$A$2:$A$61,0))),""))</f>
        <v/>
      </c>
      <c r="U138" s="30" t="str">
        <f aca="false">IF($B138="","",IFERROR(IF(INDEX(offices!$X$2:$X$61,MATCH($B138,offices!$A$2:$A$61,0))="","",INDEX(offices!$X$2:$X$61,MATCH($B138,offices!$A$2:$A$61,0))),""))</f>
        <v/>
      </c>
      <c r="V138" s="30" t="str">
        <f aca="false">IF($B138="","",IFERROR(IF(INDEX(offices!$U$2:$U$61,MATCH($B138,offices!$A$2:$A$61,0))="","",INDEX(offices!$U$2:$U$61,MATCH($B138,offices!$A$2:$A$61,0))),""))</f>
        <v/>
      </c>
      <c r="W138" s="30" t="str">
        <f aca="false">IF($B138="","",IFERROR(IF(INDEX(offices!$AI$2:$AI$61,MATCH($B138,offices!$A$2:$A$61,0))="","",INDEX(offices!$AI$2:$AI$61,MATCH($B138,offices!$A$2:$A$61,0))),""))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Z$2:$Z$61,MATCH($B138,offices!$A$2:$A$61,0))="","",INDEX(offices!$Z$2:$Z$61,MATCH($B138,offices!$A$2:$A$61,0))),"")="yes",IFERROR(IF(INDEX(offices!$Z$2:$Z$61,MATCH($B138,offices!$A$2:$A$61,0))="","",INDEX(offices!$Z$2:$Z$61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","")&amp;IF(AND($U138="front desk",$X138&lt;&gt;"Y"),"info: front desk not agreed: the owner must take it; ",""))</f>
        <v/>
      </c>
    </row>
    <row r="139" customFormat="false" ht="15" hidden="false" customHeight="false" outlineLevel="0" collapsed="false">
      <c r="D139" s="38"/>
      <c r="E139" s="11"/>
      <c r="F139" s="11"/>
      <c r="G139" s="11"/>
      <c r="I139" s="38"/>
      <c r="J139" s="38"/>
      <c r="K139" s="10"/>
      <c r="L139" s="10"/>
      <c r="N139" s="11"/>
      <c r="P139" s="31" t="str">
        <f aca="false">IF($A139="","",IF(IFERROR(IF(INDEX(drops!$I$2:$I$21,MATCH($A139,drops!$A$2:$A$21,0))="","",INDEX(drops!$I$2:$I$21,MATCH($A139,drops!$A$2:$A$21,0))),"")="OK",IFERROR(IF(INDEX(drops!$B$2:$B$21,MATCH($A139,drops!$A$2:$A$21,0))="","",INDEX(drops!$B$2:$B$21,MATCH($A139,drops!$A$2:$A$21,0))),""),""))</f>
        <v/>
      </c>
      <c r="Q139" s="30" t="str">
        <f aca="false">IF($B139="","",IFERROR(IF(INDEX(offices!$N$2:$N$61,MATCH($B139,offices!$A$2:$A$61,0))="","",INDEX(offices!$N$2:$N$61,MATCH($B139,offices!$A$2:$A$61,0))),""))</f>
        <v/>
      </c>
      <c r="R139" s="30" t="str">
        <f aca="false">IF($B139="","",IFERROR(IF(INDEX(offices!$O$2:$O$61,MATCH($B139,offices!$A$2:$A$61,0))="","",INDEX(offices!$O$2:$O$61,MATCH($B139,offices!$A$2:$A$61,0))),""))</f>
        <v/>
      </c>
      <c r="S139" s="30" t="str">
        <f aca="false">IF($B139="","",IFERROR(IF(INDEX(offices!$P$2:$P$61,MATCH($B139,offices!$A$2:$A$61,0))="","",INDEX(offices!$P$2:$P$61,MATCH($B139,offices!$A$2:$A$61,0))),""))</f>
        <v/>
      </c>
      <c r="T139" s="30" t="str">
        <f aca="false">IF($B139="","",IFERROR(IF(INDEX(offices!$Y$2:$Y$61,MATCH($B139,offices!$A$2:$A$61,0))="","",INDEX(offices!$Y$2:$Y$61,MATCH($B139,offices!$A$2:$A$61,0))),""))</f>
        <v/>
      </c>
      <c r="U139" s="30" t="str">
        <f aca="false">IF($B139="","",IFERROR(IF(INDEX(offices!$X$2:$X$61,MATCH($B139,offices!$A$2:$A$61,0))="","",INDEX(offices!$X$2:$X$61,MATCH($B139,offices!$A$2:$A$61,0))),""))</f>
        <v/>
      </c>
      <c r="V139" s="30" t="str">
        <f aca="false">IF($B139="","",IFERROR(IF(INDEX(offices!$U$2:$U$61,MATCH($B139,offices!$A$2:$A$61,0))="","",INDEX(offices!$U$2:$U$61,MATCH($B139,offices!$A$2:$A$61,0))),""))</f>
        <v/>
      </c>
      <c r="W139" s="30" t="str">
        <f aca="false">IF($B139="","",IFERROR(IF(INDEX(offices!$AI$2:$AI$61,MATCH($B139,offices!$A$2:$A$61,0))="","",INDEX(offices!$AI$2:$AI$61,MATCH($B139,offices!$A$2:$A$61,0))),""))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Z$2:$Z$61,MATCH($B139,offices!$A$2:$A$61,0))="","",INDEX(offices!$Z$2:$Z$61,MATCH($B139,offices!$A$2:$A$61,0))),"")="yes",IFERROR(IF(INDEX(offices!$Z$2:$Z$61,MATCH($B139,offices!$A$2:$A$61,0))="","",INDEX(offices!$Z$2:$Z$61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","")&amp;IF(AND($U139="front desk",$X139&lt;&gt;"Y"),"info: front desk not agreed: the owner must take it; ",""))</f>
        <v/>
      </c>
    </row>
    <row r="140" customFormat="false" ht="15" hidden="false" customHeight="false" outlineLevel="0" collapsed="false">
      <c r="D140" s="38"/>
      <c r="E140" s="11"/>
      <c r="F140" s="11"/>
      <c r="G140" s="11"/>
      <c r="I140" s="38"/>
      <c r="J140" s="38"/>
      <c r="K140" s="10"/>
      <c r="L140" s="10"/>
      <c r="N140" s="11"/>
      <c r="P140" s="31" t="str">
        <f aca="false">IF($A140="","",IF(IFERROR(IF(INDEX(drops!$I$2:$I$21,MATCH($A140,drops!$A$2:$A$21,0))="","",INDEX(drops!$I$2:$I$21,MATCH($A140,drops!$A$2:$A$21,0))),"")="OK",IFERROR(IF(INDEX(drops!$B$2:$B$21,MATCH($A140,drops!$A$2:$A$21,0))="","",INDEX(drops!$B$2:$B$21,MATCH($A140,drops!$A$2:$A$21,0))),""),""))</f>
        <v/>
      </c>
      <c r="Q140" s="30" t="str">
        <f aca="false">IF($B140="","",IFERROR(IF(INDEX(offices!$N$2:$N$61,MATCH($B140,offices!$A$2:$A$61,0))="","",INDEX(offices!$N$2:$N$61,MATCH($B140,offices!$A$2:$A$61,0))),""))</f>
        <v/>
      </c>
      <c r="R140" s="30" t="str">
        <f aca="false">IF($B140="","",IFERROR(IF(INDEX(offices!$O$2:$O$61,MATCH($B140,offices!$A$2:$A$61,0))="","",INDEX(offices!$O$2:$O$61,MATCH($B140,offices!$A$2:$A$61,0))),""))</f>
        <v/>
      </c>
      <c r="S140" s="30" t="str">
        <f aca="false">IF($B140="","",IFERROR(IF(INDEX(offices!$P$2:$P$61,MATCH($B140,offices!$A$2:$A$61,0))="","",INDEX(offices!$P$2:$P$61,MATCH($B140,offices!$A$2:$A$61,0))),""))</f>
        <v/>
      </c>
      <c r="T140" s="30" t="str">
        <f aca="false">IF($B140="","",IFERROR(IF(INDEX(offices!$Y$2:$Y$61,MATCH($B140,offices!$A$2:$A$61,0))="","",INDEX(offices!$Y$2:$Y$61,MATCH($B140,offices!$A$2:$A$61,0))),""))</f>
        <v/>
      </c>
      <c r="U140" s="30" t="str">
        <f aca="false">IF($B140="","",IFERROR(IF(INDEX(offices!$X$2:$X$61,MATCH($B140,offices!$A$2:$A$61,0))="","",INDEX(offices!$X$2:$X$61,MATCH($B140,offices!$A$2:$A$61,0))),""))</f>
        <v/>
      </c>
      <c r="V140" s="30" t="str">
        <f aca="false">IF($B140="","",IFERROR(IF(INDEX(offices!$U$2:$U$61,MATCH($B140,offices!$A$2:$A$61,0))="","",INDEX(offices!$U$2:$U$61,MATCH($B140,offices!$A$2:$A$61,0))),""))</f>
        <v/>
      </c>
      <c r="W140" s="30" t="str">
        <f aca="false">IF($B140="","",IFERROR(IF(INDEX(offices!$AI$2:$AI$61,MATCH($B140,offices!$A$2:$A$61,0))="","",INDEX(offices!$AI$2:$AI$61,MATCH($B140,offices!$A$2:$A$61,0))),""))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Z$2:$Z$61,MATCH($B140,offices!$A$2:$A$61,0))="","",INDEX(offices!$Z$2:$Z$61,MATCH($B140,offices!$A$2:$A$61,0))),"")="yes",IFERROR(IF(INDEX(offices!$Z$2:$Z$61,MATCH($B140,offices!$A$2:$A$61,0))="","",INDEX(offices!$Z$2:$Z$61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","")&amp;IF(AND($U140="front desk",$X140&lt;&gt;"Y"),"info: front desk not agreed: the owner must take it; ",""))</f>
        <v/>
      </c>
    </row>
    <row r="141" customFormat="false" ht="15" hidden="false" customHeight="false" outlineLevel="0" collapsed="false">
      <c r="D141" s="38"/>
      <c r="E141" s="11"/>
      <c r="F141" s="11"/>
      <c r="G141" s="11"/>
      <c r="I141" s="38"/>
      <c r="J141" s="38"/>
      <c r="K141" s="10"/>
      <c r="L141" s="10"/>
      <c r="N141" s="11"/>
      <c r="P141" s="31" t="str">
        <f aca="false">IF($A141="","",IF(IFERROR(IF(INDEX(drops!$I$2:$I$21,MATCH($A141,drops!$A$2:$A$21,0))="","",INDEX(drops!$I$2:$I$21,MATCH($A141,drops!$A$2:$A$21,0))),"")="OK",IFERROR(IF(INDEX(drops!$B$2:$B$21,MATCH($A141,drops!$A$2:$A$21,0))="","",INDEX(drops!$B$2:$B$21,MATCH($A141,drops!$A$2:$A$21,0))),""),""))</f>
        <v/>
      </c>
      <c r="Q141" s="30" t="str">
        <f aca="false">IF($B141="","",IFERROR(IF(INDEX(offices!$N$2:$N$61,MATCH($B141,offices!$A$2:$A$61,0))="","",INDEX(offices!$N$2:$N$61,MATCH($B141,offices!$A$2:$A$61,0))),""))</f>
        <v/>
      </c>
      <c r="R141" s="30" t="str">
        <f aca="false">IF($B141="","",IFERROR(IF(INDEX(offices!$O$2:$O$61,MATCH($B141,offices!$A$2:$A$61,0))="","",INDEX(offices!$O$2:$O$61,MATCH($B141,offices!$A$2:$A$61,0))),""))</f>
        <v/>
      </c>
      <c r="S141" s="30" t="str">
        <f aca="false">IF($B141="","",IFERROR(IF(INDEX(offices!$P$2:$P$61,MATCH($B141,offices!$A$2:$A$61,0))="","",INDEX(offices!$P$2:$P$61,MATCH($B141,offices!$A$2:$A$61,0))),""))</f>
        <v/>
      </c>
      <c r="T141" s="30" t="str">
        <f aca="false">IF($B141="","",IFERROR(IF(INDEX(offices!$Y$2:$Y$61,MATCH($B141,offices!$A$2:$A$61,0))="","",INDEX(offices!$Y$2:$Y$61,MATCH($B141,offices!$A$2:$A$61,0))),""))</f>
        <v/>
      </c>
      <c r="U141" s="30" t="str">
        <f aca="false">IF($B141="","",IFERROR(IF(INDEX(offices!$X$2:$X$61,MATCH($B141,offices!$A$2:$A$61,0))="","",INDEX(offices!$X$2:$X$61,MATCH($B141,offices!$A$2:$A$61,0))),""))</f>
        <v/>
      </c>
      <c r="V141" s="30" t="str">
        <f aca="false">IF($B141="","",IFERROR(IF(INDEX(offices!$U$2:$U$61,MATCH($B141,offices!$A$2:$A$61,0))="","",INDEX(offices!$U$2:$U$61,MATCH($B141,offices!$A$2:$A$61,0))),""))</f>
        <v/>
      </c>
      <c r="W141" s="30" t="str">
        <f aca="false">IF($B141="","",IFERROR(IF(INDEX(offices!$AI$2:$AI$61,MATCH($B141,offices!$A$2:$A$61,0))="","",INDEX(offices!$AI$2:$AI$61,MATCH($B141,offices!$A$2:$A$61,0))),""))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Z$2:$Z$61,MATCH($B141,offices!$A$2:$A$61,0))="","",INDEX(offices!$Z$2:$Z$61,MATCH($B141,offices!$A$2:$A$61,0))),"")="yes",IFERROR(IF(INDEX(offices!$Z$2:$Z$61,MATCH($B141,offices!$A$2:$A$61,0))="","",INDEX(offices!$Z$2:$Z$61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","")&amp;IF(AND($U141="front desk",$X141&lt;&gt;"Y"),"info: front desk not agreed: the owner must take it; ",""))</f>
        <v/>
      </c>
    </row>
    <row r="142" customFormat="false" ht="15" hidden="false" customHeight="false" outlineLevel="0" collapsed="false">
      <c r="D142" s="38"/>
      <c r="E142" s="11"/>
      <c r="F142" s="11"/>
      <c r="G142" s="11"/>
      <c r="I142" s="38"/>
      <c r="J142" s="38"/>
      <c r="K142" s="10"/>
      <c r="L142" s="10"/>
      <c r="N142" s="11"/>
      <c r="P142" s="31" t="str">
        <f aca="false">IF($A142="","",IF(IFERROR(IF(INDEX(drops!$I$2:$I$21,MATCH($A142,drops!$A$2:$A$21,0))="","",INDEX(drops!$I$2:$I$21,MATCH($A142,drops!$A$2:$A$21,0))),"")="OK",IFERROR(IF(INDEX(drops!$B$2:$B$21,MATCH($A142,drops!$A$2:$A$21,0))="","",INDEX(drops!$B$2:$B$21,MATCH($A142,drops!$A$2:$A$21,0))),""),""))</f>
        <v/>
      </c>
      <c r="Q142" s="30" t="str">
        <f aca="false">IF($B142="","",IFERROR(IF(INDEX(offices!$N$2:$N$61,MATCH($B142,offices!$A$2:$A$61,0))="","",INDEX(offices!$N$2:$N$61,MATCH($B142,offices!$A$2:$A$61,0))),""))</f>
        <v/>
      </c>
      <c r="R142" s="30" t="str">
        <f aca="false">IF($B142="","",IFERROR(IF(INDEX(offices!$O$2:$O$61,MATCH($B142,offices!$A$2:$A$61,0))="","",INDEX(offices!$O$2:$O$61,MATCH($B142,offices!$A$2:$A$61,0))),""))</f>
        <v/>
      </c>
      <c r="S142" s="30" t="str">
        <f aca="false">IF($B142="","",IFERROR(IF(INDEX(offices!$P$2:$P$61,MATCH($B142,offices!$A$2:$A$61,0))="","",INDEX(offices!$P$2:$P$61,MATCH($B142,offices!$A$2:$A$61,0))),""))</f>
        <v/>
      </c>
      <c r="T142" s="30" t="str">
        <f aca="false">IF($B142="","",IFERROR(IF(INDEX(offices!$Y$2:$Y$61,MATCH($B142,offices!$A$2:$A$61,0))="","",INDEX(offices!$Y$2:$Y$61,MATCH($B142,offices!$A$2:$A$61,0))),""))</f>
        <v/>
      </c>
      <c r="U142" s="30" t="str">
        <f aca="false">IF($B142="","",IFERROR(IF(INDEX(offices!$X$2:$X$61,MATCH($B142,offices!$A$2:$A$61,0))="","",INDEX(offices!$X$2:$X$61,MATCH($B142,offices!$A$2:$A$61,0))),""))</f>
        <v/>
      </c>
      <c r="V142" s="30" t="str">
        <f aca="false">IF($B142="","",IFERROR(IF(INDEX(offices!$U$2:$U$61,MATCH($B142,offices!$A$2:$A$61,0))="","",INDEX(offices!$U$2:$U$61,MATCH($B142,offices!$A$2:$A$61,0))),""))</f>
        <v/>
      </c>
      <c r="W142" s="30" t="str">
        <f aca="false">IF($B142="","",IFERROR(IF(INDEX(offices!$AI$2:$AI$61,MATCH($B142,offices!$A$2:$A$61,0))="","",INDEX(offices!$AI$2:$AI$61,MATCH($B142,offices!$A$2:$A$61,0))),""))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Z$2:$Z$61,MATCH($B142,offices!$A$2:$A$61,0))="","",INDEX(offices!$Z$2:$Z$61,MATCH($B142,offices!$A$2:$A$61,0))),"")="yes",IFERROR(IF(INDEX(offices!$Z$2:$Z$61,MATCH($B142,offices!$A$2:$A$61,0))="","",INDEX(offices!$Z$2:$Z$61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","")&amp;IF(AND($U142="front desk",$X142&lt;&gt;"Y"),"info: front desk not agreed: the owner must take it; ",""))</f>
        <v/>
      </c>
    </row>
    <row r="143" customFormat="false" ht="15" hidden="false" customHeight="false" outlineLevel="0" collapsed="false">
      <c r="D143" s="38"/>
      <c r="E143" s="11"/>
      <c r="F143" s="11"/>
      <c r="G143" s="11"/>
      <c r="I143" s="38"/>
      <c r="J143" s="38"/>
      <c r="K143" s="10"/>
      <c r="L143" s="10"/>
      <c r="N143" s="11"/>
      <c r="P143" s="31" t="str">
        <f aca="false">IF($A143="","",IF(IFERROR(IF(INDEX(drops!$I$2:$I$21,MATCH($A143,drops!$A$2:$A$21,0))="","",INDEX(drops!$I$2:$I$21,MATCH($A143,drops!$A$2:$A$21,0))),"")="OK",IFERROR(IF(INDEX(drops!$B$2:$B$21,MATCH($A143,drops!$A$2:$A$21,0))="","",INDEX(drops!$B$2:$B$21,MATCH($A143,drops!$A$2:$A$21,0))),""),""))</f>
        <v/>
      </c>
      <c r="Q143" s="30" t="str">
        <f aca="false">IF($B143="","",IFERROR(IF(INDEX(offices!$N$2:$N$61,MATCH($B143,offices!$A$2:$A$61,0))="","",INDEX(offices!$N$2:$N$61,MATCH($B143,offices!$A$2:$A$61,0))),""))</f>
        <v/>
      </c>
      <c r="R143" s="30" t="str">
        <f aca="false">IF($B143="","",IFERROR(IF(INDEX(offices!$O$2:$O$61,MATCH($B143,offices!$A$2:$A$61,0))="","",INDEX(offices!$O$2:$O$61,MATCH($B143,offices!$A$2:$A$61,0))),""))</f>
        <v/>
      </c>
      <c r="S143" s="30" t="str">
        <f aca="false">IF($B143="","",IFERROR(IF(INDEX(offices!$P$2:$P$61,MATCH($B143,offices!$A$2:$A$61,0))="","",INDEX(offices!$P$2:$P$61,MATCH($B143,offices!$A$2:$A$61,0))),""))</f>
        <v/>
      </c>
      <c r="T143" s="30" t="str">
        <f aca="false">IF($B143="","",IFERROR(IF(INDEX(offices!$Y$2:$Y$61,MATCH($B143,offices!$A$2:$A$61,0))="","",INDEX(offices!$Y$2:$Y$61,MATCH($B143,offices!$A$2:$A$61,0))),""))</f>
        <v/>
      </c>
      <c r="U143" s="30" t="str">
        <f aca="false">IF($B143="","",IFERROR(IF(INDEX(offices!$X$2:$X$61,MATCH($B143,offices!$A$2:$A$61,0))="","",INDEX(offices!$X$2:$X$61,MATCH($B143,offices!$A$2:$A$61,0))),""))</f>
        <v/>
      </c>
      <c r="V143" s="30" t="str">
        <f aca="false">IF($B143="","",IFERROR(IF(INDEX(offices!$U$2:$U$61,MATCH($B143,offices!$A$2:$A$61,0))="","",INDEX(offices!$U$2:$U$61,MATCH($B143,offices!$A$2:$A$61,0))),""))</f>
        <v/>
      </c>
      <c r="W143" s="30" t="str">
        <f aca="false">IF($B143="","",IFERROR(IF(INDEX(offices!$AI$2:$AI$61,MATCH($B143,offices!$A$2:$A$61,0))="","",INDEX(offices!$AI$2:$AI$61,MATCH($B143,offices!$A$2:$A$61,0))),""))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Z$2:$Z$61,MATCH($B143,offices!$A$2:$A$61,0))="","",INDEX(offices!$Z$2:$Z$61,MATCH($B143,offices!$A$2:$A$61,0))),"")="yes",IFERROR(IF(INDEX(offices!$Z$2:$Z$61,MATCH($B143,offices!$A$2:$A$61,0))="","",INDEX(offices!$Z$2:$Z$61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","")&amp;IF(AND($U143="front desk",$X143&lt;&gt;"Y"),"info: front desk not agreed: the owner must take it; ",""))</f>
        <v/>
      </c>
    </row>
    <row r="144" customFormat="false" ht="15" hidden="false" customHeight="false" outlineLevel="0" collapsed="false">
      <c r="D144" s="38"/>
      <c r="E144" s="11"/>
      <c r="F144" s="11"/>
      <c r="G144" s="11"/>
      <c r="I144" s="38"/>
      <c r="J144" s="38"/>
      <c r="K144" s="10"/>
      <c r="L144" s="10"/>
      <c r="N144" s="11"/>
      <c r="P144" s="31" t="str">
        <f aca="false">IF($A144="","",IF(IFERROR(IF(INDEX(drops!$I$2:$I$21,MATCH($A144,drops!$A$2:$A$21,0))="","",INDEX(drops!$I$2:$I$21,MATCH($A144,drops!$A$2:$A$21,0))),"")="OK",IFERROR(IF(INDEX(drops!$B$2:$B$21,MATCH($A144,drops!$A$2:$A$21,0))="","",INDEX(drops!$B$2:$B$21,MATCH($A144,drops!$A$2:$A$21,0))),""),""))</f>
        <v/>
      </c>
      <c r="Q144" s="30" t="str">
        <f aca="false">IF($B144="","",IFERROR(IF(INDEX(offices!$N$2:$N$61,MATCH($B144,offices!$A$2:$A$61,0))="","",INDEX(offices!$N$2:$N$61,MATCH($B144,offices!$A$2:$A$61,0))),""))</f>
        <v/>
      </c>
      <c r="R144" s="30" t="str">
        <f aca="false">IF($B144="","",IFERROR(IF(INDEX(offices!$O$2:$O$61,MATCH($B144,offices!$A$2:$A$61,0))="","",INDEX(offices!$O$2:$O$61,MATCH($B144,offices!$A$2:$A$61,0))),""))</f>
        <v/>
      </c>
      <c r="S144" s="30" t="str">
        <f aca="false">IF($B144="","",IFERROR(IF(INDEX(offices!$P$2:$P$61,MATCH($B144,offices!$A$2:$A$61,0))="","",INDEX(offices!$P$2:$P$61,MATCH($B144,offices!$A$2:$A$61,0))),""))</f>
        <v/>
      </c>
      <c r="T144" s="30" t="str">
        <f aca="false">IF($B144="","",IFERROR(IF(INDEX(offices!$Y$2:$Y$61,MATCH($B144,offices!$A$2:$A$61,0))="","",INDEX(offices!$Y$2:$Y$61,MATCH($B144,offices!$A$2:$A$61,0))),""))</f>
        <v/>
      </c>
      <c r="U144" s="30" t="str">
        <f aca="false">IF($B144="","",IFERROR(IF(INDEX(offices!$X$2:$X$61,MATCH($B144,offices!$A$2:$A$61,0))="","",INDEX(offices!$X$2:$X$61,MATCH($B144,offices!$A$2:$A$61,0))),""))</f>
        <v/>
      </c>
      <c r="V144" s="30" t="str">
        <f aca="false">IF($B144="","",IFERROR(IF(INDEX(offices!$U$2:$U$61,MATCH($B144,offices!$A$2:$A$61,0))="","",INDEX(offices!$U$2:$U$61,MATCH($B144,offices!$A$2:$A$61,0))),""))</f>
        <v/>
      </c>
      <c r="W144" s="30" t="str">
        <f aca="false">IF($B144="","",IFERROR(IF(INDEX(offices!$AI$2:$AI$61,MATCH($B144,offices!$A$2:$A$61,0))="","",INDEX(offices!$AI$2:$AI$61,MATCH($B144,offices!$A$2:$A$61,0))),""))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Z$2:$Z$61,MATCH($B144,offices!$A$2:$A$61,0))="","",INDEX(offices!$Z$2:$Z$61,MATCH($B144,offices!$A$2:$A$61,0))),"")="yes",IFERROR(IF(INDEX(offices!$Z$2:$Z$61,MATCH($B144,offices!$A$2:$A$61,0))="","",INDEX(offices!$Z$2:$Z$61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","")&amp;IF(AND($U144="front desk",$X144&lt;&gt;"Y"),"info: front desk not agreed: the owner must take it; ",""))</f>
        <v/>
      </c>
    </row>
    <row r="145" customFormat="false" ht="15" hidden="false" customHeight="false" outlineLevel="0" collapsed="false">
      <c r="D145" s="38"/>
      <c r="E145" s="11"/>
      <c r="F145" s="11"/>
      <c r="G145" s="11"/>
      <c r="I145" s="38"/>
      <c r="J145" s="38"/>
      <c r="K145" s="10"/>
      <c r="L145" s="10"/>
      <c r="N145" s="11"/>
      <c r="P145" s="31" t="str">
        <f aca="false">IF($A145="","",IF(IFERROR(IF(INDEX(drops!$I$2:$I$21,MATCH($A145,drops!$A$2:$A$21,0))="","",INDEX(drops!$I$2:$I$21,MATCH($A145,drops!$A$2:$A$21,0))),"")="OK",IFERROR(IF(INDEX(drops!$B$2:$B$21,MATCH($A145,drops!$A$2:$A$21,0))="","",INDEX(drops!$B$2:$B$21,MATCH($A145,drops!$A$2:$A$21,0))),""),""))</f>
        <v/>
      </c>
      <c r="Q145" s="30" t="str">
        <f aca="false">IF($B145="","",IFERROR(IF(INDEX(offices!$N$2:$N$61,MATCH($B145,offices!$A$2:$A$61,0))="","",INDEX(offices!$N$2:$N$61,MATCH($B145,offices!$A$2:$A$61,0))),""))</f>
        <v/>
      </c>
      <c r="R145" s="30" t="str">
        <f aca="false">IF($B145="","",IFERROR(IF(INDEX(offices!$O$2:$O$61,MATCH($B145,offices!$A$2:$A$61,0))="","",INDEX(offices!$O$2:$O$61,MATCH($B145,offices!$A$2:$A$61,0))),""))</f>
        <v/>
      </c>
      <c r="S145" s="30" t="str">
        <f aca="false">IF($B145="","",IFERROR(IF(INDEX(offices!$P$2:$P$61,MATCH($B145,offices!$A$2:$A$61,0))="","",INDEX(offices!$P$2:$P$61,MATCH($B145,offices!$A$2:$A$61,0))),""))</f>
        <v/>
      </c>
      <c r="T145" s="30" t="str">
        <f aca="false">IF($B145="","",IFERROR(IF(INDEX(offices!$Y$2:$Y$61,MATCH($B145,offices!$A$2:$A$61,0))="","",INDEX(offices!$Y$2:$Y$61,MATCH($B145,offices!$A$2:$A$61,0))),""))</f>
        <v/>
      </c>
      <c r="U145" s="30" t="str">
        <f aca="false">IF($B145="","",IFERROR(IF(INDEX(offices!$X$2:$X$61,MATCH($B145,offices!$A$2:$A$61,0))="","",INDEX(offices!$X$2:$X$61,MATCH($B145,offices!$A$2:$A$61,0))),""))</f>
        <v/>
      </c>
      <c r="V145" s="30" t="str">
        <f aca="false">IF($B145="","",IFERROR(IF(INDEX(offices!$U$2:$U$61,MATCH($B145,offices!$A$2:$A$61,0))="","",INDEX(offices!$U$2:$U$61,MATCH($B145,offices!$A$2:$A$61,0))),""))</f>
        <v/>
      </c>
      <c r="W145" s="30" t="str">
        <f aca="false">IF($B145="","",IFERROR(IF(INDEX(offices!$AI$2:$AI$61,MATCH($B145,offices!$A$2:$A$61,0))="","",INDEX(offices!$AI$2:$AI$61,MATCH($B145,offices!$A$2:$A$61,0))),""))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Z$2:$Z$61,MATCH($B145,offices!$A$2:$A$61,0))="","",INDEX(offices!$Z$2:$Z$61,MATCH($B145,offices!$A$2:$A$61,0))),"")="yes",IFERROR(IF(INDEX(offices!$Z$2:$Z$61,MATCH($B145,offices!$A$2:$A$61,0))="","",INDEX(offices!$Z$2:$Z$61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","")&amp;IF(AND($U145="front desk",$X145&lt;&gt;"Y"),"info: front desk not agreed: the owner must take it; ",""))</f>
        <v/>
      </c>
    </row>
    <row r="146" customFormat="false" ht="15" hidden="false" customHeight="false" outlineLevel="0" collapsed="false">
      <c r="D146" s="38"/>
      <c r="E146" s="11"/>
      <c r="F146" s="11"/>
      <c r="G146" s="11"/>
      <c r="I146" s="38"/>
      <c r="J146" s="38"/>
      <c r="K146" s="10"/>
      <c r="L146" s="10"/>
      <c r="N146" s="11"/>
      <c r="P146" s="31" t="str">
        <f aca="false">IF($A146="","",IF(IFERROR(IF(INDEX(drops!$I$2:$I$21,MATCH($A146,drops!$A$2:$A$21,0))="","",INDEX(drops!$I$2:$I$21,MATCH($A146,drops!$A$2:$A$21,0))),"")="OK",IFERROR(IF(INDEX(drops!$B$2:$B$21,MATCH($A146,drops!$A$2:$A$21,0))="","",INDEX(drops!$B$2:$B$21,MATCH($A146,drops!$A$2:$A$21,0))),""),""))</f>
        <v/>
      </c>
      <c r="Q146" s="30" t="str">
        <f aca="false">IF($B146="","",IFERROR(IF(INDEX(offices!$N$2:$N$61,MATCH($B146,offices!$A$2:$A$61,0))="","",INDEX(offices!$N$2:$N$61,MATCH($B146,offices!$A$2:$A$61,0))),""))</f>
        <v/>
      </c>
      <c r="R146" s="30" t="str">
        <f aca="false">IF($B146="","",IFERROR(IF(INDEX(offices!$O$2:$O$61,MATCH($B146,offices!$A$2:$A$61,0))="","",INDEX(offices!$O$2:$O$61,MATCH($B146,offices!$A$2:$A$61,0))),""))</f>
        <v/>
      </c>
      <c r="S146" s="30" t="str">
        <f aca="false">IF($B146="","",IFERROR(IF(INDEX(offices!$P$2:$P$61,MATCH($B146,offices!$A$2:$A$61,0))="","",INDEX(offices!$P$2:$P$61,MATCH($B146,offices!$A$2:$A$61,0))),""))</f>
        <v/>
      </c>
      <c r="T146" s="30" t="str">
        <f aca="false">IF($B146="","",IFERROR(IF(INDEX(offices!$Y$2:$Y$61,MATCH($B146,offices!$A$2:$A$61,0))="","",INDEX(offices!$Y$2:$Y$61,MATCH($B146,offices!$A$2:$A$61,0))),""))</f>
        <v/>
      </c>
      <c r="U146" s="30" t="str">
        <f aca="false">IF($B146="","",IFERROR(IF(INDEX(offices!$X$2:$X$61,MATCH($B146,offices!$A$2:$A$61,0))="","",INDEX(offices!$X$2:$X$61,MATCH($B146,offices!$A$2:$A$61,0))),""))</f>
        <v/>
      </c>
      <c r="V146" s="30" t="str">
        <f aca="false">IF($B146="","",IFERROR(IF(INDEX(offices!$U$2:$U$61,MATCH($B146,offices!$A$2:$A$61,0))="","",INDEX(offices!$U$2:$U$61,MATCH($B146,offices!$A$2:$A$61,0))),""))</f>
        <v/>
      </c>
      <c r="W146" s="30" t="str">
        <f aca="false">IF($B146="","",IFERROR(IF(INDEX(offices!$AI$2:$AI$61,MATCH($B146,offices!$A$2:$A$61,0))="","",INDEX(offices!$AI$2:$AI$61,MATCH($B146,offices!$A$2:$A$61,0))),""))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Z$2:$Z$61,MATCH($B146,offices!$A$2:$A$61,0))="","",INDEX(offices!$Z$2:$Z$61,MATCH($B146,offices!$A$2:$A$61,0))),"")="yes",IFERROR(IF(INDEX(offices!$Z$2:$Z$61,MATCH($B146,offices!$A$2:$A$61,0))="","",INDEX(offices!$Z$2:$Z$61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","")&amp;IF(AND($U146="front desk",$X146&lt;&gt;"Y"),"info: front desk not agreed: the owner must take it; ",""))</f>
        <v/>
      </c>
    </row>
    <row r="147" customFormat="false" ht="15" hidden="false" customHeight="false" outlineLevel="0" collapsed="false">
      <c r="D147" s="38"/>
      <c r="E147" s="11"/>
      <c r="F147" s="11"/>
      <c r="G147" s="11"/>
      <c r="I147" s="38"/>
      <c r="J147" s="38"/>
      <c r="K147" s="10"/>
      <c r="L147" s="10"/>
      <c r="N147" s="11"/>
      <c r="P147" s="31" t="str">
        <f aca="false">IF($A147="","",IF(IFERROR(IF(INDEX(drops!$I$2:$I$21,MATCH($A147,drops!$A$2:$A$21,0))="","",INDEX(drops!$I$2:$I$21,MATCH($A147,drops!$A$2:$A$21,0))),"")="OK",IFERROR(IF(INDEX(drops!$B$2:$B$21,MATCH($A147,drops!$A$2:$A$21,0))="","",INDEX(drops!$B$2:$B$21,MATCH($A147,drops!$A$2:$A$21,0))),""),""))</f>
        <v/>
      </c>
      <c r="Q147" s="30" t="str">
        <f aca="false">IF($B147="","",IFERROR(IF(INDEX(offices!$N$2:$N$61,MATCH($B147,offices!$A$2:$A$61,0))="","",INDEX(offices!$N$2:$N$61,MATCH($B147,offices!$A$2:$A$61,0))),""))</f>
        <v/>
      </c>
      <c r="R147" s="30" t="str">
        <f aca="false">IF($B147="","",IFERROR(IF(INDEX(offices!$O$2:$O$61,MATCH($B147,offices!$A$2:$A$61,0))="","",INDEX(offices!$O$2:$O$61,MATCH($B147,offices!$A$2:$A$61,0))),""))</f>
        <v/>
      </c>
      <c r="S147" s="30" t="str">
        <f aca="false">IF($B147="","",IFERROR(IF(INDEX(offices!$P$2:$P$61,MATCH($B147,offices!$A$2:$A$61,0))="","",INDEX(offices!$P$2:$P$61,MATCH($B147,offices!$A$2:$A$61,0))),""))</f>
        <v/>
      </c>
      <c r="T147" s="30" t="str">
        <f aca="false">IF($B147="","",IFERROR(IF(INDEX(offices!$Y$2:$Y$61,MATCH($B147,offices!$A$2:$A$61,0))="","",INDEX(offices!$Y$2:$Y$61,MATCH($B147,offices!$A$2:$A$61,0))),""))</f>
        <v/>
      </c>
      <c r="U147" s="30" t="str">
        <f aca="false">IF($B147="","",IFERROR(IF(INDEX(offices!$X$2:$X$61,MATCH($B147,offices!$A$2:$A$61,0))="","",INDEX(offices!$X$2:$X$61,MATCH($B147,offices!$A$2:$A$61,0))),""))</f>
        <v/>
      </c>
      <c r="V147" s="30" t="str">
        <f aca="false">IF($B147="","",IFERROR(IF(INDEX(offices!$U$2:$U$61,MATCH($B147,offices!$A$2:$A$61,0))="","",INDEX(offices!$U$2:$U$61,MATCH($B147,offices!$A$2:$A$61,0))),""))</f>
        <v/>
      </c>
      <c r="W147" s="30" t="str">
        <f aca="false">IF($B147="","",IFERROR(IF(INDEX(offices!$AI$2:$AI$61,MATCH($B147,offices!$A$2:$A$61,0))="","",INDEX(offices!$AI$2:$AI$61,MATCH($B147,offices!$A$2:$A$61,0))),""))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Z$2:$Z$61,MATCH($B147,offices!$A$2:$A$61,0))="","",INDEX(offices!$Z$2:$Z$61,MATCH($B147,offices!$A$2:$A$61,0))),"")="yes",IFERROR(IF(INDEX(offices!$Z$2:$Z$61,MATCH($B147,offices!$A$2:$A$61,0))="","",INDEX(offices!$Z$2:$Z$61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","")&amp;IF(AND($U147="front desk",$X147&lt;&gt;"Y"),"info: front desk not agreed: the owner must take it; ",""))</f>
        <v/>
      </c>
    </row>
    <row r="148" customFormat="false" ht="15" hidden="false" customHeight="false" outlineLevel="0" collapsed="false">
      <c r="D148" s="38"/>
      <c r="E148" s="11"/>
      <c r="F148" s="11"/>
      <c r="G148" s="11"/>
      <c r="I148" s="38"/>
      <c r="J148" s="38"/>
      <c r="K148" s="10"/>
      <c r="L148" s="10"/>
      <c r="N148" s="11"/>
      <c r="P148" s="31" t="str">
        <f aca="false">IF($A148="","",IF(IFERROR(IF(INDEX(drops!$I$2:$I$21,MATCH($A148,drops!$A$2:$A$21,0))="","",INDEX(drops!$I$2:$I$21,MATCH($A148,drops!$A$2:$A$21,0))),"")="OK",IFERROR(IF(INDEX(drops!$B$2:$B$21,MATCH($A148,drops!$A$2:$A$21,0))="","",INDEX(drops!$B$2:$B$21,MATCH($A148,drops!$A$2:$A$21,0))),""),""))</f>
        <v/>
      </c>
      <c r="Q148" s="30" t="str">
        <f aca="false">IF($B148="","",IFERROR(IF(INDEX(offices!$N$2:$N$61,MATCH($B148,offices!$A$2:$A$61,0))="","",INDEX(offices!$N$2:$N$61,MATCH($B148,offices!$A$2:$A$61,0))),""))</f>
        <v/>
      </c>
      <c r="R148" s="30" t="str">
        <f aca="false">IF($B148="","",IFERROR(IF(INDEX(offices!$O$2:$O$61,MATCH($B148,offices!$A$2:$A$61,0))="","",INDEX(offices!$O$2:$O$61,MATCH($B148,offices!$A$2:$A$61,0))),""))</f>
        <v/>
      </c>
      <c r="S148" s="30" t="str">
        <f aca="false">IF($B148="","",IFERROR(IF(INDEX(offices!$P$2:$P$61,MATCH($B148,offices!$A$2:$A$61,0))="","",INDEX(offices!$P$2:$P$61,MATCH($B148,offices!$A$2:$A$61,0))),""))</f>
        <v/>
      </c>
      <c r="T148" s="30" t="str">
        <f aca="false">IF($B148="","",IFERROR(IF(INDEX(offices!$Y$2:$Y$61,MATCH($B148,offices!$A$2:$A$61,0))="","",INDEX(offices!$Y$2:$Y$61,MATCH($B148,offices!$A$2:$A$61,0))),""))</f>
        <v/>
      </c>
      <c r="U148" s="30" t="str">
        <f aca="false">IF($B148="","",IFERROR(IF(INDEX(offices!$X$2:$X$61,MATCH($B148,offices!$A$2:$A$61,0))="","",INDEX(offices!$X$2:$X$61,MATCH($B148,offices!$A$2:$A$61,0))),""))</f>
        <v/>
      </c>
      <c r="V148" s="30" t="str">
        <f aca="false">IF($B148="","",IFERROR(IF(INDEX(offices!$U$2:$U$61,MATCH($B148,offices!$A$2:$A$61,0))="","",INDEX(offices!$U$2:$U$61,MATCH($B148,offices!$A$2:$A$61,0))),""))</f>
        <v/>
      </c>
      <c r="W148" s="30" t="str">
        <f aca="false">IF($B148="","",IFERROR(IF(INDEX(offices!$AI$2:$AI$61,MATCH($B148,offices!$A$2:$A$61,0))="","",INDEX(offices!$AI$2:$AI$61,MATCH($B148,offices!$A$2:$A$61,0))),""))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Z$2:$Z$61,MATCH($B148,offices!$A$2:$A$61,0))="","",INDEX(offices!$Z$2:$Z$61,MATCH($B148,offices!$A$2:$A$61,0))),"")="yes",IFERROR(IF(INDEX(offices!$Z$2:$Z$61,MATCH($B148,offices!$A$2:$A$61,0))="","",INDEX(offices!$Z$2:$Z$61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","")&amp;IF(AND($U148="front desk",$X148&lt;&gt;"Y"),"info: front desk not agreed: the owner must take it; ",""))</f>
        <v/>
      </c>
    </row>
    <row r="149" customFormat="false" ht="15" hidden="false" customHeight="false" outlineLevel="0" collapsed="false">
      <c r="D149" s="38"/>
      <c r="E149" s="11"/>
      <c r="F149" s="11"/>
      <c r="G149" s="11"/>
      <c r="I149" s="38"/>
      <c r="J149" s="38"/>
      <c r="K149" s="10"/>
      <c r="L149" s="10"/>
      <c r="N149" s="11"/>
      <c r="P149" s="31" t="str">
        <f aca="false">IF($A149="","",IF(IFERROR(IF(INDEX(drops!$I$2:$I$21,MATCH($A149,drops!$A$2:$A$21,0))="","",INDEX(drops!$I$2:$I$21,MATCH($A149,drops!$A$2:$A$21,0))),"")="OK",IFERROR(IF(INDEX(drops!$B$2:$B$21,MATCH($A149,drops!$A$2:$A$21,0))="","",INDEX(drops!$B$2:$B$21,MATCH($A149,drops!$A$2:$A$21,0))),""),""))</f>
        <v/>
      </c>
      <c r="Q149" s="30" t="str">
        <f aca="false">IF($B149="","",IFERROR(IF(INDEX(offices!$N$2:$N$61,MATCH($B149,offices!$A$2:$A$61,0))="","",INDEX(offices!$N$2:$N$61,MATCH($B149,offices!$A$2:$A$61,0))),""))</f>
        <v/>
      </c>
      <c r="R149" s="30" t="str">
        <f aca="false">IF($B149="","",IFERROR(IF(INDEX(offices!$O$2:$O$61,MATCH($B149,offices!$A$2:$A$61,0))="","",INDEX(offices!$O$2:$O$61,MATCH($B149,offices!$A$2:$A$61,0))),""))</f>
        <v/>
      </c>
      <c r="S149" s="30" t="str">
        <f aca="false">IF($B149="","",IFERROR(IF(INDEX(offices!$P$2:$P$61,MATCH($B149,offices!$A$2:$A$61,0))="","",INDEX(offices!$P$2:$P$61,MATCH($B149,offices!$A$2:$A$61,0))),""))</f>
        <v/>
      </c>
      <c r="T149" s="30" t="str">
        <f aca="false">IF($B149="","",IFERROR(IF(INDEX(offices!$Y$2:$Y$61,MATCH($B149,offices!$A$2:$A$61,0))="","",INDEX(offices!$Y$2:$Y$61,MATCH($B149,offices!$A$2:$A$61,0))),""))</f>
        <v/>
      </c>
      <c r="U149" s="30" t="str">
        <f aca="false">IF($B149="","",IFERROR(IF(INDEX(offices!$X$2:$X$61,MATCH($B149,offices!$A$2:$A$61,0))="","",INDEX(offices!$X$2:$X$61,MATCH($B149,offices!$A$2:$A$61,0))),""))</f>
        <v/>
      </c>
      <c r="V149" s="30" t="str">
        <f aca="false">IF($B149="","",IFERROR(IF(INDEX(offices!$U$2:$U$61,MATCH($B149,offices!$A$2:$A$61,0))="","",INDEX(offices!$U$2:$U$61,MATCH($B149,offices!$A$2:$A$61,0))),""))</f>
        <v/>
      </c>
      <c r="W149" s="30" t="str">
        <f aca="false">IF($B149="","",IFERROR(IF(INDEX(offices!$AI$2:$AI$61,MATCH($B149,offices!$A$2:$A$61,0))="","",INDEX(offices!$AI$2:$AI$61,MATCH($B149,offices!$A$2:$A$61,0))),""))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Z$2:$Z$61,MATCH($B149,offices!$A$2:$A$61,0))="","",INDEX(offices!$Z$2:$Z$61,MATCH($B149,offices!$A$2:$A$61,0))),"")="yes",IFERROR(IF(INDEX(offices!$Z$2:$Z$61,MATCH($B149,offices!$A$2:$A$61,0))="","",INDEX(offices!$Z$2:$Z$61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","")&amp;IF(AND($U149="front desk",$X149&lt;&gt;"Y"),"info: front desk not agreed: the owner must take it; ",""))</f>
        <v/>
      </c>
    </row>
    <row r="150" customFormat="false" ht="15" hidden="false" customHeight="false" outlineLevel="0" collapsed="false">
      <c r="D150" s="38"/>
      <c r="E150" s="11"/>
      <c r="F150" s="11"/>
      <c r="G150" s="11"/>
      <c r="I150" s="38"/>
      <c r="J150" s="38"/>
      <c r="K150" s="10"/>
      <c r="L150" s="10"/>
      <c r="N150" s="11"/>
      <c r="P150" s="31" t="str">
        <f aca="false">IF($A150="","",IF(IFERROR(IF(INDEX(drops!$I$2:$I$21,MATCH($A150,drops!$A$2:$A$21,0))="","",INDEX(drops!$I$2:$I$21,MATCH($A150,drops!$A$2:$A$21,0))),"")="OK",IFERROR(IF(INDEX(drops!$B$2:$B$21,MATCH($A150,drops!$A$2:$A$21,0))="","",INDEX(drops!$B$2:$B$21,MATCH($A150,drops!$A$2:$A$21,0))),""),""))</f>
        <v/>
      </c>
      <c r="Q150" s="30" t="str">
        <f aca="false">IF($B150="","",IFERROR(IF(INDEX(offices!$N$2:$N$61,MATCH($B150,offices!$A$2:$A$61,0))="","",INDEX(offices!$N$2:$N$61,MATCH($B150,offices!$A$2:$A$61,0))),""))</f>
        <v/>
      </c>
      <c r="R150" s="30" t="str">
        <f aca="false">IF($B150="","",IFERROR(IF(INDEX(offices!$O$2:$O$61,MATCH($B150,offices!$A$2:$A$61,0))="","",INDEX(offices!$O$2:$O$61,MATCH($B150,offices!$A$2:$A$61,0))),""))</f>
        <v/>
      </c>
      <c r="S150" s="30" t="str">
        <f aca="false">IF($B150="","",IFERROR(IF(INDEX(offices!$P$2:$P$61,MATCH($B150,offices!$A$2:$A$61,0))="","",INDEX(offices!$P$2:$P$61,MATCH($B150,offices!$A$2:$A$61,0))),""))</f>
        <v/>
      </c>
      <c r="T150" s="30" t="str">
        <f aca="false">IF($B150="","",IFERROR(IF(INDEX(offices!$Y$2:$Y$61,MATCH($B150,offices!$A$2:$A$61,0))="","",INDEX(offices!$Y$2:$Y$61,MATCH($B150,offices!$A$2:$A$61,0))),""))</f>
        <v/>
      </c>
      <c r="U150" s="30" t="str">
        <f aca="false">IF($B150="","",IFERROR(IF(INDEX(offices!$X$2:$X$61,MATCH($B150,offices!$A$2:$A$61,0))="","",INDEX(offices!$X$2:$X$61,MATCH($B150,offices!$A$2:$A$61,0))),""))</f>
        <v/>
      </c>
      <c r="V150" s="30" t="str">
        <f aca="false">IF($B150="","",IFERROR(IF(INDEX(offices!$U$2:$U$61,MATCH($B150,offices!$A$2:$A$61,0))="","",INDEX(offices!$U$2:$U$61,MATCH($B150,offices!$A$2:$A$61,0))),""))</f>
        <v/>
      </c>
      <c r="W150" s="30" t="str">
        <f aca="false">IF($B150="","",IFERROR(IF(INDEX(offices!$AI$2:$AI$61,MATCH($B150,offices!$A$2:$A$61,0))="","",INDEX(offices!$AI$2:$AI$61,MATCH($B150,offices!$A$2:$A$61,0))),""))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Z$2:$Z$61,MATCH($B150,offices!$A$2:$A$61,0))="","",INDEX(offices!$Z$2:$Z$61,MATCH($B150,offices!$A$2:$A$61,0))),"")="yes",IFERROR(IF(INDEX(offices!$Z$2:$Z$61,MATCH($B150,offices!$A$2:$A$61,0))="","",INDEX(offices!$Z$2:$Z$61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","")&amp;IF(AND($U150="front desk",$X150&lt;&gt;"Y"),"info: front desk not agreed: the owner must take it; ",""))</f>
        <v/>
      </c>
    </row>
    <row r="151" customFormat="false" ht="15" hidden="false" customHeight="false" outlineLevel="0" collapsed="false">
      <c r="D151" s="38"/>
      <c r="E151" s="11"/>
      <c r="F151" s="11"/>
      <c r="G151" s="11"/>
      <c r="I151" s="38"/>
      <c r="J151" s="38"/>
      <c r="K151" s="10"/>
      <c r="L151" s="10"/>
      <c r="N151" s="11"/>
      <c r="P151" s="31" t="str">
        <f aca="false">IF($A151="","",IF(IFERROR(IF(INDEX(drops!$I$2:$I$21,MATCH($A151,drops!$A$2:$A$21,0))="","",INDEX(drops!$I$2:$I$21,MATCH($A151,drops!$A$2:$A$21,0))),"")="OK",IFERROR(IF(INDEX(drops!$B$2:$B$21,MATCH($A151,drops!$A$2:$A$21,0))="","",INDEX(drops!$B$2:$B$21,MATCH($A151,drops!$A$2:$A$21,0))),""),""))</f>
        <v/>
      </c>
      <c r="Q151" s="30" t="str">
        <f aca="false">IF($B151="","",IFERROR(IF(INDEX(offices!$N$2:$N$61,MATCH($B151,offices!$A$2:$A$61,0))="","",INDEX(offices!$N$2:$N$61,MATCH($B151,offices!$A$2:$A$61,0))),""))</f>
        <v/>
      </c>
      <c r="R151" s="30" t="str">
        <f aca="false">IF($B151="","",IFERROR(IF(INDEX(offices!$O$2:$O$61,MATCH($B151,offices!$A$2:$A$61,0))="","",INDEX(offices!$O$2:$O$61,MATCH($B151,offices!$A$2:$A$61,0))),""))</f>
        <v/>
      </c>
      <c r="S151" s="30" t="str">
        <f aca="false">IF($B151="","",IFERROR(IF(INDEX(offices!$P$2:$P$61,MATCH($B151,offices!$A$2:$A$61,0))="","",INDEX(offices!$P$2:$P$61,MATCH($B151,offices!$A$2:$A$61,0))),""))</f>
        <v/>
      </c>
      <c r="T151" s="30" t="str">
        <f aca="false">IF($B151="","",IFERROR(IF(INDEX(offices!$Y$2:$Y$61,MATCH($B151,offices!$A$2:$A$61,0))="","",INDEX(offices!$Y$2:$Y$61,MATCH($B151,offices!$A$2:$A$61,0))),""))</f>
        <v/>
      </c>
      <c r="U151" s="30" t="str">
        <f aca="false">IF($B151="","",IFERROR(IF(INDEX(offices!$X$2:$X$61,MATCH($B151,offices!$A$2:$A$61,0))="","",INDEX(offices!$X$2:$X$61,MATCH($B151,offices!$A$2:$A$61,0))),""))</f>
        <v/>
      </c>
      <c r="V151" s="30" t="str">
        <f aca="false">IF($B151="","",IFERROR(IF(INDEX(offices!$U$2:$U$61,MATCH($B151,offices!$A$2:$A$61,0))="","",INDEX(offices!$U$2:$U$61,MATCH($B151,offices!$A$2:$A$61,0))),""))</f>
        <v/>
      </c>
      <c r="W151" s="30" t="str">
        <f aca="false">IF($B151="","",IFERROR(IF(INDEX(offices!$AI$2:$AI$61,MATCH($B151,offices!$A$2:$A$61,0))="","",INDEX(offices!$AI$2:$AI$61,MATCH($B151,offices!$A$2:$A$61,0))),""))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Z$2:$Z$61,MATCH($B151,offices!$A$2:$A$61,0))="","",INDEX(offices!$Z$2:$Z$61,MATCH($B151,offices!$A$2:$A$61,0))),"")="yes",IFERROR(IF(INDEX(offices!$Z$2:$Z$61,MATCH($B151,offices!$A$2:$A$61,0))="","",INDEX(offices!$Z$2:$Z$61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","")&amp;IF(AND($U151="front desk",$X151&lt;&gt;"Y"),"info: front desk not agreed: the owner must take it; ",""))</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75</v>
      </c>
      <c r="B1" s="28" t="s">
        <v>676</v>
      </c>
      <c r="C1" s="28" t="s">
        <v>346</v>
      </c>
      <c r="D1" s="28" t="s">
        <v>561</v>
      </c>
      <c r="E1" s="28" t="s">
        <v>677</v>
      </c>
      <c r="F1" s="28" t="s">
        <v>678</v>
      </c>
      <c r="G1" s="28" t="s">
        <v>679</v>
      </c>
      <c r="H1" s="28" t="s">
        <v>680</v>
      </c>
      <c r="I1" s="28" t="s">
        <v>681</v>
      </c>
      <c r="J1" s="28" t="s">
        <v>682</v>
      </c>
      <c r="K1" s="28" t="s">
        <v>175</v>
      </c>
      <c r="L1" s="29" t="s">
        <v>297</v>
      </c>
      <c r="M1" s="29" t="s">
        <v>683</v>
      </c>
      <c r="N1" s="29" t="s">
        <v>684</v>
      </c>
      <c r="O1" s="29" t="s">
        <v>685</v>
      </c>
      <c r="P1" s="29" t="s">
        <v>686</v>
      </c>
      <c r="Q1" s="29" t="s">
        <v>118</v>
      </c>
      <c r="R1" s="29" t="s">
        <v>173</v>
      </c>
    </row>
    <row r="2" customFormat="false" ht="15" hidden="false" customHeight="false" outlineLevel="0" collapsed="false">
      <c r="A2" s="11" t="n">
        <v>46384</v>
      </c>
      <c r="B2" s="38" t="n">
        <v>0.638888888888889</v>
      </c>
      <c r="C2" s="10" t="s">
        <v>459</v>
      </c>
      <c r="E2" s="10" t="s">
        <v>601</v>
      </c>
      <c r="G2" s="0" t="n">
        <v>276</v>
      </c>
      <c r="H2" s="10" t="s">
        <v>687</v>
      </c>
      <c r="I2" s="11" t="n">
        <v>46568</v>
      </c>
      <c r="J2" s="10" t="s">
        <v>688</v>
      </c>
      <c r="K2" s="10" t="s">
        <v>689</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478</v>
      </c>
      <c r="E3" s="10" t="s">
        <v>601</v>
      </c>
      <c r="G3" s="0" t="n">
        <v>263</v>
      </c>
      <c r="H3" s="10" t="s">
        <v>690</v>
      </c>
      <c r="I3" s="11" t="n">
        <v>46631</v>
      </c>
      <c r="J3" s="10" t="s">
        <v>688</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478</v>
      </c>
      <c r="E4" s="10" t="s">
        <v>601</v>
      </c>
      <c r="G4" s="0" t="n">
        <v>12</v>
      </c>
      <c r="H4" s="10" t="s">
        <v>691</v>
      </c>
      <c r="I4" s="11" t="n">
        <v>46447</v>
      </c>
      <c r="J4" s="10" t="s">
        <v>688</v>
      </c>
      <c r="K4" s="10" t="s">
        <v>692</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478</v>
      </c>
      <c r="E5" s="10" t="s">
        <v>693</v>
      </c>
      <c r="G5" s="0" t="n">
        <v>12</v>
      </c>
      <c r="H5" s="10" t="s">
        <v>691</v>
      </c>
      <c r="I5" s="11"/>
      <c r="J5" s="10"/>
      <c r="K5" s="10" t="s">
        <v>694</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478</v>
      </c>
      <c r="E6" s="10" t="s">
        <v>693</v>
      </c>
      <c r="G6" s="0" t="n">
        <v>4</v>
      </c>
      <c r="H6" s="10" t="s">
        <v>690</v>
      </c>
      <c r="I6" s="11"/>
      <c r="J6" s="10"/>
      <c r="K6" s="10" t="s">
        <v>695</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459</v>
      </c>
      <c r="D7" s="10" t="s">
        <v>594</v>
      </c>
      <c r="E7" s="10" t="s">
        <v>103</v>
      </c>
      <c r="G7" s="0" t="n">
        <v>40</v>
      </c>
      <c r="I7" s="11"/>
      <c r="J7" s="10" t="s">
        <v>688</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459</v>
      </c>
      <c r="D8" s="10" t="s">
        <v>597</v>
      </c>
      <c r="E8" s="10" t="s">
        <v>103</v>
      </c>
      <c r="G8" s="0" t="n">
        <v>40</v>
      </c>
      <c r="I8" s="11"/>
      <c r="J8" s="10" t="s">
        <v>688</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459</v>
      </c>
      <c r="D9" s="10" t="s">
        <v>599</v>
      </c>
      <c r="E9" s="10" t="s">
        <v>103</v>
      </c>
      <c r="G9" s="0" t="n">
        <v>50</v>
      </c>
      <c r="I9" s="11"/>
      <c r="J9" s="10" t="s">
        <v>688</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459</v>
      </c>
      <c r="D10" s="10" t="s">
        <v>602</v>
      </c>
      <c r="E10" s="10" t="s">
        <v>103</v>
      </c>
      <c r="G10" s="0" t="n">
        <v>50</v>
      </c>
      <c r="I10" s="11"/>
      <c r="J10" s="10" t="s">
        <v>688</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459</v>
      </c>
      <c r="D11" s="10" t="s">
        <v>604</v>
      </c>
      <c r="E11" s="10" t="s">
        <v>103</v>
      </c>
      <c r="G11" s="0" t="n">
        <v>70</v>
      </c>
      <c r="I11" s="11"/>
      <c r="J11" s="10" t="s">
        <v>688</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478</v>
      </c>
      <c r="D12" s="10" t="s">
        <v>594</v>
      </c>
      <c r="E12" s="10" t="s">
        <v>103</v>
      </c>
      <c r="G12" s="0" t="n">
        <v>40</v>
      </c>
      <c r="I12" s="11"/>
      <c r="J12" s="10" t="s">
        <v>688</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478</v>
      </c>
      <c r="D13" s="10" t="s">
        <v>597</v>
      </c>
      <c r="E13" s="10" t="s">
        <v>103</v>
      </c>
      <c r="G13" s="0" t="n">
        <v>40</v>
      </c>
      <c r="I13" s="11"/>
      <c r="J13" s="10" t="s">
        <v>688</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478</v>
      </c>
      <c r="D14" s="10" t="s">
        <v>599</v>
      </c>
      <c r="E14" s="10" t="s">
        <v>103</v>
      </c>
      <c r="G14" s="0" t="n">
        <v>50</v>
      </c>
      <c r="I14" s="11"/>
      <c r="J14" s="10" t="s">
        <v>688</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478</v>
      </c>
      <c r="D15" s="10" t="s">
        <v>602</v>
      </c>
      <c r="E15" s="10" t="s">
        <v>103</v>
      </c>
      <c r="G15" s="0" t="n">
        <v>50</v>
      </c>
      <c r="I15" s="11"/>
      <c r="J15" s="10" t="s">
        <v>688</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478</v>
      </c>
      <c r="D16" s="10" t="s">
        <v>604</v>
      </c>
      <c r="E16" s="10" t="s">
        <v>103</v>
      </c>
      <c r="G16" s="0" t="n">
        <v>70</v>
      </c>
      <c r="I16" s="11"/>
      <c r="J16" s="10" t="s">
        <v>688</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459</v>
      </c>
      <c r="D17" s="10" t="s">
        <v>594</v>
      </c>
      <c r="E17" s="10" t="s">
        <v>696</v>
      </c>
      <c r="G17" s="0" t="n">
        <v>5</v>
      </c>
      <c r="I17" s="11"/>
      <c r="J17" s="10" t="s">
        <v>688</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478</v>
      </c>
      <c r="D18" s="10" t="s">
        <v>599</v>
      </c>
      <c r="E18" s="10" t="s">
        <v>696</v>
      </c>
      <c r="G18" s="0" t="n">
        <v>6</v>
      </c>
      <c r="I18" s="11"/>
      <c r="J18" s="10" t="s">
        <v>688</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c r="B19" s="38"/>
      <c r="E19" s="10"/>
      <c r="I19" s="11"/>
      <c r="J19" s="10"/>
      <c r="L19" s="31" t="str">
        <f aca="false">IF($C19="","",IFERROR(IF(INDEX(campaigns!$BG$2:$BG$51,MATCH($C19,campaigns!$A$2:$A$51,0))="","",INDEX(campaigns!$BG$2:$BG$51,MATCH($C19,campaigns!$A$2:$A$51,0))),""))</f>
        <v/>
      </c>
      <c r="M19" s="30" t="str">
        <f aca="false">IF($C19="","",IF(OR($E19="received"),N($G19),IF(OR($E19="rejected",$E19="delivered",$E19="topped_up"),-N($G19),IF(AND(OR($E19="returned_to_brand",$E19="given_to_roster_office",$E19="released_to_office",$E19="disposed"),IF($F19="","reserve",$F19)="reserve"),-N($G19),IF(AND($E19="correction",IF($F19="","reserve",$F19)="reserve"),N($G19),0)))))</f>
        <v/>
      </c>
      <c r="N19" s="30" t="str">
        <f aca="false">IF($C19="","",IF($E19="rejected",N($G19),IF(AND(OR($E19="returned_to_brand",$E19="given_to_roster_office",$E19="released_to_office",$E19="disposed"),IF($F19="","reserve",$F19)="rejected"),-N($G19),IF(AND($E19="correction",IF($F19="","reserve",$F19)="rejected"),N($G19),0))))</f>
        <v/>
      </c>
      <c r="O19" s="30" t="str">
        <f aca="false">IF($C19="","",IF($E19="collected",N($G19),IF(AND(OR($E19="returned_to_brand",$E19="given_to_roster_office",$E19="released_to_office",$E19="disposed"),IF($F19="","reserve",$F19)="leftover"),-N($G19),IF(AND($E19="correction",IF($F19="","reserve",$F19)="leftover"),N($G19),0))))</f>
        <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
      </c>
    </row>
    <row r="20" customFormat="false" ht="15" hidden="false" customHeight="false" outlineLevel="0" collapsed="false">
      <c r="A20" s="11"/>
      <c r="B20" s="38"/>
      <c r="E20" s="10"/>
      <c r="I20" s="11"/>
      <c r="J20" s="10"/>
      <c r="L20" s="31" t="str">
        <f aca="false">IF($C20="","",IFERROR(IF(INDEX(campaigns!$BG$2:$BG$51,MATCH($C20,campaigns!$A$2:$A$51,0))="","",INDEX(campaigns!$BG$2:$BG$51,MATCH($C20,campaigns!$A$2:$A$51,0))),""))</f>
        <v/>
      </c>
      <c r="M20" s="30" t="str">
        <f aca="false">IF($C20="","",IF(OR($E20="received"),N($G20),IF(OR($E20="rejected",$E20="delivered",$E20="topped_up"),-N($G20),IF(AND(OR($E20="returned_to_brand",$E20="given_to_roster_office",$E20="released_to_office",$E20="disposed"),IF($F20="","reserve",$F20)="reserve"),-N($G20),IF(AND($E20="correction",IF($F20="","reserve",$F20)="reserve"),N($G20),0)))))</f>
        <v/>
      </c>
      <c r="N20" s="30" t="str">
        <f aca="false">IF($C20="","",IF($E20="rejected",N($G20),IF(AND(OR($E20="returned_to_brand",$E20="given_to_roster_office",$E20="released_to_office",$E20="disposed"),IF($F20="","reserve",$F20)="rejected"),-N($G20),IF(AND($E20="correction",IF($F20="","reserve",$F20)="rejected"),N($G20),0))))</f>
        <v/>
      </c>
      <c r="O20" s="30" t="str">
        <f aca="false">IF($C20="","",IF($E20="collected",N($G20),IF(AND(OR($E20="returned_to_brand",$E20="given_to_roster_office",$E20="released_to_office",$E20="disposed"),IF($F20="","reserve",$F20)="leftover"),-N($G20),IF(AND($E20="correction",IF($F20="","reserve",$F20)="leftover"),N($G20),0))))</f>
        <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
      </c>
    </row>
    <row r="21" customFormat="false" ht="15" hidden="false" customHeight="false" outlineLevel="0" collapsed="false">
      <c r="A21" s="11"/>
      <c r="B21" s="38"/>
      <c r="E21" s="10"/>
      <c r="I21" s="11"/>
      <c r="J21" s="10"/>
      <c r="L21" s="31" t="str">
        <f aca="false">IF($C21="","",IFERROR(IF(INDEX(campaigns!$BG$2:$BG$51,MATCH($C21,campaigns!$A$2:$A$51,0))="","",INDEX(campaigns!$BG$2:$BG$51,MATCH($C21,campaigns!$A$2:$A$51,0))),""))</f>
        <v/>
      </c>
      <c r="M21" s="30" t="str">
        <f aca="false">IF($C21="","",IF(OR($E21="received"),N($G21),IF(OR($E21="rejected",$E21="delivered",$E21="topped_up"),-N($G21),IF(AND(OR($E21="returned_to_brand",$E21="given_to_roster_office",$E21="released_to_office",$E21="disposed"),IF($F21="","reserve",$F21)="reserve"),-N($G21),IF(AND($E21="correction",IF($F21="","reserve",$F21)="reserve"),N($G21),0)))))</f>
        <v/>
      </c>
      <c r="N21" s="30" t="str">
        <f aca="false">IF($C21="","",IF($E21="rejected",N($G21),IF(AND(OR($E21="returned_to_brand",$E21="given_to_roster_office",$E21="released_to_office",$E21="disposed"),IF($F21="","reserve",$F21)="rejected"),-N($G21),IF(AND($E21="correction",IF($F21="","reserve",$F21)="rejected"),N($G21),0))))</f>
        <v/>
      </c>
      <c r="O21" s="30" t="str">
        <f aca="false">IF($C21="","",IF($E21="collected",N($G21),IF(AND(OR($E21="returned_to_brand",$E21="given_to_roster_office",$E21="released_to_office",$E21="disposed"),IF($F21="","reserve",$F21)="leftover"),-N($G21),IF(AND($E21="correction",IF($F21="","reserve",$F21)="leftover"),N($G21),0))))</f>
        <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
      </c>
    </row>
    <row r="22" customFormat="false" ht="15" hidden="false" customHeight="false" outlineLevel="0" collapsed="false">
      <c r="A22" s="11"/>
      <c r="B22" s="38"/>
      <c r="E22" s="10"/>
      <c r="I22" s="11"/>
      <c r="J22" s="10"/>
      <c r="L22" s="31" t="str">
        <f aca="false">IF($C22="","",IFERROR(IF(INDEX(campaigns!$BG$2:$BG$51,MATCH($C22,campaigns!$A$2:$A$51,0))="","",INDEX(campaigns!$BG$2:$BG$51,MATCH($C22,campaigns!$A$2:$A$51,0))),""))</f>
        <v/>
      </c>
      <c r="M22" s="30" t="str">
        <f aca="false">IF($C22="","",IF(OR($E22="received"),N($G22),IF(OR($E22="rejected",$E22="delivered",$E22="topped_up"),-N($G22),IF(AND(OR($E22="returned_to_brand",$E22="given_to_roster_office",$E22="released_to_office",$E22="disposed"),IF($F22="","reserve",$F22)="reserve"),-N($G22),IF(AND($E22="correction",IF($F22="","reserve",$F22)="reserve"),N($G22),0)))))</f>
        <v/>
      </c>
      <c r="N22" s="30" t="str">
        <f aca="false">IF($C22="","",IF($E22="rejected",N($G22),IF(AND(OR($E22="returned_to_brand",$E22="given_to_roster_office",$E22="released_to_office",$E22="disposed"),IF($F22="","reserve",$F22)="rejected"),-N($G22),IF(AND($E22="correction",IF($F22="","reserve",$F22)="rejected"),N($G22),0))))</f>
        <v/>
      </c>
      <c r="O22" s="30" t="str">
        <f aca="false">IF($C22="","",IF($E22="collected",N($G22),IF(AND(OR($E22="returned_to_brand",$E22="given_to_roster_office",$E22="released_to_office",$E22="disposed"),IF($F22="","reserve",$F22)="leftover"),-N($G22),IF(AND($E22="correction",IF($F22="","reserve",$F22)="leftover"),N($G22),0))))</f>
        <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
      </c>
    </row>
    <row r="23" customFormat="false" ht="15" hidden="false" customHeight="false" outlineLevel="0" collapsed="false">
      <c r="A23" s="11"/>
      <c r="B23" s="38"/>
      <c r="E23" s="10"/>
      <c r="I23" s="11"/>
      <c r="J23" s="10"/>
      <c r="L23" s="31" t="str">
        <f aca="false">IF($C23="","",IFERROR(IF(INDEX(campaigns!$BG$2:$BG$51,MATCH($C23,campaigns!$A$2:$A$51,0))="","",INDEX(campaigns!$BG$2:$BG$51,MATCH($C23,campaigns!$A$2:$A$51,0))),""))</f>
        <v/>
      </c>
      <c r="M23" s="30" t="str">
        <f aca="false">IF($C23="","",IF(OR($E23="received"),N($G23),IF(OR($E23="rejected",$E23="delivered",$E23="topped_up"),-N($G23),IF(AND(OR($E23="returned_to_brand",$E23="given_to_roster_office",$E23="released_to_office",$E23="disposed"),IF($F23="","reserve",$F23)="reserve"),-N($G23),IF(AND($E23="correction",IF($F23="","reserve",$F23)="reserve"),N($G23),0)))))</f>
        <v/>
      </c>
      <c r="N23" s="30" t="str">
        <f aca="false">IF($C23="","",IF($E23="rejected",N($G23),IF(AND(OR($E23="returned_to_brand",$E23="given_to_roster_office",$E23="released_to_office",$E23="disposed"),IF($F23="","reserve",$F23)="rejected"),-N($G23),IF(AND($E23="correction",IF($F23="","reserve",$F23)="rejected"),N($G23),0))))</f>
        <v/>
      </c>
      <c r="O23" s="30" t="str">
        <f aca="false">IF($C23="","",IF($E23="collected",N($G23),IF(AND(OR($E23="returned_to_brand",$E23="given_to_roster_office",$E23="released_to_office",$E23="disposed"),IF($F23="","reserve",$F23)="leftover"),-N($G23),IF(AND($E23="correction",IF($F23="","reserve",$F23)="leftover"),N($G23),0))))</f>
        <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
      </c>
    </row>
    <row r="24" customFormat="false" ht="15" hidden="false" customHeight="false" outlineLevel="0" collapsed="false">
      <c r="A24" s="11"/>
      <c r="B24" s="38"/>
      <c r="E24" s="10"/>
      <c r="I24" s="11"/>
      <c r="J24" s="10"/>
      <c r="L24" s="31" t="str">
        <f aca="false">IF($C24="","",IFERROR(IF(INDEX(campaigns!$BG$2:$BG$51,MATCH($C24,campaigns!$A$2:$A$51,0))="","",INDEX(campaigns!$BG$2:$BG$51,MATCH($C24,campaigns!$A$2:$A$51,0))),""))</f>
        <v/>
      </c>
      <c r="M24" s="30" t="str">
        <f aca="false">IF($C24="","",IF(OR($E24="received"),N($G24),IF(OR($E24="rejected",$E24="delivered",$E24="topped_up"),-N($G24),IF(AND(OR($E24="returned_to_brand",$E24="given_to_roster_office",$E24="released_to_office",$E24="disposed"),IF($F24="","reserve",$F24)="reserve"),-N($G24),IF(AND($E24="correction",IF($F24="","reserve",$F24)="reserve"),N($G24),0)))))</f>
        <v/>
      </c>
      <c r="N24" s="30" t="str">
        <f aca="false">IF($C24="","",IF($E24="rejected",N($G24),IF(AND(OR($E24="returned_to_brand",$E24="given_to_roster_office",$E24="released_to_office",$E24="disposed"),IF($F24="","reserve",$F24)="rejected"),-N($G24),IF(AND($E24="correction",IF($F24="","reserve",$F24)="rejected"),N($G24),0))))</f>
        <v/>
      </c>
      <c r="O24" s="30" t="str">
        <f aca="false">IF($C24="","",IF($E24="collected",N($G24),IF(AND(OR($E24="returned_to_brand",$E24="given_to_roster_office",$E24="released_to_office",$E24="disposed"),IF($F24="","reserve",$F24)="leftover"),-N($G24),IF(AND($E24="correction",IF($F24="","reserve",$F24)="leftover"),N($G24),0))))</f>
        <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
      </c>
    </row>
    <row r="25" customFormat="false" ht="15" hidden="false" customHeight="false" outlineLevel="0" collapsed="false">
      <c r="A25" s="11"/>
      <c r="B25" s="38"/>
      <c r="E25" s="10"/>
      <c r="I25" s="11"/>
      <c r="J25" s="10"/>
      <c r="L25" s="31" t="str">
        <f aca="false">IF($C25="","",IFERROR(IF(INDEX(campaigns!$BG$2:$BG$51,MATCH($C25,campaigns!$A$2:$A$51,0))="","",INDEX(campaigns!$BG$2:$BG$51,MATCH($C25,campaigns!$A$2:$A$51,0))),""))</f>
        <v/>
      </c>
      <c r="M25" s="30" t="str">
        <f aca="false">IF($C25="","",IF(OR($E25="received"),N($G25),IF(OR($E25="rejected",$E25="delivered",$E25="topped_up"),-N($G25),IF(AND(OR($E25="returned_to_brand",$E25="given_to_roster_office",$E25="released_to_office",$E25="disposed"),IF($F25="","reserve",$F25)="reserve"),-N($G25),IF(AND($E25="correction",IF($F25="","reserve",$F25)="reserve"),N($G25),0)))))</f>
        <v/>
      </c>
      <c r="N25" s="30" t="str">
        <f aca="false">IF($C25="","",IF($E25="rejected",N($G25),IF(AND(OR($E25="returned_to_brand",$E25="given_to_roster_office",$E25="released_to_office",$E25="disposed"),IF($F25="","reserve",$F25)="rejected"),-N($G25),IF(AND($E25="correction",IF($F25="","reserve",$F25)="rejected"),N($G25),0))))</f>
        <v/>
      </c>
      <c r="O25" s="30" t="str">
        <f aca="false">IF($C25="","",IF($E25="collected",N($G25),IF(AND(OR($E25="returned_to_brand",$E25="given_to_roster_office",$E25="released_to_office",$E25="disposed"),IF($F25="","reserve",$F25)="leftover"),-N($G25),IF(AND($E25="correction",IF($F25="","reserve",$F25)="leftover"),N($G25),0))))</f>
        <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
      </c>
    </row>
    <row r="26" customFormat="false" ht="15" hidden="false" customHeight="false" outlineLevel="0" collapsed="false">
      <c r="A26" s="11"/>
      <c r="B26" s="38"/>
      <c r="E26" s="10"/>
      <c r="I26" s="11"/>
      <c r="J26" s="10"/>
      <c r="L26" s="31" t="str">
        <f aca="false">IF($C26="","",IFERROR(IF(INDEX(campaigns!$BG$2:$BG$51,MATCH($C26,campaigns!$A$2:$A$51,0))="","",INDEX(campaigns!$BG$2:$BG$51,MATCH($C26,campaigns!$A$2:$A$51,0))),""))</f>
        <v/>
      </c>
      <c r="M26" s="30" t="str">
        <f aca="false">IF($C26="","",IF(OR($E26="received"),N($G26),IF(OR($E26="rejected",$E26="delivered",$E26="topped_up"),-N($G26),IF(AND(OR($E26="returned_to_brand",$E26="given_to_roster_office",$E26="released_to_office",$E26="disposed"),IF($F26="","reserve",$F26)="reserve"),-N($G26),IF(AND($E26="correction",IF($F26="","reserve",$F26)="reserve"),N($G26),0)))))</f>
        <v/>
      </c>
      <c r="N26" s="30" t="str">
        <f aca="false">IF($C26="","",IF($E26="rejected",N($G26),IF(AND(OR($E26="returned_to_brand",$E26="given_to_roster_office",$E26="released_to_office",$E26="disposed"),IF($F26="","reserve",$F26)="rejected"),-N($G26),IF(AND($E26="correction",IF($F26="","reserve",$F26)="rejected"),N($G26),0))))</f>
        <v/>
      </c>
      <c r="O26" s="30" t="str">
        <f aca="false">IF($C26="","",IF($E26="collected",N($G26),IF(AND(OR($E26="returned_to_brand",$E26="given_to_roster_office",$E26="released_to_office",$E26="disposed"),IF($F26="","reserve",$F26)="leftover"),-N($G26),IF(AND($E26="correction",IF($F26="","reserve",$F26)="leftover"),N($G26),0))))</f>
        <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
      </c>
    </row>
    <row r="27" customFormat="false" ht="15" hidden="false" customHeight="false" outlineLevel="0" collapsed="false">
      <c r="A27" s="11"/>
      <c r="B27" s="38"/>
      <c r="E27" s="10"/>
      <c r="I27" s="11"/>
      <c r="J27" s="10"/>
      <c r="L27" s="31" t="str">
        <f aca="false">IF($C27="","",IFERROR(IF(INDEX(campaigns!$BG$2:$BG$51,MATCH($C27,campaigns!$A$2:$A$51,0))="","",INDEX(campaigns!$BG$2:$BG$51,MATCH($C27,campaigns!$A$2:$A$51,0))),""))</f>
        <v/>
      </c>
      <c r="M27" s="30" t="str">
        <f aca="false">IF($C27="","",IF(OR($E27="received"),N($G27),IF(OR($E27="rejected",$E27="delivered",$E27="topped_up"),-N($G27),IF(AND(OR($E27="returned_to_brand",$E27="given_to_roster_office",$E27="released_to_office",$E27="disposed"),IF($F27="","reserve",$F27)="reserve"),-N($G27),IF(AND($E27="correction",IF($F27="","reserve",$F27)="reserve"),N($G27),0)))))</f>
        <v/>
      </c>
      <c r="N27" s="30" t="str">
        <f aca="false">IF($C27="","",IF($E27="rejected",N($G27),IF(AND(OR($E27="returned_to_brand",$E27="given_to_roster_office",$E27="released_to_office",$E27="disposed"),IF($F27="","reserve",$F27)="rejected"),-N($G27),IF(AND($E27="correction",IF($F27="","reserve",$F27)="rejected"),N($G27),0))))</f>
        <v/>
      </c>
      <c r="O27" s="30" t="str">
        <f aca="false">IF($C27="","",IF($E27="collected",N($G27),IF(AND(OR($E27="returned_to_brand",$E27="given_to_roster_office",$E27="released_to_office",$E27="disposed"),IF($F27="","reserve",$F27)="leftover"),-N($G27),IF(AND($E27="correction",IF($F27="","reserve",$F27)="leftover"),N($G27),0))))</f>
        <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
      </c>
    </row>
    <row r="28" customFormat="false" ht="15" hidden="false" customHeight="false" outlineLevel="0" collapsed="false">
      <c r="A28" s="11"/>
      <c r="B28" s="38"/>
      <c r="E28" s="10"/>
      <c r="I28" s="11"/>
      <c r="J28" s="10"/>
      <c r="L28" s="31" t="str">
        <f aca="false">IF($C28="","",IFERROR(IF(INDEX(campaigns!$BG$2:$BG$51,MATCH($C28,campaigns!$A$2:$A$51,0))="","",INDEX(campaigns!$BG$2:$BG$51,MATCH($C28,campaigns!$A$2:$A$51,0))),""))</f>
        <v/>
      </c>
      <c r="M28" s="30" t="str">
        <f aca="false">IF($C28="","",IF(OR($E28="received"),N($G28),IF(OR($E28="rejected",$E28="delivered",$E28="topped_up"),-N($G28),IF(AND(OR($E28="returned_to_brand",$E28="given_to_roster_office",$E28="released_to_office",$E28="disposed"),IF($F28="","reserve",$F28)="reserve"),-N($G28),IF(AND($E28="correction",IF($F28="","reserve",$F28)="reserve"),N($G28),0)))))</f>
        <v/>
      </c>
      <c r="N28" s="30" t="str">
        <f aca="false">IF($C28="","",IF($E28="rejected",N($G28),IF(AND(OR($E28="returned_to_brand",$E28="given_to_roster_office",$E28="released_to_office",$E28="disposed"),IF($F28="","reserve",$F28)="rejected"),-N($G28),IF(AND($E28="correction",IF($F28="","reserve",$F28)="rejected"),N($G28),0))))</f>
        <v/>
      </c>
      <c r="O28" s="30" t="str">
        <f aca="false">IF($C28="","",IF($E28="collected",N($G28),IF(AND(OR($E28="returned_to_brand",$E28="given_to_roster_office",$E28="released_to_office",$E28="disposed"),IF($F28="","reserve",$F28)="leftover"),-N($G28),IF(AND($E28="correction",IF($F28="","reserve",$F28)="leftover"),N($G28),0))))</f>
        <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
      </c>
    </row>
    <row r="29" customFormat="false" ht="15" hidden="false" customHeight="false" outlineLevel="0" collapsed="false">
      <c r="A29" s="11"/>
      <c r="B29" s="38"/>
      <c r="E29" s="10"/>
      <c r="I29" s="11"/>
      <c r="J29" s="10"/>
      <c r="L29" s="31" t="str">
        <f aca="false">IF($C29="","",IFERROR(IF(INDEX(campaigns!$BG$2:$BG$51,MATCH($C29,campaigns!$A$2:$A$51,0))="","",INDEX(campaigns!$BG$2:$BG$51,MATCH($C29,campaigns!$A$2:$A$51,0))),""))</f>
        <v/>
      </c>
      <c r="M29" s="30" t="str">
        <f aca="false">IF($C29="","",IF(OR($E29="received"),N($G29),IF(OR($E29="rejected",$E29="delivered",$E29="topped_up"),-N($G29),IF(AND(OR($E29="returned_to_brand",$E29="given_to_roster_office",$E29="released_to_office",$E29="disposed"),IF($F29="","reserve",$F29)="reserve"),-N($G29),IF(AND($E29="correction",IF($F29="","reserve",$F29)="reserve"),N($G29),0)))))</f>
        <v/>
      </c>
      <c r="N29" s="30" t="str">
        <f aca="false">IF($C29="","",IF($E29="rejected",N($G29),IF(AND(OR($E29="returned_to_brand",$E29="given_to_roster_office",$E29="released_to_office",$E29="disposed"),IF($F29="","reserve",$F29)="rejected"),-N($G29),IF(AND($E29="correction",IF($F29="","reserve",$F29)="rejected"),N($G29),0))))</f>
        <v/>
      </c>
      <c r="O29" s="30" t="str">
        <f aca="false">IF($C29="","",IF($E29="collected",N($G29),IF(AND(OR($E29="returned_to_brand",$E29="given_to_roster_office",$E29="released_to_office",$E29="disposed"),IF($F29="","reserve",$F29)="leftover"),-N($G29),IF(AND($E29="correction",IF($F29="","reserve",$F29)="leftover"),N($G29),0))))</f>
        <v/>
      </c>
      <c r="P29" s="30" t="str">
        <f aca="false">IF(OR($E29&lt;&gt;"received",$I29="",$L29=""),"",IF($I29&gt;=$L29+config!$B$19,"Y","N"))</f>
        <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
      </c>
    </row>
    <row r="30" customFormat="false" ht="15" hidden="false" customHeight="false" outlineLevel="0" collapsed="false">
      <c r="A30" s="11"/>
      <c r="B30" s="38"/>
      <c r="E30" s="10"/>
      <c r="I30" s="11"/>
      <c r="J30" s="10"/>
      <c r="L30" s="31" t="str">
        <f aca="false">IF($C30="","",IFERROR(IF(INDEX(campaigns!$BG$2:$BG$51,MATCH($C30,campaigns!$A$2:$A$51,0))="","",INDEX(campaigns!$BG$2:$BG$51,MATCH($C30,campaigns!$A$2:$A$51,0))),""))</f>
        <v/>
      </c>
      <c r="M30" s="30" t="str">
        <f aca="false">IF($C30="","",IF(OR($E30="received"),N($G30),IF(OR($E30="rejected",$E30="delivered",$E30="topped_up"),-N($G30),IF(AND(OR($E30="returned_to_brand",$E30="given_to_roster_office",$E30="released_to_office",$E30="disposed"),IF($F30="","reserve",$F30)="reserve"),-N($G30),IF(AND($E30="correction",IF($F30="","reserve",$F30)="reserve"),N($G30),0)))))</f>
        <v/>
      </c>
      <c r="N30" s="30" t="str">
        <f aca="false">IF($C30="","",IF($E30="rejected",N($G30),IF(AND(OR($E30="returned_to_brand",$E30="given_to_roster_office",$E30="released_to_office",$E30="disposed"),IF($F30="","reserve",$F30)="rejected"),-N($G30),IF(AND($E30="correction",IF($F30="","reserve",$F30)="rejected"),N($G30),0))))</f>
        <v/>
      </c>
      <c r="O30" s="30" t="str">
        <f aca="false">IF($C30="","",IF($E30="collected",N($G30),IF(AND(OR($E30="returned_to_brand",$E30="given_to_roster_office",$E30="released_to_office",$E30="disposed"),IF($F30="","reserve",$F30)="leftover"),-N($G30),IF(AND($E30="correction",IF($F30="","reserve",$F30)="leftover"),N($G30),0))))</f>
        <v/>
      </c>
      <c r="P30" s="30" t="str">
        <f aca="false">IF(OR($E30&lt;&gt;"received",$I30="",$L30=""),"",IF($I30&gt;=$L30+config!$B$19,"Y","N"))</f>
        <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
      </c>
    </row>
    <row r="31" customFormat="false" ht="15" hidden="false" customHeight="false" outlineLevel="0" collapsed="false">
      <c r="A31" s="11"/>
      <c r="B31" s="38"/>
      <c r="E31" s="10"/>
      <c r="I31" s="11"/>
      <c r="J31" s="10"/>
      <c r="L31" s="31" t="str">
        <f aca="false">IF($C31="","",IFERROR(IF(INDEX(campaigns!$BG$2:$BG$51,MATCH($C31,campaigns!$A$2:$A$51,0))="","",INDEX(campaigns!$BG$2:$BG$51,MATCH($C31,campaigns!$A$2:$A$51,0))),""))</f>
        <v/>
      </c>
      <c r="M31" s="30" t="str">
        <f aca="false">IF($C31="","",IF(OR($E31="received"),N($G31),IF(OR($E31="rejected",$E31="delivered",$E31="topped_up"),-N($G31),IF(AND(OR($E31="returned_to_brand",$E31="given_to_roster_office",$E31="released_to_office",$E31="disposed"),IF($F31="","reserve",$F31)="reserve"),-N($G31),IF(AND($E31="correction",IF($F31="","reserve",$F31)="reserve"),N($G31),0)))))</f>
        <v/>
      </c>
      <c r="N31" s="30" t="str">
        <f aca="false">IF($C31="","",IF($E31="rejected",N($G31),IF(AND(OR($E31="returned_to_brand",$E31="given_to_roster_office",$E31="released_to_office",$E31="disposed"),IF($F31="","reserve",$F31)="rejected"),-N($G31),IF(AND($E31="correction",IF($F31="","reserve",$F31)="rejected"),N($G31),0))))</f>
        <v/>
      </c>
      <c r="O31" s="30" t="str">
        <f aca="false">IF($C31="","",IF($E31="collected",N($G31),IF(AND(OR($E31="returned_to_brand",$E31="given_to_roster_office",$E31="released_to_office",$E31="disposed"),IF($F31="","reserve",$F31)="leftover"),-N($G31),IF(AND($E31="correction",IF($F31="","reserve",$F31)="leftover"),N($G31),0))))</f>
        <v/>
      </c>
      <c r="P31" s="30" t="str">
        <f aca="false">IF(OR($E31&lt;&gt;"received",$I31="",$L31=""),"",IF($I31&gt;=$L31+config!$B$19,"Y","N"))</f>
        <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
      </c>
    </row>
    <row r="32" customFormat="false" ht="15" hidden="false" customHeight="false" outlineLevel="0" collapsed="false">
      <c r="A32" s="11"/>
      <c r="B32" s="38"/>
      <c r="E32" s="10"/>
      <c r="I32" s="11"/>
      <c r="J32" s="10"/>
      <c r="L32" s="31" t="str">
        <f aca="false">IF($C32="","",IFERROR(IF(INDEX(campaigns!$BG$2:$BG$51,MATCH($C32,campaigns!$A$2:$A$51,0))="","",INDEX(campaigns!$BG$2:$BG$51,MATCH($C32,campaigns!$A$2:$A$51,0))),""))</f>
        <v/>
      </c>
      <c r="M32" s="30" t="str">
        <f aca="false">IF($C32="","",IF(OR($E32="received"),N($G32),IF(OR($E32="rejected",$E32="delivered",$E32="topped_up"),-N($G32),IF(AND(OR($E32="returned_to_brand",$E32="given_to_roster_office",$E32="released_to_office",$E32="disposed"),IF($F32="","reserve",$F32)="reserve"),-N($G32),IF(AND($E32="correction",IF($F32="","reserve",$F32)="reserve"),N($G32),0)))))</f>
        <v/>
      </c>
      <c r="N32" s="30" t="str">
        <f aca="false">IF($C32="","",IF($E32="rejected",N($G32),IF(AND(OR($E32="returned_to_brand",$E32="given_to_roster_office",$E32="released_to_office",$E32="disposed"),IF($F32="","reserve",$F32)="rejected"),-N($G32),IF(AND($E32="correction",IF($F32="","reserve",$F32)="rejected"),N($G32),0))))</f>
        <v/>
      </c>
      <c r="O32" s="30" t="str">
        <f aca="false">IF($C32="","",IF($E32="collected",N($G32),IF(AND(OR($E32="returned_to_brand",$E32="given_to_roster_office",$E32="released_to_office",$E32="disposed"),IF($F32="","reserve",$F32)="leftover"),-N($G32),IF(AND($E32="correction",IF($F32="","reserve",$F32)="leftover"),N($G32),0))))</f>
        <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
      </c>
    </row>
    <row r="33" customFormat="false" ht="15" hidden="false" customHeight="false" outlineLevel="0" collapsed="false">
      <c r="A33" s="11"/>
      <c r="B33" s="38"/>
      <c r="E33" s="10"/>
      <c r="I33" s="11"/>
      <c r="J33" s="10"/>
      <c r="L33" s="31" t="str">
        <f aca="false">IF($C33="","",IFERROR(IF(INDEX(campaigns!$BG$2:$BG$51,MATCH($C33,campaigns!$A$2:$A$51,0))="","",INDEX(campaigns!$BG$2:$BG$51,MATCH($C33,campaigns!$A$2:$A$51,0))),""))</f>
        <v/>
      </c>
      <c r="M33" s="30" t="str">
        <f aca="false">IF($C33="","",IF(OR($E33="received"),N($G33),IF(OR($E33="rejected",$E33="delivered",$E33="topped_up"),-N($G33),IF(AND(OR($E33="returned_to_brand",$E33="given_to_roster_office",$E33="released_to_office",$E33="disposed"),IF($F33="","reserve",$F33)="reserve"),-N($G33),IF(AND($E33="correction",IF($F33="","reserve",$F33)="reserve"),N($G33),0)))))</f>
        <v/>
      </c>
      <c r="N33" s="30" t="str">
        <f aca="false">IF($C33="","",IF($E33="rejected",N($G33),IF(AND(OR($E33="returned_to_brand",$E33="given_to_roster_office",$E33="released_to_office",$E33="disposed"),IF($F33="","reserve",$F33)="rejected"),-N($G33),IF(AND($E33="correction",IF($F33="","reserve",$F33)="rejected"),N($G33),0))))</f>
        <v/>
      </c>
      <c r="O33" s="30" t="str">
        <f aca="false">IF($C33="","",IF($E33="collected",N($G33),IF(AND(OR($E33="returned_to_brand",$E33="given_to_roster_office",$E33="released_to_office",$E33="disposed"),IF($F33="","reserve",$F33)="leftover"),-N($G33),IF(AND($E33="correction",IF($F33="","reserve",$F33)="leftover"),N($G33),0))))</f>
        <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
      </c>
    </row>
    <row r="34" customFormat="false" ht="15" hidden="false" customHeight="false" outlineLevel="0" collapsed="false">
      <c r="A34" s="11"/>
      <c r="B34" s="38"/>
      <c r="E34" s="10"/>
      <c r="I34" s="11"/>
      <c r="J34" s="10"/>
      <c r="L34" s="31" t="str">
        <f aca="false">IF($C34="","",IFERROR(IF(INDEX(campaigns!$BG$2:$BG$51,MATCH($C34,campaigns!$A$2:$A$51,0))="","",INDEX(campaigns!$BG$2:$BG$51,MATCH($C34,campaigns!$A$2:$A$51,0))),""))</f>
        <v/>
      </c>
      <c r="M34" s="30" t="str">
        <f aca="false">IF($C34="","",IF(OR($E34="received"),N($G34),IF(OR($E34="rejected",$E34="delivered",$E34="topped_up"),-N($G34),IF(AND(OR($E34="returned_to_brand",$E34="given_to_roster_office",$E34="released_to_office",$E34="disposed"),IF($F34="","reserve",$F34)="reserve"),-N($G34),IF(AND($E34="correction",IF($F34="","reserve",$F34)="reserve"),N($G34),0)))))</f>
        <v/>
      </c>
      <c r="N34" s="30" t="str">
        <f aca="false">IF($C34="","",IF($E34="rejected",N($G34),IF(AND(OR($E34="returned_to_brand",$E34="given_to_roster_office",$E34="released_to_office",$E34="disposed"),IF($F34="","reserve",$F34)="rejected"),-N($G34),IF(AND($E34="correction",IF($F34="","reserve",$F34)="rejected"),N($G34),0))))</f>
        <v/>
      </c>
      <c r="O34" s="30" t="str">
        <f aca="false">IF($C34="","",IF($E34="collected",N($G34),IF(AND(OR($E34="returned_to_brand",$E34="given_to_roster_office",$E34="released_to_office",$E34="disposed"),IF($F34="","reserve",$F34)="leftover"),-N($G34),IF(AND($E34="correction",IF($F34="","reserve",$F34)="leftover"),N($G34),0))))</f>
        <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
      </c>
    </row>
    <row r="35" customFormat="false" ht="15" hidden="false" customHeight="false" outlineLevel="0" collapsed="false">
      <c r="A35" s="11"/>
      <c r="B35" s="38"/>
      <c r="E35" s="10"/>
      <c r="I35" s="11"/>
      <c r="J35" s="10"/>
      <c r="L35" s="31" t="str">
        <f aca="false">IF($C35="","",IFERROR(IF(INDEX(campaigns!$BG$2:$BG$51,MATCH($C35,campaigns!$A$2:$A$51,0))="","",INDEX(campaigns!$BG$2:$BG$51,MATCH($C35,campaigns!$A$2:$A$51,0))),""))</f>
        <v/>
      </c>
      <c r="M35" s="30" t="str">
        <f aca="false">IF($C35="","",IF(OR($E35="received"),N($G35),IF(OR($E35="rejected",$E35="delivered",$E35="topped_up"),-N($G35),IF(AND(OR($E35="returned_to_brand",$E35="given_to_roster_office",$E35="released_to_office",$E35="disposed"),IF($F35="","reserve",$F35)="reserve"),-N($G35),IF(AND($E35="correction",IF($F35="","reserve",$F35)="reserve"),N($G35),0)))))</f>
        <v/>
      </c>
      <c r="N35" s="30" t="str">
        <f aca="false">IF($C35="","",IF($E35="rejected",N($G35),IF(AND(OR($E35="returned_to_brand",$E35="given_to_roster_office",$E35="released_to_office",$E35="disposed"),IF($F35="","reserve",$F35)="rejected"),-N($G35),IF(AND($E35="correction",IF($F35="","reserve",$F35)="rejected"),N($G35),0))))</f>
        <v/>
      </c>
      <c r="O35" s="30" t="str">
        <f aca="false">IF($C35="","",IF($E35="collected",N($G35),IF(AND(OR($E35="returned_to_brand",$E35="given_to_roster_office",$E35="released_to_office",$E35="disposed"),IF($F35="","reserve",$F35)="leftover"),-N($G35),IF(AND($E35="correction",IF($F35="","reserve",$F35)="leftover"),N($G35),0))))</f>
        <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
      </c>
    </row>
    <row r="36" customFormat="false" ht="15" hidden="false" customHeight="false" outlineLevel="0" collapsed="false">
      <c r="A36" s="11"/>
      <c r="B36" s="38"/>
      <c r="E36" s="10"/>
      <c r="I36" s="11"/>
      <c r="J36" s="10"/>
      <c r="L36" s="31" t="str">
        <f aca="false">IF($C36="","",IFERROR(IF(INDEX(campaigns!$BG$2:$BG$51,MATCH($C36,campaigns!$A$2:$A$51,0))="","",INDEX(campaigns!$BG$2:$BG$51,MATCH($C36,campaigns!$A$2:$A$51,0))),""))</f>
        <v/>
      </c>
      <c r="M36" s="30" t="str">
        <f aca="false">IF($C36="","",IF(OR($E36="received"),N($G36),IF(OR($E36="rejected",$E36="delivered",$E36="topped_up"),-N($G36),IF(AND(OR($E36="returned_to_brand",$E36="given_to_roster_office",$E36="released_to_office",$E36="disposed"),IF($F36="","reserve",$F36)="reserve"),-N($G36),IF(AND($E36="correction",IF($F36="","reserve",$F36)="reserve"),N($G36),0)))))</f>
        <v/>
      </c>
      <c r="N36" s="30" t="str">
        <f aca="false">IF($C36="","",IF($E36="rejected",N($G36),IF(AND(OR($E36="returned_to_brand",$E36="given_to_roster_office",$E36="released_to_office",$E36="disposed"),IF($F36="","reserve",$F36)="rejected"),-N($G36),IF(AND($E36="correction",IF($F36="","reserve",$F36)="rejected"),N($G36),0))))</f>
        <v/>
      </c>
      <c r="O36" s="30" t="str">
        <f aca="false">IF($C36="","",IF($E36="collected",N($G36),IF(AND(OR($E36="returned_to_brand",$E36="given_to_roster_office",$E36="released_to_office",$E36="disposed"),IF($F36="","reserve",$F36)="leftover"),-N($G36),IF(AND($E36="correction",IF($F36="","reserve",$F36)="leftover"),N($G36),0))))</f>
        <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
      </c>
    </row>
    <row r="37" customFormat="false" ht="15" hidden="false" customHeight="false" outlineLevel="0" collapsed="false">
      <c r="A37" s="11"/>
      <c r="B37" s="38"/>
      <c r="E37" s="10"/>
      <c r="I37" s="11"/>
      <c r="J37" s="10"/>
      <c r="L37" s="31" t="str">
        <f aca="false">IF($C37="","",IFERROR(IF(INDEX(campaigns!$BG$2:$BG$51,MATCH($C37,campaigns!$A$2:$A$51,0))="","",INDEX(campaigns!$BG$2:$BG$51,MATCH($C37,campaigns!$A$2:$A$51,0))),""))</f>
        <v/>
      </c>
      <c r="M37" s="30" t="str">
        <f aca="false">IF($C37="","",IF(OR($E37="received"),N($G37),IF(OR($E37="rejected",$E37="delivered",$E37="topped_up"),-N($G37),IF(AND(OR($E37="returned_to_brand",$E37="given_to_roster_office",$E37="released_to_office",$E37="disposed"),IF($F37="","reserve",$F37)="reserve"),-N($G37),IF(AND($E37="correction",IF($F37="","reserve",$F37)="reserve"),N($G37),0)))))</f>
        <v/>
      </c>
      <c r="N37" s="30" t="str">
        <f aca="false">IF($C37="","",IF($E37="rejected",N($G37),IF(AND(OR($E37="returned_to_brand",$E37="given_to_roster_office",$E37="released_to_office",$E37="disposed"),IF($F37="","reserve",$F37)="rejected"),-N($G37),IF(AND($E37="correction",IF($F37="","reserve",$F37)="rejected"),N($G37),0))))</f>
        <v/>
      </c>
      <c r="O37" s="30" t="str">
        <f aca="false">IF($C37="","",IF($E37="collected",N($G37),IF(AND(OR($E37="returned_to_brand",$E37="given_to_roster_office",$E37="released_to_office",$E37="disposed"),IF($F37="","reserve",$F37)="leftover"),-N($G37),IF(AND($E37="correction",IF($F37="","reserve",$F37)="leftover"),N($G37),0))))</f>
        <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
      </c>
    </row>
    <row r="38" customFormat="false" ht="15" hidden="false" customHeight="false" outlineLevel="0" collapsed="false">
      <c r="A38" s="11"/>
      <c r="B38" s="38"/>
      <c r="E38" s="10"/>
      <c r="I38" s="11"/>
      <c r="J38" s="10"/>
      <c r="L38" s="31" t="str">
        <f aca="false">IF($C38="","",IFERROR(IF(INDEX(campaigns!$BG$2:$BG$51,MATCH($C38,campaigns!$A$2:$A$51,0))="","",INDEX(campaigns!$BG$2:$BG$51,MATCH($C38,campaigns!$A$2:$A$51,0))),""))</f>
        <v/>
      </c>
      <c r="M38" s="30" t="str">
        <f aca="false">IF($C38="","",IF(OR($E38="received"),N($G38),IF(OR($E38="rejected",$E38="delivered",$E38="topped_up"),-N($G38),IF(AND(OR($E38="returned_to_brand",$E38="given_to_roster_office",$E38="released_to_office",$E38="disposed"),IF($F38="","reserve",$F38)="reserve"),-N($G38),IF(AND($E38="correction",IF($F38="","reserve",$F38)="reserve"),N($G38),0)))))</f>
        <v/>
      </c>
      <c r="N38" s="30" t="str">
        <f aca="false">IF($C38="","",IF($E38="rejected",N($G38),IF(AND(OR($E38="returned_to_brand",$E38="given_to_roster_office",$E38="released_to_office",$E38="disposed"),IF($F38="","reserve",$F38)="rejected"),-N($G38),IF(AND($E38="correction",IF($F38="","reserve",$F38)="rejected"),N($G38),0))))</f>
        <v/>
      </c>
      <c r="O38" s="30" t="str">
        <f aca="false">IF($C38="","",IF($E38="collected",N($G38),IF(AND(OR($E38="returned_to_brand",$E38="given_to_roster_office",$E38="released_to_office",$E38="disposed"),IF($F38="","reserve",$F38)="leftover"),-N($G38),IF(AND($E38="correction",IF($F38="","reserve",$F38)="leftover"),N($G38),0))))</f>
        <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
      </c>
    </row>
    <row r="39" customFormat="false" ht="15" hidden="false" customHeight="false" outlineLevel="0" collapsed="false">
      <c r="A39" s="11"/>
      <c r="B39" s="38"/>
      <c r="E39" s="10"/>
      <c r="I39" s="11"/>
      <c r="J39" s="10"/>
      <c r="L39" s="31" t="str">
        <f aca="false">IF($C39="","",IFERROR(IF(INDEX(campaigns!$BG$2:$BG$51,MATCH($C39,campaigns!$A$2:$A$51,0))="","",INDEX(campaigns!$BG$2:$BG$51,MATCH($C39,campaigns!$A$2:$A$51,0))),""))</f>
        <v/>
      </c>
      <c r="M39" s="30" t="str">
        <f aca="false">IF($C39="","",IF(OR($E39="received"),N($G39),IF(OR($E39="rejected",$E39="delivered",$E39="topped_up"),-N($G39),IF(AND(OR($E39="returned_to_brand",$E39="given_to_roster_office",$E39="released_to_office",$E39="disposed"),IF($F39="","reserve",$F39)="reserve"),-N($G39),IF(AND($E39="correction",IF($F39="","reserve",$F39)="reserve"),N($G39),0)))))</f>
        <v/>
      </c>
      <c r="N39" s="30" t="str">
        <f aca="false">IF($C39="","",IF($E39="rejected",N($G39),IF(AND(OR($E39="returned_to_brand",$E39="given_to_roster_office",$E39="released_to_office",$E39="disposed"),IF($F39="","reserve",$F39)="rejected"),-N($G39),IF(AND($E39="correction",IF($F39="","reserve",$F39)="rejected"),N($G39),0))))</f>
        <v/>
      </c>
      <c r="O39" s="30" t="str">
        <f aca="false">IF($C39="","",IF($E39="collected",N($G39),IF(AND(OR($E39="returned_to_brand",$E39="given_to_roster_office",$E39="released_to_office",$E39="disposed"),IF($F39="","reserve",$F39)="leftover"),-N($G39),IF(AND($E39="correction",IF($F39="","reserve",$F39)="leftover"),N($G39),0))))</f>
        <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
      </c>
    </row>
    <row r="40" customFormat="false" ht="15" hidden="false" customHeight="false" outlineLevel="0" collapsed="false">
      <c r="A40" s="11"/>
      <c r="B40" s="38"/>
      <c r="E40" s="10"/>
      <c r="I40" s="11"/>
      <c r="J40" s="10"/>
      <c r="L40" s="31" t="str">
        <f aca="false">IF($C40="","",IFERROR(IF(INDEX(campaigns!$BG$2:$BG$51,MATCH($C40,campaigns!$A$2:$A$51,0))="","",INDEX(campaigns!$BG$2:$BG$51,MATCH($C40,campaigns!$A$2:$A$51,0))),""))</f>
        <v/>
      </c>
      <c r="M40" s="30" t="str">
        <f aca="false">IF($C40="","",IF(OR($E40="received"),N($G40),IF(OR($E40="rejected",$E40="delivered",$E40="topped_up"),-N($G40),IF(AND(OR($E40="returned_to_brand",$E40="given_to_roster_office",$E40="released_to_office",$E40="disposed"),IF($F40="","reserve",$F40)="reserve"),-N($G40),IF(AND($E40="correction",IF($F40="","reserve",$F40)="reserve"),N($G40),0)))))</f>
        <v/>
      </c>
      <c r="N40" s="30" t="str">
        <f aca="false">IF($C40="","",IF($E40="rejected",N($G40),IF(AND(OR($E40="returned_to_brand",$E40="given_to_roster_office",$E40="released_to_office",$E40="disposed"),IF($F40="","reserve",$F40)="rejected"),-N($G40),IF(AND($E40="correction",IF($F40="","reserve",$F40)="rejected"),N($G40),0))))</f>
        <v/>
      </c>
      <c r="O40" s="30" t="str">
        <f aca="false">IF($C40="","",IF($E40="collected",N($G40),IF(AND(OR($E40="returned_to_brand",$E40="given_to_roster_office",$E40="released_to_office",$E40="disposed"),IF($F40="","reserve",$F40)="leftover"),-N($G40),IF(AND($E40="correction",IF($F40="","reserve",$F40)="leftover"),N($G40),0))))</f>
        <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
      </c>
    </row>
    <row r="41" customFormat="false" ht="15" hidden="false" customHeight="false" outlineLevel="0" collapsed="false">
      <c r="A41" s="11"/>
      <c r="B41" s="38"/>
      <c r="E41" s="10"/>
      <c r="I41" s="11"/>
      <c r="J41" s="10"/>
      <c r="L41" s="31" t="str">
        <f aca="false">IF($C41="","",IFERROR(IF(INDEX(campaigns!$BG$2:$BG$51,MATCH($C41,campaigns!$A$2:$A$51,0))="","",INDEX(campaigns!$BG$2:$BG$51,MATCH($C41,campaigns!$A$2:$A$51,0))),""))</f>
        <v/>
      </c>
      <c r="M41" s="30" t="str">
        <f aca="false">IF($C41="","",IF(OR($E41="received"),N($G41),IF(OR($E41="rejected",$E41="delivered",$E41="topped_up"),-N($G41),IF(AND(OR($E41="returned_to_brand",$E41="given_to_roster_office",$E41="released_to_office",$E41="disposed"),IF($F41="","reserve",$F41)="reserve"),-N($G41),IF(AND($E41="correction",IF($F41="","reserve",$F41)="reserve"),N($G41),0)))))</f>
        <v/>
      </c>
      <c r="N41" s="30" t="str">
        <f aca="false">IF($C41="","",IF($E41="rejected",N($G41),IF(AND(OR($E41="returned_to_brand",$E41="given_to_roster_office",$E41="released_to_office",$E41="disposed"),IF($F41="","reserve",$F41)="rejected"),-N($G41),IF(AND($E41="correction",IF($F41="","reserve",$F41)="rejected"),N($G41),0))))</f>
        <v/>
      </c>
      <c r="O41" s="30" t="str">
        <f aca="false">IF($C41="","",IF($E41="collected",N($G41),IF(AND(OR($E41="returned_to_brand",$E41="given_to_roster_office",$E41="released_to_office",$E41="disposed"),IF($F41="","reserve",$F41)="leftover"),-N($G41),IF(AND($E41="correction",IF($F41="","reserve",$F41)="leftover"),N($G41),0))))</f>
        <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
      </c>
    </row>
    <row r="42" customFormat="false" ht="15" hidden="false" customHeight="false" outlineLevel="0" collapsed="false">
      <c r="A42" s="11"/>
      <c r="B42" s="38"/>
      <c r="E42" s="10"/>
      <c r="I42" s="11"/>
      <c r="J42" s="10"/>
      <c r="L42" s="31" t="str">
        <f aca="false">IF($C42="","",IFERROR(IF(INDEX(campaigns!$BG$2:$BG$51,MATCH($C42,campaigns!$A$2:$A$51,0))="","",INDEX(campaigns!$BG$2:$BG$51,MATCH($C42,campaigns!$A$2:$A$51,0))),""))</f>
        <v/>
      </c>
      <c r="M42" s="30" t="str">
        <f aca="false">IF($C42="","",IF(OR($E42="received"),N($G42),IF(OR($E42="rejected",$E42="delivered",$E42="topped_up"),-N($G42),IF(AND(OR($E42="returned_to_brand",$E42="given_to_roster_office",$E42="released_to_office",$E42="disposed"),IF($F42="","reserve",$F42)="reserve"),-N($G42),IF(AND($E42="correction",IF($F42="","reserve",$F42)="reserve"),N($G42),0)))))</f>
        <v/>
      </c>
      <c r="N42" s="30" t="str">
        <f aca="false">IF($C42="","",IF($E42="rejected",N($G42),IF(AND(OR($E42="returned_to_brand",$E42="given_to_roster_office",$E42="released_to_office",$E42="disposed"),IF($F42="","reserve",$F42)="rejected"),-N($G42),IF(AND($E42="correction",IF($F42="","reserve",$F42)="rejected"),N($G42),0))))</f>
        <v/>
      </c>
      <c r="O42" s="30" t="str">
        <f aca="false">IF($C42="","",IF($E42="collected",N($G42),IF(AND(OR($E42="returned_to_brand",$E42="given_to_roster_office",$E42="released_to_office",$E42="disposed"),IF($F42="","reserve",$F42)="leftover"),-N($G42),IF(AND($E42="correction",IF($F42="","reserve",$F42)="leftover"),N($G42),0))))</f>
        <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
      </c>
    </row>
    <row r="43" customFormat="false" ht="15" hidden="false" customHeight="false" outlineLevel="0" collapsed="false">
      <c r="A43" s="11"/>
      <c r="B43" s="38"/>
      <c r="E43" s="10"/>
      <c r="I43" s="11"/>
      <c r="J43" s="10"/>
      <c r="L43" s="31" t="str">
        <f aca="false">IF($C43="","",IFERROR(IF(INDEX(campaigns!$BG$2:$BG$51,MATCH($C43,campaigns!$A$2:$A$51,0))="","",INDEX(campaigns!$BG$2:$BG$51,MATCH($C43,campaigns!$A$2:$A$51,0))),""))</f>
        <v/>
      </c>
      <c r="M43" s="30" t="str">
        <f aca="false">IF($C43="","",IF(OR($E43="received"),N($G43),IF(OR($E43="rejected",$E43="delivered",$E43="topped_up"),-N($G43),IF(AND(OR($E43="returned_to_brand",$E43="given_to_roster_office",$E43="released_to_office",$E43="disposed"),IF($F43="","reserve",$F43)="reserve"),-N($G43),IF(AND($E43="correction",IF($F43="","reserve",$F43)="reserve"),N($G43),0)))))</f>
        <v/>
      </c>
      <c r="N43" s="30" t="str">
        <f aca="false">IF($C43="","",IF($E43="rejected",N($G43),IF(AND(OR($E43="returned_to_brand",$E43="given_to_roster_office",$E43="released_to_office",$E43="disposed"),IF($F43="","reserve",$F43)="rejected"),-N($G43),IF(AND($E43="correction",IF($F43="","reserve",$F43)="rejected"),N($G43),0))))</f>
        <v/>
      </c>
      <c r="O43" s="30" t="str">
        <f aca="false">IF($C43="","",IF($E43="collected",N($G43),IF(AND(OR($E43="returned_to_brand",$E43="given_to_roster_office",$E43="released_to_office",$E43="disposed"),IF($F43="","reserve",$F43)="leftover"),-N($G43),IF(AND($E43="correction",IF($F43="","reserve",$F43)="leftover"),N($G43),0))))</f>
        <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
      </c>
    </row>
    <row r="44" customFormat="false" ht="15" hidden="false" customHeight="false" outlineLevel="0" collapsed="false">
      <c r="A44" s="11"/>
      <c r="B44" s="38"/>
      <c r="E44" s="10"/>
      <c r="I44" s="11"/>
      <c r="J44" s="10"/>
      <c r="L44" s="31" t="str">
        <f aca="false">IF($C44="","",IFERROR(IF(INDEX(campaigns!$BG$2:$BG$51,MATCH($C44,campaigns!$A$2:$A$51,0))="","",INDEX(campaigns!$BG$2:$BG$51,MATCH($C44,campaigns!$A$2:$A$51,0))),""))</f>
        <v/>
      </c>
      <c r="M44" s="30" t="str">
        <f aca="false">IF($C44="","",IF(OR($E44="received"),N($G44),IF(OR($E44="rejected",$E44="delivered",$E44="topped_up"),-N($G44),IF(AND(OR($E44="returned_to_brand",$E44="given_to_roster_office",$E44="released_to_office",$E44="disposed"),IF($F44="","reserve",$F44)="reserve"),-N($G44),IF(AND($E44="correction",IF($F44="","reserve",$F44)="reserve"),N($G44),0)))))</f>
        <v/>
      </c>
      <c r="N44" s="30" t="str">
        <f aca="false">IF($C44="","",IF($E44="rejected",N($G44),IF(AND(OR($E44="returned_to_brand",$E44="given_to_roster_office",$E44="released_to_office",$E44="disposed"),IF($F44="","reserve",$F44)="rejected"),-N($G44),IF(AND($E44="correction",IF($F44="","reserve",$F44)="rejected"),N($G44),0))))</f>
        <v/>
      </c>
      <c r="O44" s="30" t="str">
        <f aca="false">IF($C44="","",IF($E44="collected",N($G44),IF(AND(OR($E44="returned_to_brand",$E44="given_to_roster_office",$E44="released_to_office",$E44="disposed"),IF($F44="","reserve",$F44)="leftover"),-N($G44),IF(AND($E44="correction",IF($F44="","reserve",$F44)="leftover"),N($G44),0))))</f>
        <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
      </c>
    </row>
    <row r="45" customFormat="false" ht="15" hidden="false" customHeight="false" outlineLevel="0" collapsed="false">
      <c r="A45" s="11"/>
      <c r="B45" s="38"/>
      <c r="E45" s="10"/>
      <c r="I45" s="11"/>
      <c r="J45" s="10"/>
      <c r="L45" s="31" t="str">
        <f aca="false">IF($C45="","",IFERROR(IF(INDEX(campaigns!$BG$2:$BG$51,MATCH($C45,campaigns!$A$2:$A$51,0))="","",INDEX(campaigns!$BG$2:$BG$51,MATCH($C45,campaigns!$A$2:$A$51,0))),""))</f>
        <v/>
      </c>
      <c r="M45" s="30" t="str">
        <f aca="false">IF($C45="","",IF(OR($E45="received"),N($G45),IF(OR($E45="rejected",$E45="delivered",$E45="topped_up"),-N($G45),IF(AND(OR($E45="returned_to_brand",$E45="given_to_roster_office",$E45="released_to_office",$E45="disposed"),IF($F45="","reserve",$F45)="reserve"),-N($G45),IF(AND($E45="correction",IF($F45="","reserve",$F45)="reserve"),N($G45),0)))))</f>
        <v/>
      </c>
      <c r="N45" s="30" t="str">
        <f aca="false">IF($C45="","",IF($E45="rejected",N($G45),IF(AND(OR($E45="returned_to_brand",$E45="given_to_roster_office",$E45="released_to_office",$E45="disposed"),IF($F45="","reserve",$F45)="rejected"),-N($G45),IF(AND($E45="correction",IF($F45="","reserve",$F45)="rejected"),N($G45),0))))</f>
        <v/>
      </c>
      <c r="O45" s="30" t="str">
        <f aca="false">IF($C45="","",IF($E45="collected",N($G45),IF(AND(OR($E45="returned_to_brand",$E45="given_to_roster_office",$E45="released_to_office",$E45="disposed"),IF($F45="","reserve",$F45)="leftover"),-N($G45),IF(AND($E45="correction",IF($F45="","reserve",$F45)="leftover"),N($G45),0))))</f>
        <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
      </c>
    </row>
    <row r="46" customFormat="false" ht="15" hidden="false" customHeight="false" outlineLevel="0" collapsed="false">
      <c r="A46" s="11"/>
      <c r="B46" s="38"/>
      <c r="E46" s="10"/>
      <c r="I46" s="11"/>
      <c r="J46" s="10"/>
      <c r="L46" s="31" t="str">
        <f aca="false">IF($C46="","",IFERROR(IF(INDEX(campaigns!$BG$2:$BG$51,MATCH($C46,campaigns!$A$2:$A$51,0))="","",INDEX(campaigns!$BG$2:$BG$51,MATCH($C46,campaigns!$A$2:$A$51,0))),""))</f>
        <v/>
      </c>
      <c r="M46" s="30" t="str">
        <f aca="false">IF($C46="","",IF(OR($E46="received"),N($G46),IF(OR($E46="rejected",$E46="delivered",$E46="topped_up"),-N($G46),IF(AND(OR($E46="returned_to_brand",$E46="given_to_roster_office",$E46="released_to_office",$E46="disposed"),IF($F46="","reserve",$F46)="reserve"),-N($G46),IF(AND($E46="correction",IF($F46="","reserve",$F46)="reserve"),N($G46),0)))))</f>
        <v/>
      </c>
      <c r="N46" s="30" t="str">
        <f aca="false">IF($C46="","",IF($E46="rejected",N($G46),IF(AND(OR($E46="returned_to_brand",$E46="given_to_roster_office",$E46="released_to_office",$E46="disposed"),IF($F46="","reserve",$F46)="rejected"),-N($G46),IF(AND($E46="correction",IF($F46="","reserve",$F46)="rejected"),N($G46),0))))</f>
        <v/>
      </c>
      <c r="O46" s="30" t="str">
        <f aca="false">IF($C46="","",IF($E46="collected",N($G46),IF(AND(OR($E46="returned_to_brand",$E46="given_to_roster_office",$E46="released_to_office",$E46="disposed"),IF($F46="","reserve",$F46)="leftover"),-N($G46),IF(AND($E46="correction",IF($F46="","reserve",$F46)="leftover"),N($G46),0))))</f>
        <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
      </c>
    </row>
    <row r="47" customFormat="false" ht="15" hidden="false" customHeight="false" outlineLevel="0" collapsed="false">
      <c r="A47" s="11"/>
      <c r="B47" s="38"/>
      <c r="E47" s="10"/>
      <c r="I47" s="11"/>
      <c r="J47" s="10"/>
      <c r="L47" s="31" t="str">
        <f aca="false">IF($C47="","",IFERROR(IF(INDEX(campaigns!$BG$2:$BG$51,MATCH($C47,campaigns!$A$2:$A$51,0))="","",INDEX(campaigns!$BG$2:$BG$51,MATCH($C47,campaigns!$A$2:$A$51,0))),""))</f>
        <v/>
      </c>
      <c r="M47" s="30" t="str">
        <f aca="false">IF($C47="","",IF(OR($E47="received"),N($G47),IF(OR($E47="rejected",$E47="delivered",$E47="topped_up"),-N($G47),IF(AND(OR($E47="returned_to_brand",$E47="given_to_roster_office",$E47="released_to_office",$E47="disposed"),IF($F47="","reserve",$F47)="reserve"),-N($G47),IF(AND($E47="correction",IF($F47="","reserve",$F47)="reserve"),N($G47),0)))))</f>
        <v/>
      </c>
      <c r="N47" s="30" t="str">
        <f aca="false">IF($C47="","",IF($E47="rejected",N($G47),IF(AND(OR($E47="returned_to_brand",$E47="given_to_roster_office",$E47="released_to_office",$E47="disposed"),IF($F47="","reserve",$F47)="rejected"),-N($G47),IF(AND($E47="correction",IF($F47="","reserve",$F47)="rejected"),N($G47),0))))</f>
        <v/>
      </c>
      <c r="O47" s="30" t="str">
        <f aca="false">IF($C47="","",IF($E47="collected",N($G47),IF(AND(OR($E47="returned_to_brand",$E47="given_to_roster_office",$E47="released_to_office",$E47="disposed"),IF($F47="","reserve",$F47)="leftover"),-N($G47),IF(AND($E47="correction",IF($F47="","reserve",$F47)="leftover"),N($G47),0))))</f>
        <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
      </c>
    </row>
    <row r="48" customFormat="false" ht="15" hidden="false" customHeight="false" outlineLevel="0" collapsed="false">
      <c r="A48" s="11"/>
      <c r="B48" s="38"/>
      <c r="E48" s="10"/>
      <c r="I48" s="11"/>
      <c r="J48" s="10"/>
      <c r="L48" s="31" t="str">
        <f aca="false">IF($C48="","",IFERROR(IF(INDEX(campaigns!$BG$2:$BG$51,MATCH($C48,campaigns!$A$2:$A$51,0))="","",INDEX(campaigns!$BG$2:$BG$51,MATCH($C48,campaigns!$A$2:$A$51,0))),""))</f>
        <v/>
      </c>
      <c r="M48" s="30" t="str">
        <f aca="false">IF($C48="","",IF(OR($E48="received"),N($G48),IF(OR($E48="rejected",$E48="delivered",$E48="topped_up"),-N($G48),IF(AND(OR($E48="returned_to_brand",$E48="given_to_roster_office",$E48="released_to_office",$E48="disposed"),IF($F48="","reserve",$F48)="reserve"),-N($G48),IF(AND($E48="correction",IF($F48="","reserve",$F48)="reserve"),N($G48),0)))))</f>
        <v/>
      </c>
      <c r="N48" s="30" t="str">
        <f aca="false">IF($C48="","",IF($E48="rejected",N($G48),IF(AND(OR($E48="returned_to_brand",$E48="given_to_roster_office",$E48="released_to_office",$E48="disposed"),IF($F48="","reserve",$F48)="rejected"),-N($G48),IF(AND($E48="correction",IF($F48="","reserve",$F48)="rejected"),N($G48),0))))</f>
        <v/>
      </c>
      <c r="O48" s="30" t="str">
        <f aca="false">IF($C48="","",IF($E48="collected",N($G48),IF(AND(OR($E48="returned_to_brand",$E48="given_to_roster_office",$E48="released_to_office",$E48="disposed"),IF($F48="","reserve",$F48)="leftover"),-N($G48),IF(AND($E48="correction",IF($F48="","reserve",$F48)="leftover"),N($G48),0))))</f>
        <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
      </c>
    </row>
    <row r="49" customFormat="false" ht="15" hidden="false" customHeight="false" outlineLevel="0" collapsed="false">
      <c r="A49" s="11"/>
      <c r="B49" s="38"/>
      <c r="E49" s="10"/>
      <c r="I49" s="11"/>
      <c r="J49" s="10"/>
      <c r="L49" s="31" t="str">
        <f aca="false">IF($C49="","",IFERROR(IF(INDEX(campaigns!$BG$2:$BG$51,MATCH($C49,campaigns!$A$2:$A$51,0))="","",INDEX(campaigns!$BG$2:$BG$51,MATCH($C49,campaigns!$A$2:$A$51,0))),""))</f>
        <v/>
      </c>
      <c r="M49" s="30" t="str">
        <f aca="false">IF($C49="","",IF(OR($E49="received"),N($G49),IF(OR($E49="rejected",$E49="delivered",$E49="topped_up"),-N($G49),IF(AND(OR($E49="returned_to_brand",$E49="given_to_roster_office",$E49="released_to_office",$E49="disposed"),IF($F49="","reserve",$F49)="reserve"),-N($G49),IF(AND($E49="correction",IF($F49="","reserve",$F49)="reserve"),N($G49),0)))))</f>
        <v/>
      </c>
      <c r="N49" s="30" t="str">
        <f aca="false">IF($C49="","",IF($E49="rejected",N($G49),IF(AND(OR($E49="returned_to_brand",$E49="given_to_roster_office",$E49="released_to_office",$E49="disposed"),IF($F49="","reserve",$F49)="rejected"),-N($G49),IF(AND($E49="correction",IF($F49="","reserve",$F49)="rejected"),N($G49),0))))</f>
        <v/>
      </c>
      <c r="O49" s="30" t="str">
        <f aca="false">IF($C49="","",IF($E49="collected",N($G49),IF(AND(OR($E49="returned_to_brand",$E49="given_to_roster_office",$E49="released_to_office",$E49="disposed"),IF($F49="","reserve",$F49)="leftover"),-N($G49),IF(AND($E49="correction",IF($F49="","reserve",$F49)="leftover"),N($G49),0))))</f>
        <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
      </c>
    </row>
    <row r="50" customFormat="false" ht="15" hidden="false" customHeight="false" outlineLevel="0" collapsed="false">
      <c r="A50" s="11"/>
      <c r="B50" s="38"/>
      <c r="E50" s="10"/>
      <c r="I50" s="11"/>
      <c r="J50" s="10"/>
      <c r="L50" s="31" t="str">
        <f aca="false">IF($C50="","",IFERROR(IF(INDEX(campaigns!$BG$2:$BG$51,MATCH($C50,campaigns!$A$2:$A$51,0))="","",INDEX(campaigns!$BG$2:$BG$51,MATCH($C50,campaigns!$A$2:$A$51,0))),""))</f>
        <v/>
      </c>
      <c r="M50" s="30" t="str">
        <f aca="false">IF($C50="","",IF(OR($E50="received"),N($G50),IF(OR($E50="rejected",$E50="delivered",$E50="topped_up"),-N($G50),IF(AND(OR($E50="returned_to_brand",$E50="given_to_roster_office",$E50="released_to_office",$E50="disposed"),IF($F50="","reserve",$F50)="reserve"),-N($G50),IF(AND($E50="correction",IF($F50="","reserve",$F50)="reserve"),N($G50),0)))))</f>
        <v/>
      </c>
      <c r="N50" s="30" t="str">
        <f aca="false">IF($C50="","",IF($E50="rejected",N($G50),IF(AND(OR($E50="returned_to_brand",$E50="given_to_roster_office",$E50="released_to_office",$E50="disposed"),IF($F50="","reserve",$F50)="rejected"),-N($G50),IF(AND($E50="correction",IF($F50="","reserve",$F50)="rejected"),N($G50),0))))</f>
        <v/>
      </c>
      <c r="O50" s="30" t="str">
        <f aca="false">IF($C50="","",IF($E50="collected",N($G50),IF(AND(OR($E50="returned_to_brand",$E50="given_to_roster_office",$E50="released_to_office",$E50="disposed"),IF($F50="","reserve",$F50)="leftover"),-N($G50),IF(AND($E50="correction",IF($F50="","reserve",$F50)="leftover"),N($G50),0))))</f>
        <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
      </c>
    </row>
    <row r="51" customFormat="false" ht="15" hidden="false" customHeight="false" outlineLevel="0" collapsed="false">
      <c r="A51" s="11"/>
      <c r="B51" s="38"/>
      <c r="E51" s="10"/>
      <c r="I51" s="11"/>
      <c r="J51" s="10"/>
      <c r="L51" s="31" t="str">
        <f aca="false">IF($C51="","",IFERROR(IF(INDEX(campaigns!$BG$2:$BG$51,MATCH($C51,campaigns!$A$2:$A$51,0))="","",INDEX(campaigns!$BG$2:$BG$51,MATCH($C51,campaigns!$A$2:$A$51,0))),""))</f>
        <v/>
      </c>
      <c r="M51" s="30" t="str">
        <f aca="false">IF($C51="","",IF(OR($E51="received"),N($G51),IF(OR($E51="rejected",$E51="delivered",$E51="topped_up"),-N($G51),IF(AND(OR($E51="returned_to_brand",$E51="given_to_roster_office",$E51="released_to_office",$E51="disposed"),IF($F51="","reserve",$F51)="reserve"),-N($G51),IF(AND($E51="correction",IF($F51="","reserve",$F51)="reserve"),N($G51),0)))))</f>
        <v/>
      </c>
      <c r="N51" s="30" t="str">
        <f aca="false">IF($C51="","",IF($E51="rejected",N($G51),IF(AND(OR($E51="returned_to_brand",$E51="given_to_roster_office",$E51="released_to_office",$E51="disposed"),IF($F51="","reserve",$F51)="rejected"),-N($G51),IF(AND($E51="correction",IF($F51="","reserve",$F51)="rejected"),N($G51),0))))</f>
        <v/>
      </c>
      <c r="O51" s="30" t="str">
        <f aca="false">IF($C51="","",IF($E51="collected",N($G51),IF(AND(OR($E51="returned_to_brand",$E51="given_to_roster_office",$E51="released_to_office",$E51="disposed"),IF($F51="","reserve",$F51)="leftover"),-N($G51),IF(AND($E51="correction",IF($F51="","reserve",$F51)="leftover"),N($G51),0))))</f>
        <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
      </c>
    </row>
    <row r="52" customFormat="false" ht="15" hidden="false" customHeight="false" outlineLevel="0" collapsed="false">
      <c r="A52" s="11"/>
      <c r="B52" s="38"/>
      <c r="E52" s="10"/>
      <c r="I52" s="11"/>
      <c r="J52" s="10"/>
      <c r="L52" s="31" t="str">
        <f aca="false">IF($C52="","",IFERROR(IF(INDEX(campaigns!$BG$2:$BG$51,MATCH($C52,campaigns!$A$2:$A$51,0))="","",INDEX(campaigns!$BG$2:$BG$51,MATCH($C52,campaigns!$A$2:$A$51,0))),""))</f>
        <v/>
      </c>
      <c r="M52" s="30" t="str">
        <f aca="false">IF($C52="","",IF(OR($E52="received"),N($G52),IF(OR($E52="rejected",$E52="delivered",$E52="topped_up"),-N($G52),IF(AND(OR($E52="returned_to_brand",$E52="given_to_roster_office",$E52="released_to_office",$E52="disposed"),IF($F52="","reserve",$F52)="reserve"),-N($G52),IF(AND($E52="correction",IF($F52="","reserve",$F52)="reserve"),N($G52),0)))))</f>
        <v/>
      </c>
      <c r="N52" s="30" t="str">
        <f aca="false">IF($C52="","",IF($E52="rejected",N($G52),IF(AND(OR($E52="returned_to_brand",$E52="given_to_roster_office",$E52="released_to_office",$E52="disposed"),IF($F52="","reserve",$F52)="rejected"),-N($G52),IF(AND($E52="correction",IF($F52="","reserve",$F52)="rejected"),N($G52),0))))</f>
        <v/>
      </c>
      <c r="O52" s="30" t="str">
        <f aca="false">IF($C52="","",IF($E52="collected",N($G52),IF(AND(OR($E52="returned_to_brand",$E52="given_to_roster_office",$E52="released_to_office",$E52="disposed"),IF($F52="","reserve",$F52)="leftover"),-N($G52),IF(AND($E52="correction",IF($F52="","reserve",$F52)="leftover"),N($G52),0))))</f>
        <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
      </c>
    </row>
    <row r="53" customFormat="false" ht="15" hidden="false" customHeight="false" outlineLevel="0" collapsed="false">
      <c r="A53" s="11"/>
      <c r="B53" s="38"/>
      <c r="E53" s="10"/>
      <c r="I53" s="11"/>
      <c r="J53" s="10"/>
      <c r="L53" s="31" t="str">
        <f aca="false">IF($C53="","",IFERROR(IF(INDEX(campaigns!$BG$2:$BG$51,MATCH($C53,campaigns!$A$2:$A$51,0))="","",INDEX(campaigns!$BG$2:$BG$51,MATCH($C53,campaigns!$A$2:$A$51,0))),""))</f>
        <v/>
      </c>
      <c r="M53" s="30" t="str">
        <f aca="false">IF($C53="","",IF(OR($E53="received"),N($G53),IF(OR($E53="rejected",$E53="delivered",$E53="topped_up"),-N($G53),IF(AND(OR($E53="returned_to_brand",$E53="given_to_roster_office",$E53="released_to_office",$E53="disposed"),IF($F53="","reserve",$F53)="reserve"),-N($G53),IF(AND($E53="correction",IF($F53="","reserve",$F53)="reserve"),N($G53),0)))))</f>
        <v/>
      </c>
      <c r="N53" s="30" t="str">
        <f aca="false">IF($C53="","",IF($E53="rejected",N($G53),IF(AND(OR($E53="returned_to_brand",$E53="given_to_roster_office",$E53="released_to_office",$E53="disposed"),IF($F53="","reserve",$F53)="rejected"),-N($G53),IF(AND($E53="correction",IF($F53="","reserve",$F53)="rejected"),N($G53),0))))</f>
        <v/>
      </c>
      <c r="O53" s="30" t="str">
        <f aca="false">IF($C53="","",IF($E53="collected",N($G53),IF(AND(OR($E53="returned_to_brand",$E53="given_to_roster_office",$E53="released_to_office",$E53="disposed"),IF($F53="","reserve",$F53)="leftover"),-N($G53),IF(AND($E53="correction",IF($F53="","reserve",$F53)="leftover"),N($G53),0))))</f>
        <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
      </c>
    </row>
    <row r="54" customFormat="false" ht="15" hidden="false" customHeight="false" outlineLevel="0" collapsed="false">
      <c r="A54" s="11"/>
      <c r="B54" s="38"/>
      <c r="E54" s="10"/>
      <c r="I54" s="11"/>
      <c r="J54" s="10"/>
      <c r="L54" s="31" t="str">
        <f aca="false">IF($C54="","",IFERROR(IF(INDEX(campaigns!$BG$2:$BG$51,MATCH($C54,campaigns!$A$2:$A$51,0))="","",INDEX(campaigns!$BG$2:$BG$51,MATCH($C54,campaigns!$A$2:$A$51,0))),""))</f>
        <v/>
      </c>
      <c r="M54" s="30" t="str">
        <f aca="false">IF($C54="","",IF(OR($E54="received"),N($G54),IF(OR($E54="rejected",$E54="delivered",$E54="topped_up"),-N($G54),IF(AND(OR($E54="returned_to_brand",$E54="given_to_roster_office",$E54="released_to_office",$E54="disposed"),IF($F54="","reserve",$F54)="reserve"),-N($G54),IF(AND($E54="correction",IF($F54="","reserve",$F54)="reserve"),N($G54),0)))))</f>
        <v/>
      </c>
      <c r="N54" s="30" t="str">
        <f aca="false">IF($C54="","",IF($E54="rejected",N($G54),IF(AND(OR($E54="returned_to_brand",$E54="given_to_roster_office",$E54="released_to_office",$E54="disposed"),IF($F54="","reserve",$F54)="rejected"),-N($G54),IF(AND($E54="correction",IF($F54="","reserve",$F54)="rejected"),N($G54),0))))</f>
        <v/>
      </c>
      <c r="O54" s="30" t="str">
        <f aca="false">IF($C54="","",IF($E54="collected",N($G54),IF(AND(OR($E54="returned_to_brand",$E54="given_to_roster_office",$E54="released_to_office",$E54="disposed"),IF($F54="","reserve",$F54)="leftover"),-N($G54),IF(AND($E54="correction",IF($F54="","reserve",$F54)="leftover"),N($G54),0))))</f>
        <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
      </c>
    </row>
    <row r="55" customFormat="false" ht="15" hidden="false" customHeight="false" outlineLevel="0" collapsed="false">
      <c r="A55" s="11"/>
      <c r="B55" s="38"/>
      <c r="E55" s="10"/>
      <c r="I55" s="11"/>
      <c r="J55" s="10"/>
      <c r="L55" s="31" t="str">
        <f aca="false">IF($C55="","",IFERROR(IF(INDEX(campaigns!$BG$2:$BG$51,MATCH($C55,campaigns!$A$2:$A$51,0))="","",INDEX(campaigns!$BG$2:$BG$51,MATCH($C55,campaigns!$A$2:$A$51,0))),""))</f>
        <v/>
      </c>
      <c r="M55" s="30" t="str">
        <f aca="false">IF($C55="","",IF(OR($E55="received"),N($G55),IF(OR($E55="rejected",$E55="delivered",$E55="topped_up"),-N($G55),IF(AND(OR($E55="returned_to_brand",$E55="given_to_roster_office",$E55="released_to_office",$E55="disposed"),IF($F55="","reserve",$F55)="reserve"),-N($G55),IF(AND($E55="correction",IF($F55="","reserve",$F55)="reserve"),N($G55),0)))))</f>
        <v/>
      </c>
      <c r="N55" s="30" t="str">
        <f aca="false">IF($C55="","",IF($E55="rejected",N($G55),IF(AND(OR($E55="returned_to_brand",$E55="given_to_roster_office",$E55="released_to_office",$E55="disposed"),IF($F55="","reserve",$F55)="rejected"),-N($G55),IF(AND($E55="correction",IF($F55="","reserve",$F55)="rejected"),N($G55),0))))</f>
        <v/>
      </c>
      <c r="O55" s="30" t="str">
        <f aca="false">IF($C55="","",IF($E55="collected",N($G55),IF(AND(OR($E55="returned_to_brand",$E55="given_to_roster_office",$E55="released_to_office",$E55="disposed"),IF($F55="","reserve",$F55)="leftover"),-N($G55),IF(AND($E55="correction",IF($F55="","reserve",$F55)="leftover"),N($G55),0))))</f>
        <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
      </c>
    </row>
    <row r="56" customFormat="false" ht="15" hidden="false" customHeight="false" outlineLevel="0" collapsed="false">
      <c r="A56" s="11"/>
      <c r="B56" s="38"/>
      <c r="E56" s="10"/>
      <c r="I56" s="11"/>
      <c r="J56" s="10"/>
      <c r="L56" s="31" t="str">
        <f aca="false">IF($C56="","",IFERROR(IF(INDEX(campaigns!$BG$2:$BG$51,MATCH($C56,campaigns!$A$2:$A$51,0))="","",INDEX(campaigns!$BG$2:$BG$51,MATCH($C56,campaigns!$A$2:$A$51,0))),""))</f>
        <v/>
      </c>
      <c r="M56" s="30" t="str">
        <f aca="false">IF($C56="","",IF(OR($E56="received"),N($G56),IF(OR($E56="rejected",$E56="delivered",$E56="topped_up"),-N($G56),IF(AND(OR($E56="returned_to_brand",$E56="given_to_roster_office",$E56="released_to_office",$E56="disposed"),IF($F56="","reserve",$F56)="reserve"),-N($G56),IF(AND($E56="correction",IF($F56="","reserve",$F56)="reserve"),N($G56),0)))))</f>
        <v/>
      </c>
      <c r="N56" s="30" t="str">
        <f aca="false">IF($C56="","",IF($E56="rejected",N($G56),IF(AND(OR($E56="returned_to_brand",$E56="given_to_roster_office",$E56="released_to_office",$E56="disposed"),IF($F56="","reserve",$F56)="rejected"),-N($G56),IF(AND($E56="correction",IF($F56="","reserve",$F56)="rejected"),N($G56),0))))</f>
        <v/>
      </c>
      <c r="O56" s="30" t="str">
        <f aca="false">IF($C56="","",IF($E56="collected",N($G56),IF(AND(OR($E56="returned_to_brand",$E56="given_to_roster_office",$E56="released_to_office",$E56="disposed"),IF($F56="","reserve",$F56)="leftover"),-N($G56),IF(AND($E56="correction",IF($F56="","reserve",$F56)="leftover"),N($G56),0))))</f>
        <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
      </c>
    </row>
    <row r="57" customFormat="false" ht="15" hidden="false" customHeight="false" outlineLevel="0" collapsed="false">
      <c r="A57" s="11"/>
      <c r="B57" s="38"/>
      <c r="E57" s="10"/>
      <c r="I57" s="11"/>
      <c r="J57" s="10"/>
      <c r="L57" s="31" t="str">
        <f aca="false">IF($C57="","",IFERROR(IF(INDEX(campaigns!$BG$2:$BG$51,MATCH($C57,campaigns!$A$2:$A$51,0))="","",INDEX(campaigns!$BG$2:$BG$51,MATCH($C57,campaigns!$A$2:$A$51,0))),""))</f>
        <v/>
      </c>
      <c r="M57" s="30" t="str">
        <f aca="false">IF($C57="","",IF(OR($E57="received"),N($G57),IF(OR($E57="rejected",$E57="delivered",$E57="topped_up"),-N($G57),IF(AND(OR($E57="returned_to_brand",$E57="given_to_roster_office",$E57="released_to_office",$E57="disposed"),IF($F57="","reserve",$F57)="reserve"),-N($G57),IF(AND($E57="correction",IF($F57="","reserve",$F57)="reserve"),N($G57),0)))))</f>
        <v/>
      </c>
      <c r="N57" s="30" t="str">
        <f aca="false">IF($C57="","",IF($E57="rejected",N($G57),IF(AND(OR($E57="returned_to_brand",$E57="given_to_roster_office",$E57="released_to_office",$E57="disposed"),IF($F57="","reserve",$F57)="rejected"),-N($G57),IF(AND($E57="correction",IF($F57="","reserve",$F57)="rejected"),N($G57),0))))</f>
        <v/>
      </c>
      <c r="O57" s="30" t="str">
        <f aca="false">IF($C57="","",IF($E57="collected",N($G57),IF(AND(OR($E57="returned_to_brand",$E57="given_to_roster_office",$E57="released_to_office",$E57="disposed"),IF($F57="","reserve",$F57)="leftover"),-N($G57),IF(AND($E57="correction",IF($F57="","reserve",$F57)="leftover"),N($G57),0))))</f>
        <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
      </c>
    </row>
    <row r="58" customFormat="false" ht="15" hidden="false" customHeight="false" outlineLevel="0" collapsed="false">
      <c r="A58" s="11"/>
      <c r="B58" s="38"/>
      <c r="E58" s="10"/>
      <c r="I58" s="11"/>
      <c r="J58" s="10"/>
      <c r="L58" s="31" t="str">
        <f aca="false">IF($C58="","",IFERROR(IF(INDEX(campaigns!$BG$2:$BG$51,MATCH($C58,campaigns!$A$2:$A$51,0))="","",INDEX(campaigns!$BG$2:$BG$51,MATCH($C58,campaigns!$A$2:$A$51,0))),""))</f>
        <v/>
      </c>
      <c r="M58" s="30" t="str">
        <f aca="false">IF($C58="","",IF(OR($E58="received"),N($G58),IF(OR($E58="rejected",$E58="delivered",$E58="topped_up"),-N($G58),IF(AND(OR($E58="returned_to_brand",$E58="given_to_roster_office",$E58="released_to_office",$E58="disposed"),IF($F58="","reserve",$F58)="reserve"),-N($G58),IF(AND($E58="correction",IF($F58="","reserve",$F58)="reserve"),N($G58),0)))))</f>
        <v/>
      </c>
      <c r="N58" s="30" t="str">
        <f aca="false">IF($C58="","",IF($E58="rejected",N($G58),IF(AND(OR($E58="returned_to_brand",$E58="given_to_roster_office",$E58="released_to_office",$E58="disposed"),IF($F58="","reserve",$F58)="rejected"),-N($G58),IF(AND($E58="correction",IF($F58="","reserve",$F58)="rejected"),N($G58),0))))</f>
        <v/>
      </c>
      <c r="O58" s="30" t="str">
        <f aca="false">IF($C58="","",IF($E58="collected",N($G58),IF(AND(OR($E58="returned_to_brand",$E58="given_to_roster_office",$E58="released_to_office",$E58="disposed"),IF($F58="","reserve",$F58)="leftover"),-N($G58),IF(AND($E58="correction",IF($F58="","reserve",$F58)="leftover"),N($G58),0))))</f>
        <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
      </c>
    </row>
    <row r="59" customFormat="false" ht="15" hidden="false" customHeight="false" outlineLevel="0" collapsed="false">
      <c r="A59" s="11"/>
      <c r="B59" s="38"/>
      <c r="E59" s="10"/>
      <c r="I59" s="11"/>
      <c r="J59" s="10"/>
      <c r="L59" s="31" t="str">
        <f aca="false">IF($C59="","",IFERROR(IF(INDEX(campaigns!$BG$2:$BG$51,MATCH($C59,campaigns!$A$2:$A$51,0))="","",INDEX(campaigns!$BG$2:$BG$51,MATCH($C59,campaigns!$A$2:$A$51,0))),""))</f>
        <v/>
      </c>
      <c r="M59" s="30" t="str">
        <f aca="false">IF($C59="","",IF(OR($E59="received"),N($G59),IF(OR($E59="rejected",$E59="delivered",$E59="topped_up"),-N($G59),IF(AND(OR($E59="returned_to_brand",$E59="given_to_roster_office",$E59="released_to_office",$E59="disposed"),IF($F59="","reserve",$F59)="reserve"),-N($G59),IF(AND($E59="correction",IF($F59="","reserve",$F59)="reserve"),N($G59),0)))))</f>
        <v/>
      </c>
      <c r="N59" s="30" t="str">
        <f aca="false">IF($C59="","",IF($E59="rejected",N($G59),IF(AND(OR($E59="returned_to_brand",$E59="given_to_roster_office",$E59="released_to_office",$E59="disposed"),IF($F59="","reserve",$F59)="rejected"),-N($G59),IF(AND($E59="correction",IF($F59="","reserve",$F59)="rejected"),N($G59),0))))</f>
        <v/>
      </c>
      <c r="O59" s="30" t="str">
        <f aca="false">IF($C59="","",IF($E59="collected",N($G59),IF(AND(OR($E59="returned_to_brand",$E59="given_to_roster_office",$E59="released_to_office",$E59="disposed"),IF($F59="","reserve",$F59)="leftover"),-N($G59),IF(AND($E59="correction",IF($F59="","reserve",$F59)="leftover"),N($G59),0))))</f>
        <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
      </c>
    </row>
    <row r="60" customFormat="false" ht="15" hidden="false" customHeight="false" outlineLevel="0" collapsed="false">
      <c r="A60" s="11"/>
      <c r="B60" s="38"/>
      <c r="E60" s="10"/>
      <c r="I60" s="11"/>
      <c r="J60" s="10"/>
      <c r="L60" s="31" t="str">
        <f aca="false">IF($C60="","",IFERROR(IF(INDEX(campaigns!$BG$2:$BG$51,MATCH($C60,campaigns!$A$2:$A$51,0))="","",INDEX(campaigns!$BG$2:$BG$51,MATCH($C60,campaigns!$A$2:$A$51,0))),""))</f>
        <v/>
      </c>
      <c r="M60" s="30" t="str">
        <f aca="false">IF($C60="","",IF(OR($E60="received"),N($G60),IF(OR($E60="rejected",$E60="delivered",$E60="topped_up"),-N($G60),IF(AND(OR($E60="returned_to_brand",$E60="given_to_roster_office",$E60="released_to_office",$E60="disposed"),IF($F60="","reserve",$F60)="reserve"),-N($G60),IF(AND($E60="correction",IF($F60="","reserve",$F60)="reserve"),N($G60),0)))))</f>
        <v/>
      </c>
      <c r="N60" s="30" t="str">
        <f aca="false">IF($C60="","",IF($E60="rejected",N($G60),IF(AND(OR($E60="returned_to_brand",$E60="given_to_roster_office",$E60="released_to_office",$E60="disposed"),IF($F60="","reserve",$F60)="rejected"),-N($G60),IF(AND($E60="correction",IF($F60="","reserve",$F60)="rejected"),N($G60),0))))</f>
        <v/>
      </c>
      <c r="O60" s="30" t="str">
        <f aca="false">IF($C60="","",IF($E60="collected",N($G60),IF(AND(OR($E60="returned_to_brand",$E60="given_to_roster_office",$E60="released_to_office",$E60="disposed"),IF($F60="","reserve",$F60)="leftover"),-N($G60),IF(AND($E60="correction",IF($F60="","reserve",$F60)="leftover"),N($G60),0))))</f>
        <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75</v>
      </c>
      <c r="B1" s="28" t="s">
        <v>676</v>
      </c>
      <c r="C1" s="28" t="s">
        <v>346</v>
      </c>
      <c r="D1" s="28" t="s">
        <v>561</v>
      </c>
      <c r="E1" s="28" t="s">
        <v>697</v>
      </c>
      <c r="F1" s="28" t="s">
        <v>83</v>
      </c>
      <c r="G1" s="28" t="s">
        <v>698</v>
      </c>
      <c r="H1" s="28" t="s">
        <v>699</v>
      </c>
      <c r="I1" s="28" t="s">
        <v>175</v>
      </c>
      <c r="J1" s="29" t="s">
        <v>700</v>
      </c>
      <c r="K1" s="29" t="s">
        <v>118</v>
      </c>
    </row>
    <row r="2" customFormat="false" ht="15" hidden="false" customHeight="false" outlineLevel="0" collapsed="false">
      <c r="A2" s="11" t="n">
        <v>46399</v>
      </c>
      <c r="B2" s="38" t="n">
        <v>0.356944444444445</v>
      </c>
      <c r="C2" s="10" t="s">
        <v>459</v>
      </c>
      <c r="D2" s="10" t="s">
        <v>594</v>
      </c>
      <c r="E2" s="10" t="s">
        <v>701</v>
      </c>
      <c r="F2" s="0" t="n">
        <v>40</v>
      </c>
      <c r="G2" s="10" t="s">
        <v>702</v>
      </c>
      <c r="H2" s="10" t="s">
        <v>703</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459</v>
      </c>
      <c r="D3" s="10" t="s">
        <v>594</v>
      </c>
      <c r="E3" s="10" t="s">
        <v>636</v>
      </c>
      <c r="F3" s="0" t="n">
        <v>4</v>
      </c>
      <c r="G3" s="10" t="s">
        <v>704</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46399</v>
      </c>
      <c r="B4" s="38" t="n">
        <v>0.486111111111111</v>
      </c>
      <c r="C4" s="10" t="s">
        <v>459</v>
      </c>
      <c r="D4" s="10" t="s">
        <v>597</v>
      </c>
      <c r="E4" s="10" t="s">
        <v>701</v>
      </c>
      <c r="F4" s="0" t="n">
        <v>38</v>
      </c>
      <c r="G4" s="10" t="s">
        <v>702</v>
      </c>
      <c r="H4" s="10" t="s">
        <v>705</v>
      </c>
      <c r="J4" s="30" t="n">
        <f aca="false">IF(OR($C4="",$A4=""),"",IF($A4&lt;IFERROR(IF(INDEX(campaigns!$BG$2:$BG$51,MATCH($C4,campaigns!$A$2:$A$51,0))="","",INDEX(campaigns!$BG$2:$BG$51,MATCH($C4,campaigns!$A$2:$A$51,0))),""),0,NETWORKDAYS(IFERROR(IF(INDEX(campaigns!$BG$2:$BG$51,MATCH($C4,campaigns!$A$2:$A$51,0))="","",INDEX(campaigns!$BG$2:$BG$51,MATCH($C4,campaigns!$A$2:$A$51,0))),""),$A4,calendar!$A$2:$A$80)))</f>
        <v>1</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46401</v>
      </c>
      <c r="B5" s="38" t="n">
        <v>0.458333333333333</v>
      </c>
      <c r="C5" s="10" t="s">
        <v>459</v>
      </c>
      <c r="D5" s="10" t="s">
        <v>597</v>
      </c>
      <c r="E5" s="10" t="s">
        <v>636</v>
      </c>
      <c r="F5" s="0" t="n">
        <v>15</v>
      </c>
      <c r="G5" s="10" t="s">
        <v>704</v>
      </c>
      <c r="J5" s="30" t="n">
        <f aca="false">IF(OR($C5="",$A5=""),"",IF($A5&lt;IFERROR(IF(INDEX(campaigns!$BG$2:$BG$51,MATCH($C5,campaigns!$A$2:$A$51,0))="","",INDEX(campaigns!$BG$2:$BG$51,MATCH($C5,campaigns!$A$2:$A$51,0))),""),0,NETWORKDAYS(IFERROR(IF(INDEX(campaigns!$BG$2:$BG$51,MATCH($C5,campaigns!$A$2:$A$51,0))="","",INDEX(campaigns!$BG$2:$BG$51,MATCH($C5,campaigns!$A$2:$A$51,0))),""),$A5,calendar!$A$2:$A$80)))</f>
        <v>3</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46399</v>
      </c>
      <c r="B6" s="38" t="n">
        <v>0.381944444444444</v>
      </c>
      <c r="C6" s="10" t="s">
        <v>459</v>
      </c>
      <c r="D6" s="10" t="s">
        <v>599</v>
      </c>
      <c r="E6" s="10" t="s">
        <v>701</v>
      </c>
      <c r="F6" s="0" t="n">
        <v>50</v>
      </c>
      <c r="G6" s="10" t="s">
        <v>702</v>
      </c>
      <c r="H6" s="10" t="s">
        <v>706</v>
      </c>
      <c r="J6" s="30" t="n">
        <f aca="false">IF(OR($C6="",$A6=""),"",IF($A6&lt;IFERROR(IF(INDEX(campaigns!$BG$2:$BG$51,MATCH($C6,campaigns!$A$2:$A$51,0))="","",INDEX(campaigns!$BG$2:$BG$51,MATCH($C6,campaigns!$A$2:$A$51,0))),""),0,NETWORKDAYS(IFERROR(IF(INDEX(campaigns!$BG$2:$BG$51,MATCH($C6,campaigns!$A$2:$A$51,0))="","",INDEX(campaigns!$BG$2:$BG$51,MATCH($C6,campaigns!$A$2:$A$51,0))),""),$A6,calendar!$A$2:$A$80)))</f>
        <v>1</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46401</v>
      </c>
      <c r="B7" s="38" t="n">
        <v>0.458333333333333</v>
      </c>
      <c r="C7" s="10" t="s">
        <v>459</v>
      </c>
      <c r="D7" s="10" t="s">
        <v>599</v>
      </c>
      <c r="E7" s="10" t="s">
        <v>636</v>
      </c>
      <c r="F7" s="0" t="n">
        <v>18</v>
      </c>
      <c r="G7" s="10" t="s">
        <v>704</v>
      </c>
      <c r="J7" s="30" t="n">
        <f aca="false">IF(OR($C7="",$A7=""),"",IF($A7&lt;IFERROR(IF(INDEX(campaigns!$BG$2:$BG$51,MATCH($C7,campaigns!$A$2:$A$51,0))="","",INDEX(campaigns!$BG$2:$BG$51,MATCH($C7,campaigns!$A$2:$A$51,0))),""),0,NETWORKDAYS(IFERROR(IF(INDEX(campaigns!$BG$2:$BG$51,MATCH($C7,campaigns!$A$2:$A$51,0))="","",INDEX(campaigns!$BG$2:$BG$51,MATCH($C7,campaigns!$A$2:$A$51,0))),""),$A7,calendar!$A$2:$A$80)))</f>
        <v>3</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46401</v>
      </c>
      <c r="B8" s="38" t="n">
        <v>0.40625</v>
      </c>
      <c r="C8" s="10" t="s">
        <v>459</v>
      </c>
      <c r="D8" s="10" t="s">
        <v>602</v>
      </c>
      <c r="E8" s="10" t="s">
        <v>701</v>
      </c>
      <c r="F8" s="0" t="n">
        <v>50</v>
      </c>
      <c r="G8" s="10" t="s">
        <v>702</v>
      </c>
      <c r="H8" s="10" t="s">
        <v>707</v>
      </c>
      <c r="J8" s="30" t="n">
        <f aca="false">IF(OR($C8="",$A8=""),"",IF($A8&lt;IFERROR(IF(INDEX(campaigns!$BG$2:$BG$51,MATCH($C8,campaigns!$A$2:$A$51,0))="","",INDEX(campaigns!$BG$2:$BG$51,MATCH($C8,campaigns!$A$2:$A$51,0))),""),0,NETWORKDAYS(IFERROR(IF(INDEX(campaigns!$BG$2:$BG$51,MATCH($C8,campaigns!$A$2:$A$51,0))="","",INDEX(campaigns!$BG$2:$BG$51,MATCH($C8,campaigns!$A$2:$A$51,0))),""),$A8,calendar!$A$2:$A$80)))</f>
        <v>3</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459</v>
      </c>
      <c r="D9" s="10" t="s">
        <v>602</v>
      </c>
      <c r="E9" s="10" t="s">
        <v>636</v>
      </c>
      <c r="F9" s="0" t="n">
        <v>41</v>
      </c>
      <c r="G9" s="10" t="s">
        <v>704</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46399</v>
      </c>
      <c r="B10" s="38" t="n">
        <v>0.590277777777778</v>
      </c>
      <c r="C10" s="10" t="s">
        <v>459</v>
      </c>
      <c r="D10" s="10" t="s">
        <v>604</v>
      </c>
      <c r="E10" s="10" t="s">
        <v>701</v>
      </c>
      <c r="F10" s="0" t="n">
        <v>70</v>
      </c>
      <c r="G10" s="10" t="s">
        <v>702</v>
      </c>
      <c r="H10" s="10" t="s">
        <v>708</v>
      </c>
      <c r="J10" s="30" t="n">
        <f aca="false">IF(OR($C10="",$A10=""),"",IF($A10&lt;IFERROR(IF(INDEX(campaigns!$BG$2:$BG$51,MATCH($C10,campaigns!$A$2:$A$51,0))="","",INDEX(campaigns!$BG$2:$BG$51,MATCH($C10,campaigns!$A$2:$A$51,0))),""),0,NETWORKDAYS(IFERROR(IF(INDEX(campaigns!$BG$2:$BG$51,MATCH($C10,campaigns!$A$2:$A$51,0))="","",INDEX(campaigns!$BG$2:$BG$51,MATCH($C10,campaigns!$A$2:$A$51,0))),""),$A10,calendar!$A$2:$A$80)))</f>
        <v>1</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0.458333333333333</v>
      </c>
      <c r="C11" s="10" t="s">
        <v>459</v>
      </c>
      <c r="D11" s="10" t="s">
        <v>604</v>
      </c>
      <c r="E11" s="10" t="s">
        <v>636</v>
      </c>
      <c r="F11" s="0" t="n">
        <v>22</v>
      </c>
      <c r="G11" s="10" t="s">
        <v>704</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46399</v>
      </c>
      <c r="B12" s="38" t="n">
        <v>0.356944444444445</v>
      </c>
      <c r="C12" s="10" t="s">
        <v>478</v>
      </c>
      <c r="D12" s="10" t="s">
        <v>594</v>
      </c>
      <c r="E12" s="10" t="s">
        <v>701</v>
      </c>
      <c r="F12" s="0" t="n">
        <v>40</v>
      </c>
      <c r="G12" s="10" t="s">
        <v>702</v>
      </c>
      <c r="H12" s="10" t="s">
        <v>709</v>
      </c>
      <c r="J12" s="30" t="n">
        <f aca="false">IF(OR($C12="",$A12=""),"",IF($A12&lt;IFERROR(IF(INDEX(campaigns!$BG$2:$BG$51,MATCH($C12,campaigns!$A$2:$A$51,0))="","",INDEX(campaigns!$BG$2:$BG$51,MATCH($C12,campaigns!$A$2:$A$51,0))),""),0,NETWORKDAYS(IFERROR(IF(INDEX(campaigns!$BG$2:$BG$51,MATCH($C12,campaigns!$A$2:$A$51,0))="","",INDEX(campaigns!$BG$2:$BG$51,MATCH($C12,campaigns!$A$2:$A$51,0))),""),$A12,calendar!$A$2:$A$80)))</f>
        <v>1</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46401</v>
      </c>
      <c r="B13" s="38" t="n">
        <v>0.458333333333333</v>
      </c>
      <c r="C13" s="10" t="s">
        <v>478</v>
      </c>
      <c r="D13" s="10" t="s">
        <v>594</v>
      </c>
      <c r="E13" s="10" t="s">
        <v>636</v>
      </c>
      <c r="F13" s="0" t="n">
        <v>14</v>
      </c>
      <c r="G13" s="10" t="s">
        <v>704</v>
      </c>
      <c r="J13" s="30" t="n">
        <f aca="false">IF(OR($C13="",$A13=""),"",IF($A13&lt;IFERROR(IF(INDEX(campaigns!$BG$2:$BG$51,MATCH($C13,campaigns!$A$2:$A$51,0))="","",INDEX(campaigns!$BG$2:$BG$51,MATCH($C13,campaigns!$A$2:$A$51,0))),""),0,NETWORKDAYS(IFERROR(IF(INDEX(campaigns!$BG$2:$BG$51,MATCH($C13,campaigns!$A$2:$A$51,0))="","",INDEX(campaigns!$BG$2:$BG$51,MATCH($C13,campaigns!$A$2:$A$51,0))),""),$A13,calendar!$A$2:$A$80)))</f>
        <v>3</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0.486111111111111</v>
      </c>
      <c r="C14" s="10" t="s">
        <v>478</v>
      </c>
      <c r="D14" s="10" t="s">
        <v>597</v>
      </c>
      <c r="E14" s="10" t="s">
        <v>701</v>
      </c>
      <c r="F14" s="0" t="n">
        <v>40</v>
      </c>
      <c r="G14" s="10" t="s">
        <v>702</v>
      </c>
      <c r="H14" s="10" t="s">
        <v>710</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478</v>
      </c>
      <c r="D15" s="10" t="s">
        <v>597</v>
      </c>
      <c r="E15" s="10" t="s">
        <v>636</v>
      </c>
      <c r="F15" s="0" t="n">
        <v>16</v>
      </c>
      <c r="G15" s="10" t="s">
        <v>704</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46399</v>
      </c>
      <c r="B16" s="38" t="n">
        <v>0.381944444444444</v>
      </c>
      <c r="C16" s="10" t="s">
        <v>478</v>
      </c>
      <c r="D16" s="10" t="s">
        <v>599</v>
      </c>
      <c r="E16" s="10" t="s">
        <v>701</v>
      </c>
      <c r="F16" s="0" t="n">
        <v>50</v>
      </c>
      <c r="G16" s="10" t="s">
        <v>702</v>
      </c>
      <c r="H16" s="10" t="s">
        <v>711</v>
      </c>
      <c r="J16" s="30" t="n">
        <f aca="false">IF(OR($C16="",$A16=""),"",IF($A16&lt;IFERROR(IF(INDEX(campaigns!$BG$2:$BG$51,MATCH($C16,campaigns!$A$2:$A$51,0))="","",INDEX(campaigns!$BG$2:$BG$51,MATCH($C16,campaigns!$A$2:$A$51,0))),""),0,NETWORKDAYS(IFERROR(IF(INDEX(campaigns!$BG$2:$BG$51,MATCH($C16,campaigns!$A$2:$A$51,0))="","",INDEX(campaigns!$BG$2:$BG$51,MATCH($C16,campaigns!$A$2:$A$51,0))),""),$A16,calendar!$A$2:$A$80)))</f>
        <v>1</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46401</v>
      </c>
      <c r="B17" s="38" t="n">
        <v>0.458333333333333</v>
      </c>
      <c r="C17" s="10" t="s">
        <v>478</v>
      </c>
      <c r="D17" s="10" t="s">
        <v>599</v>
      </c>
      <c r="E17" s="10" t="s">
        <v>636</v>
      </c>
      <c r="F17" s="0" t="n">
        <v>3</v>
      </c>
      <c r="G17" s="10" t="s">
        <v>704</v>
      </c>
      <c r="J17" s="30" t="n">
        <f aca="false">IF(OR($C17="",$A17=""),"",IF($A17&lt;IFERROR(IF(INDEX(campaigns!$BG$2:$BG$51,MATCH($C17,campaigns!$A$2:$A$51,0))="","",INDEX(campaigns!$BG$2:$BG$51,MATCH($C17,campaigns!$A$2:$A$51,0))),""),0,NETWORKDAYS(IFERROR(IF(INDEX(campaigns!$BG$2:$BG$51,MATCH($C17,campaigns!$A$2:$A$51,0))="","",INDEX(campaigns!$BG$2:$BG$51,MATCH($C17,campaigns!$A$2:$A$51,0))),""),$A17,calendar!$A$2:$A$80)))</f>
        <v>3</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46400</v>
      </c>
      <c r="B18" s="38" t="n">
        <v>0.378472222222222</v>
      </c>
      <c r="C18" s="10" t="s">
        <v>478</v>
      </c>
      <c r="D18" s="10" t="s">
        <v>602</v>
      </c>
      <c r="E18" s="10" t="s">
        <v>701</v>
      </c>
      <c r="F18" s="0" t="n">
        <v>50</v>
      </c>
      <c r="G18" s="10" t="s">
        <v>702</v>
      </c>
      <c r="H18" s="10" t="s">
        <v>712</v>
      </c>
      <c r="J18" s="30" t="n">
        <f aca="false">IF(OR($C18="",$A18=""),"",IF($A18&lt;IFERROR(IF(INDEX(campaigns!$BG$2:$BG$51,MATCH($C18,campaigns!$A$2:$A$51,0))="","",INDEX(campaigns!$BG$2:$BG$51,MATCH($C18,campaigns!$A$2:$A$51,0))),""),0,NETWORKDAYS(IFERROR(IF(INDEX(campaigns!$BG$2:$BG$51,MATCH($C18,campaigns!$A$2:$A$51,0))="","",INDEX(campaigns!$BG$2:$BG$51,MATCH($C18,campaigns!$A$2:$A$51,0))),""),$A18,calendar!$A$2:$A$80)))</f>
        <v>2</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46401</v>
      </c>
      <c r="B19" s="38" t="n">
        <v>0.458333333333333</v>
      </c>
      <c r="C19" s="10" t="s">
        <v>478</v>
      </c>
      <c r="D19" s="10" t="s">
        <v>602</v>
      </c>
      <c r="E19" s="10" t="s">
        <v>636</v>
      </c>
      <c r="F19" s="0" t="n">
        <v>28</v>
      </c>
      <c r="G19" s="10" t="s">
        <v>704</v>
      </c>
      <c r="J19" s="30" t="n">
        <f aca="false">IF(OR($C19="",$A19=""),"",IF($A19&lt;IFERROR(IF(INDEX(campaigns!$BG$2:$BG$51,MATCH($C19,campaigns!$A$2:$A$51,0))="","",INDEX(campaigns!$BG$2:$BG$51,MATCH($C19,campaigns!$A$2:$A$51,0))),""),0,NETWORKDAYS(IFERROR(IF(INDEX(campaigns!$BG$2:$BG$51,MATCH($C19,campaigns!$A$2:$A$51,0))="","",INDEX(campaigns!$BG$2:$BG$51,MATCH($C19,campaigns!$A$2:$A$51,0))),""),$A19,calendar!$A$2:$A$80)))</f>
        <v>3</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0.590277777777778</v>
      </c>
      <c r="C20" s="10" t="s">
        <v>478</v>
      </c>
      <c r="D20" s="10" t="s">
        <v>604</v>
      </c>
      <c r="E20" s="10" t="s">
        <v>701</v>
      </c>
      <c r="F20" s="0" t="n">
        <v>70</v>
      </c>
      <c r="G20" s="10" t="s">
        <v>702</v>
      </c>
      <c r="H20" s="10" t="s">
        <v>713</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478</v>
      </c>
      <c r="D21" s="10" t="s">
        <v>604</v>
      </c>
      <c r="E21" s="10" t="s">
        <v>636</v>
      </c>
      <c r="F21" s="0" t="n">
        <v>25</v>
      </c>
      <c r="G21" s="10" t="s">
        <v>704</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c r="B22" s="38"/>
      <c r="E22" s="10"/>
      <c r="G22" s="10"/>
      <c r="J22" s="30" t="str">
        <f aca="false">IF(OR($C22="",$A22=""),"",IF($A22&lt;IFERROR(IF(INDEX(campaigns!$BG$2:$BG$51,MATCH($C22,campaigns!$A$2:$A$51,0))="","",INDEX(campaigns!$BG$2:$BG$51,MATCH($C22,campaigns!$A$2:$A$51,0))),""),0,NETWORKDAYS(IFERROR(IF(INDEX(campaigns!$BG$2:$BG$51,MATCH($C22,campaigns!$A$2:$A$51,0))="","",INDEX(campaigns!$BG$2:$BG$51,MATCH($C22,campaigns!$A$2:$A$51,0))),""),$A22,calendar!$A$2:$A$80)))</f>
        <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c r="B23" s="38"/>
      <c r="E23" s="10"/>
      <c r="G23" s="10"/>
      <c r="J23" s="30" t="str">
        <f aca="false">IF(OR($C23="",$A23=""),"",IF($A23&lt;IFERROR(IF(INDEX(campaigns!$BG$2:$BG$51,MATCH($C23,campaigns!$A$2:$A$51,0))="","",INDEX(campaigns!$BG$2:$BG$51,MATCH($C23,campaigns!$A$2:$A$51,0))),""),0,NETWORKDAYS(IFERROR(IF(INDEX(campaigns!$BG$2:$BG$51,MATCH($C23,campaigns!$A$2:$A$51,0))="","",INDEX(campaigns!$BG$2:$BG$51,MATCH($C23,campaigns!$A$2:$A$51,0))),""),$A23,calendar!$A$2:$A$80)))</f>
        <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c r="B24" s="38"/>
      <c r="E24" s="10"/>
      <c r="G24" s="10"/>
      <c r="J24" s="30" t="str">
        <f aca="false">IF(OR($C24="",$A24=""),"",IF($A24&lt;IFERROR(IF(INDEX(campaigns!$BG$2:$BG$51,MATCH($C24,campaigns!$A$2:$A$51,0))="","",INDEX(campaigns!$BG$2:$BG$51,MATCH($C24,campaigns!$A$2:$A$51,0))),""),0,NETWORKDAYS(IFERROR(IF(INDEX(campaigns!$BG$2:$BG$51,MATCH($C24,campaigns!$A$2:$A$51,0))="","",INDEX(campaigns!$BG$2:$BG$51,MATCH($C24,campaigns!$A$2:$A$51,0))),""),$A24,calendar!$A$2:$A$80)))</f>
        <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c r="B25" s="38"/>
      <c r="E25" s="10"/>
      <c r="G25" s="10"/>
      <c r="J25" s="30" t="str">
        <f aca="false">IF(OR($C25="",$A25=""),"",IF($A25&lt;IFERROR(IF(INDEX(campaigns!$BG$2:$BG$51,MATCH($C25,campaigns!$A$2:$A$51,0))="","",INDEX(campaigns!$BG$2:$BG$51,MATCH($C25,campaigns!$A$2:$A$51,0))),""),0,NETWORKDAYS(IFERROR(IF(INDEX(campaigns!$BG$2:$BG$51,MATCH($C25,campaigns!$A$2:$A$51,0))="","",INDEX(campaigns!$BG$2:$BG$51,MATCH($C25,campaigns!$A$2:$A$51,0))),""),$A25,calendar!$A$2:$A$80)))</f>
        <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c r="B26" s="38"/>
      <c r="E26" s="10"/>
      <c r="G26" s="10"/>
      <c r="J26" s="30" t="str">
        <f aca="false">IF(OR($C26="",$A26=""),"",IF($A26&lt;IFERROR(IF(INDEX(campaigns!$BG$2:$BG$51,MATCH($C26,campaigns!$A$2:$A$51,0))="","",INDEX(campaigns!$BG$2:$BG$51,MATCH($C26,campaigns!$A$2:$A$51,0))),""),0,NETWORKDAYS(IFERROR(IF(INDEX(campaigns!$BG$2:$BG$51,MATCH($C26,campaigns!$A$2:$A$51,0))="","",INDEX(campaigns!$BG$2:$BG$51,MATCH($C26,campaigns!$A$2:$A$51,0))),""),$A26,calendar!$A$2:$A$80)))</f>
        <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c r="B27" s="38"/>
      <c r="E27" s="10"/>
      <c r="G27" s="10"/>
      <c r="J27" s="30" t="str">
        <f aca="false">IF(OR($C27="",$A27=""),"",IF($A27&lt;IFERROR(IF(INDEX(campaigns!$BG$2:$BG$51,MATCH($C27,campaigns!$A$2:$A$51,0))="","",INDEX(campaigns!$BG$2:$BG$51,MATCH($C27,campaigns!$A$2:$A$51,0))),""),0,NETWORKDAYS(IFERROR(IF(INDEX(campaigns!$BG$2:$BG$51,MATCH($C27,campaigns!$A$2:$A$51,0))="","",INDEX(campaigns!$BG$2:$BG$51,MATCH($C27,campaigns!$A$2:$A$51,0))),""),$A27,calendar!$A$2:$A$80)))</f>
        <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c r="B28" s="38"/>
      <c r="E28" s="10"/>
      <c r="G28" s="10"/>
      <c r="J28" s="30" t="str">
        <f aca="false">IF(OR($C28="",$A28=""),"",IF($A28&lt;IFERROR(IF(INDEX(campaigns!$BG$2:$BG$51,MATCH($C28,campaigns!$A$2:$A$51,0))="","",INDEX(campaigns!$BG$2:$BG$51,MATCH($C28,campaigns!$A$2:$A$51,0))),""),0,NETWORKDAYS(IFERROR(IF(INDEX(campaigns!$BG$2:$BG$51,MATCH($C28,campaigns!$A$2:$A$51,0))="","",INDEX(campaigns!$BG$2:$BG$51,MATCH($C28,campaigns!$A$2:$A$51,0))),""),$A28,calendar!$A$2:$A$80)))</f>
        <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c r="B29" s="38"/>
      <c r="E29" s="10"/>
      <c r="G29" s="10"/>
      <c r="J29" s="30" t="str">
        <f aca="false">IF(OR($C29="",$A29=""),"",IF($A29&lt;IFERROR(IF(INDEX(campaigns!$BG$2:$BG$51,MATCH($C29,campaigns!$A$2:$A$51,0))="","",INDEX(campaigns!$BG$2:$BG$51,MATCH($C29,campaigns!$A$2:$A$51,0))),""),0,NETWORKDAYS(IFERROR(IF(INDEX(campaigns!$BG$2:$BG$51,MATCH($C29,campaigns!$A$2:$A$51,0))="","",INDEX(campaigns!$BG$2:$BG$51,MATCH($C29,campaigns!$A$2:$A$51,0))),""),$A29,calendar!$A$2:$A$80)))</f>
        <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c r="B30" s="38"/>
      <c r="E30" s="10"/>
      <c r="G30" s="10"/>
      <c r="J30" s="30" t="str">
        <f aca="false">IF(OR($C30="",$A30=""),"",IF($A30&lt;IFERROR(IF(INDEX(campaigns!$BG$2:$BG$51,MATCH($C30,campaigns!$A$2:$A$51,0))="","",INDEX(campaigns!$BG$2:$BG$51,MATCH($C30,campaigns!$A$2:$A$51,0))),""),0,NETWORKDAYS(IFERROR(IF(INDEX(campaigns!$BG$2:$BG$51,MATCH($C30,campaigns!$A$2:$A$51,0))="","",INDEX(campaigns!$BG$2:$BG$51,MATCH($C30,campaigns!$A$2:$A$51,0))),""),$A30,calendar!$A$2:$A$80)))</f>
        <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c r="B31" s="38"/>
      <c r="E31" s="10"/>
      <c r="G31" s="10"/>
      <c r="J31" s="30" t="str">
        <f aca="false">IF(OR($C31="",$A31=""),"",IF($A31&lt;IFERROR(IF(INDEX(campaigns!$BG$2:$BG$51,MATCH($C31,campaigns!$A$2:$A$51,0))="","",INDEX(campaigns!$BG$2:$BG$51,MATCH($C31,campaigns!$A$2:$A$51,0))),""),0,NETWORKDAYS(IFERROR(IF(INDEX(campaigns!$BG$2:$BG$51,MATCH($C31,campaigns!$A$2:$A$51,0))="","",INDEX(campaigns!$BG$2:$BG$51,MATCH($C31,campaigns!$A$2:$A$51,0))),""),$A31,calendar!$A$2:$A$80)))</f>
        <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8"/>
      <c r="E32" s="10"/>
      <c r="G32" s="10"/>
      <c r="J32" s="30" t="str">
        <f aca="false">IF(OR($C32="",$A32=""),"",IF($A32&lt;IFERROR(IF(INDEX(campaigns!$BG$2:$BG$51,MATCH($C32,campaigns!$A$2:$A$51,0))="","",INDEX(campaigns!$BG$2:$BG$51,MATCH($C32,campaigns!$A$2:$A$51,0))),""),0,NETWORKDAYS(IFERROR(IF(INDEX(campaigns!$BG$2:$BG$51,MATCH($C32,campaigns!$A$2:$A$51,0))="","",INDEX(campaigns!$BG$2:$BG$51,MATCH($C32,campaigns!$A$2:$A$51,0))),""),$A32,calendar!$A$2:$A$80)))</f>
        <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8"/>
      <c r="E33" s="10"/>
      <c r="G33" s="10"/>
      <c r="J33" s="30" t="str">
        <f aca="false">IF(OR($C33="",$A33=""),"",IF($A33&lt;IFERROR(IF(INDEX(campaigns!$BG$2:$BG$51,MATCH($C33,campaigns!$A$2:$A$51,0))="","",INDEX(campaigns!$BG$2:$BG$51,MATCH($C33,campaigns!$A$2:$A$51,0))),""),0,NETWORKDAYS(IFERROR(IF(INDEX(campaigns!$BG$2:$BG$51,MATCH($C33,campaigns!$A$2:$A$51,0))="","",INDEX(campaigns!$BG$2:$BG$51,MATCH($C33,campaigns!$A$2:$A$51,0))),""),$A33,calendar!$A$2:$A$80)))</f>
        <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8"/>
      <c r="E34" s="10"/>
      <c r="G34" s="10"/>
      <c r="J34" s="30" t="str">
        <f aca="false">IF(OR($C34="",$A34=""),"",IF($A34&lt;IFERROR(IF(INDEX(campaigns!$BG$2:$BG$51,MATCH($C34,campaigns!$A$2:$A$51,0))="","",INDEX(campaigns!$BG$2:$BG$51,MATCH($C34,campaigns!$A$2:$A$51,0))),""),0,NETWORKDAYS(IFERROR(IF(INDEX(campaigns!$BG$2:$BG$51,MATCH($C34,campaigns!$A$2:$A$51,0))="","",INDEX(campaigns!$BG$2:$BG$51,MATCH($C34,campaigns!$A$2:$A$51,0))),""),$A34,calendar!$A$2:$A$80)))</f>
        <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8"/>
      <c r="E35" s="10"/>
      <c r="G35" s="10"/>
      <c r="J35" s="30" t="str">
        <f aca="false">IF(OR($C35="",$A35=""),"",IF($A35&lt;IFERROR(IF(INDEX(campaigns!$BG$2:$BG$51,MATCH($C35,campaigns!$A$2:$A$51,0))="","",INDEX(campaigns!$BG$2:$BG$51,MATCH($C35,campaigns!$A$2:$A$51,0))),""),0,NETWORKDAYS(IFERROR(IF(INDEX(campaigns!$BG$2:$BG$51,MATCH($C35,campaigns!$A$2:$A$51,0))="","",INDEX(campaigns!$BG$2:$BG$51,MATCH($C35,campaigns!$A$2:$A$51,0))),""),$A35,calendar!$A$2:$A$80)))</f>
        <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8"/>
      <c r="E36" s="10"/>
      <c r="G36" s="10"/>
      <c r="J36" s="30" t="str">
        <f aca="false">IF(OR($C36="",$A36=""),"",IF($A36&lt;IFERROR(IF(INDEX(campaigns!$BG$2:$BG$51,MATCH($C36,campaigns!$A$2:$A$51,0))="","",INDEX(campaigns!$BG$2:$BG$51,MATCH($C36,campaigns!$A$2:$A$51,0))),""),0,NETWORKDAYS(IFERROR(IF(INDEX(campaigns!$BG$2:$BG$51,MATCH($C36,campaigns!$A$2:$A$51,0))="","",INDEX(campaigns!$BG$2:$BG$51,MATCH($C36,campaigns!$A$2:$A$51,0))),""),$A36,calendar!$A$2:$A$80)))</f>
        <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8"/>
      <c r="E37" s="10"/>
      <c r="G37" s="10"/>
      <c r="J37" s="30" t="str">
        <f aca="false">IF(OR($C37="",$A37=""),"",IF($A37&lt;IFERROR(IF(INDEX(campaigns!$BG$2:$BG$51,MATCH($C37,campaigns!$A$2:$A$51,0))="","",INDEX(campaigns!$BG$2:$BG$51,MATCH($C37,campaigns!$A$2:$A$51,0))),""),0,NETWORKDAYS(IFERROR(IF(INDEX(campaigns!$BG$2:$BG$51,MATCH($C37,campaigns!$A$2:$A$51,0))="","",INDEX(campaigns!$BG$2:$BG$51,MATCH($C37,campaigns!$A$2:$A$51,0))),""),$A37,calendar!$A$2:$A$80)))</f>
        <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8"/>
      <c r="E38" s="10"/>
      <c r="G38" s="10"/>
      <c r="J38" s="30" t="str">
        <f aca="false">IF(OR($C38="",$A38=""),"",IF($A38&lt;IFERROR(IF(INDEX(campaigns!$BG$2:$BG$51,MATCH($C38,campaigns!$A$2:$A$51,0))="","",INDEX(campaigns!$BG$2:$BG$51,MATCH($C38,campaigns!$A$2:$A$51,0))),""),0,NETWORKDAYS(IFERROR(IF(INDEX(campaigns!$BG$2:$BG$51,MATCH($C38,campaigns!$A$2:$A$51,0))="","",INDEX(campaigns!$BG$2:$BG$51,MATCH($C38,campaigns!$A$2:$A$51,0))),""),$A38,calendar!$A$2:$A$80)))</f>
        <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8"/>
      <c r="E39" s="10"/>
      <c r="G39" s="10"/>
      <c r="J39" s="30" t="str">
        <f aca="false">IF(OR($C39="",$A39=""),"",IF($A39&lt;IFERROR(IF(INDEX(campaigns!$BG$2:$BG$51,MATCH($C39,campaigns!$A$2:$A$51,0))="","",INDEX(campaigns!$BG$2:$BG$51,MATCH($C39,campaigns!$A$2:$A$51,0))),""),0,NETWORKDAYS(IFERROR(IF(INDEX(campaigns!$BG$2:$BG$51,MATCH($C39,campaigns!$A$2:$A$51,0))="","",INDEX(campaigns!$BG$2:$BG$51,MATCH($C39,campaigns!$A$2:$A$51,0))),""),$A39,calendar!$A$2:$A$80)))</f>
        <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8"/>
      <c r="E40" s="10"/>
      <c r="G40" s="10"/>
      <c r="J40" s="30" t="str">
        <f aca="false">IF(OR($C40="",$A40=""),"",IF($A40&lt;IFERROR(IF(INDEX(campaigns!$BG$2:$BG$51,MATCH($C40,campaigns!$A$2:$A$51,0))="","",INDEX(campaigns!$BG$2:$BG$51,MATCH($C40,campaigns!$A$2:$A$51,0))),""),0,NETWORKDAYS(IFERROR(IF(INDEX(campaigns!$BG$2:$BG$51,MATCH($C40,campaigns!$A$2:$A$51,0))="","",INDEX(campaigns!$BG$2:$BG$51,MATCH($C40,campaigns!$A$2:$A$51,0))),""),$A40,calendar!$A$2:$A$80)))</f>
        <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8"/>
      <c r="E41" s="10"/>
      <c r="G41" s="10"/>
      <c r="J41" s="30" t="str">
        <f aca="false">IF(OR($C41="",$A41=""),"",IF($A41&lt;IFERROR(IF(INDEX(campaigns!$BG$2:$BG$51,MATCH($C41,campaigns!$A$2:$A$51,0))="","",INDEX(campaigns!$BG$2:$BG$51,MATCH($C41,campaigns!$A$2:$A$51,0))),""),0,NETWORKDAYS(IFERROR(IF(INDEX(campaigns!$BG$2:$BG$51,MATCH($C41,campaigns!$A$2:$A$51,0))="","",INDEX(campaigns!$BG$2:$BG$51,MATCH($C41,campaigns!$A$2:$A$51,0))),""),$A41,calendar!$A$2:$A$80)))</f>
        <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8"/>
      <c r="E42" s="10"/>
      <c r="G42" s="10"/>
      <c r="J42" s="30" t="str">
        <f aca="false">IF(OR($C42="",$A42=""),"",IF($A42&lt;IFERROR(IF(INDEX(campaigns!$BG$2:$BG$51,MATCH($C42,campaigns!$A$2:$A$51,0))="","",INDEX(campaigns!$BG$2:$BG$51,MATCH($C42,campaigns!$A$2:$A$51,0))),""),0,NETWORKDAYS(IFERROR(IF(INDEX(campaigns!$BG$2:$BG$51,MATCH($C42,campaigns!$A$2:$A$51,0))="","",INDEX(campaigns!$BG$2:$BG$51,MATCH($C42,campaigns!$A$2:$A$51,0))),""),$A42,calendar!$A$2:$A$80)))</f>
        <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8"/>
      <c r="E43" s="10"/>
      <c r="G43" s="10"/>
      <c r="J43" s="30" t="str">
        <f aca="false">IF(OR($C43="",$A43=""),"",IF($A43&lt;IFERROR(IF(INDEX(campaigns!$BG$2:$BG$51,MATCH($C43,campaigns!$A$2:$A$51,0))="","",INDEX(campaigns!$BG$2:$BG$51,MATCH($C43,campaigns!$A$2:$A$51,0))),""),0,NETWORKDAYS(IFERROR(IF(INDEX(campaigns!$BG$2:$BG$51,MATCH($C43,campaigns!$A$2:$A$51,0))="","",INDEX(campaigns!$BG$2:$BG$51,MATCH($C43,campaigns!$A$2:$A$51,0))),""),$A43,calendar!$A$2:$A$80)))</f>
        <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8"/>
      <c r="E44" s="10"/>
      <c r="G44" s="10"/>
      <c r="J44" s="30" t="str">
        <f aca="false">IF(OR($C44="",$A44=""),"",IF($A44&lt;IFERROR(IF(INDEX(campaigns!$BG$2:$BG$51,MATCH($C44,campaigns!$A$2:$A$51,0))="","",INDEX(campaigns!$BG$2:$BG$51,MATCH($C44,campaigns!$A$2:$A$51,0))),""),0,NETWORKDAYS(IFERROR(IF(INDEX(campaigns!$BG$2:$BG$51,MATCH($C44,campaigns!$A$2:$A$51,0))="","",INDEX(campaigns!$BG$2:$BG$51,MATCH($C44,campaigns!$A$2:$A$51,0))),""),$A44,calendar!$A$2:$A$80)))</f>
        <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8"/>
      <c r="E45" s="10"/>
      <c r="G45" s="10"/>
      <c r="J45" s="30" t="str">
        <f aca="false">IF(OR($C45="",$A45=""),"",IF($A45&lt;IFERROR(IF(INDEX(campaigns!$BG$2:$BG$51,MATCH($C45,campaigns!$A$2:$A$51,0))="","",INDEX(campaigns!$BG$2:$BG$51,MATCH($C45,campaigns!$A$2:$A$51,0))),""),0,NETWORKDAYS(IFERROR(IF(INDEX(campaigns!$BG$2:$BG$51,MATCH($C45,campaigns!$A$2:$A$51,0))="","",INDEX(campaigns!$BG$2:$BG$51,MATCH($C45,campaigns!$A$2:$A$51,0))),""),$A45,calendar!$A$2:$A$80)))</f>
        <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8"/>
      <c r="E46" s="10"/>
      <c r="G46" s="10"/>
      <c r="J46" s="30" t="str">
        <f aca="false">IF(OR($C46="",$A46=""),"",IF($A46&lt;IFERROR(IF(INDEX(campaigns!$BG$2:$BG$51,MATCH($C46,campaigns!$A$2:$A$51,0))="","",INDEX(campaigns!$BG$2:$BG$51,MATCH($C46,campaigns!$A$2:$A$51,0))),""),0,NETWORKDAYS(IFERROR(IF(INDEX(campaigns!$BG$2:$BG$51,MATCH($C46,campaigns!$A$2:$A$51,0))="","",INDEX(campaigns!$BG$2:$BG$51,MATCH($C46,campaigns!$A$2:$A$51,0))),""),$A46,calendar!$A$2:$A$80)))</f>
        <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8"/>
      <c r="E47" s="10"/>
      <c r="G47" s="10"/>
      <c r="J47" s="30" t="str">
        <f aca="false">IF(OR($C47="",$A47=""),"",IF($A47&lt;IFERROR(IF(INDEX(campaigns!$BG$2:$BG$51,MATCH($C47,campaigns!$A$2:$A$51,0))="","",INDEX(campaigns!$BG$2:$BG$51,MATCH($C47,campaigns!$A$2:$A$51,0))),""),0,NETWORKDAYS(IFERROR(IF(INDEX(campaigns!$BG$2:$BG$51,MATCH($C47,campaigns!$A$2:$A$51,0))="","",INDEX(campaigns!$BG$2:$BG$51,MATCH($C47,campaigns!$A$2:$A$51,0))),""),$A47,calendar!$A$2:$A$80)))</f>
        <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8"/>
      <c r="E48" s="10"/>
      <c r="G48" s="10"/>
      <c r="J48" s="30" t="str">
        <f aca="false">IF(OR($C48="",$A48=""),"",IF($A48&lt;IFERROR(IF(INDEX(campaigns!$BG$2:$BG$51,MATCH($C48,campaigns!$A$2:$A$51,0))="","",INDEX(campaigns!$BG$2:$BG$51,MATCH($C48,campaigns!$A$2:$A$51,0))),""),0,NETWORKDAYS(IFERROR(IF(INDEX(campaigns!$BG$2:$BG$51,MATCH($C48,campaigns!$A$2:$A$51,0))="","",INDEX(campaigns!$BG$2:$BG$51,MATCH($C48,campaigns!$A$2:$A$51,0))),""),$A48,calendar!$A$2:$A$80)))</f>
        <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8"/>
      <c r="E49" s="10"/>
      <c r="G49" s="10"/>
      <c r="J49" s="30" t="str">
        <f aca="false">IF(OR($C49="",$A49=""),"",IF($A49&lt;IFERROR(IF(INDEX(campaigns!$BG$2:$BG$51,MATCH($C49,campaigns!$A$2:$A$51,0))="","",INDEX(campaigns!$BG$2:$BG$51,MATCH($C49,campaigns!$A$2:$A$51,0))),""),0,NETWORKDAYS(IFERROR(IF(INDEX(campaigns!$BG$2:$BG$51,MATCH($C49,campaigns!$A$2:$A$51,0))="","",INDEX(campaigns!$BG$2:$BG$51,MATCH($C49,campaigns!$A$2:$A$51,0))),""),$A49,calendar!$A$2:$A$80)))</f>
        <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8"/>
      <c r="E50" s="10"/>
      <c r="G50" s="10"/>
      <c r="J50" s="30" t="str">
        <f aca="false">IF(OR($C50="",$A50=""),"",IF($A50&lt;IFERROR(IF(INDEX(campaigns!$BG$2:$BG$51,MATCH($C50,campaigns!$A$2:$A$51,0))="","",INDEX(campaigns!$BG$2:$BG$51,MATCH($C50,campaigns!$A$2:$A$51,0))),""),0,NETWORKDAYS(IFERROR(IF(INDEX(campaigns!$BG$2:$BG$51,MATCH($C50,campaigns!$A$2:$A$51,0))="","",INDEX(campaigns!$BG$2:$BG$51,MATCH($C50,campaigns!$A$2:$A$51,0))),""),$A50,calendar!$A$2:$A$80)))</f>
        <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8"/>
      <c r="E51" s="10"/>
      <c r="G51" s="10"/>
      <c r="J51" s="30" t="str">
        <f aca="false">IF(OR($C51="",$A51=""),"",IF($A51&lt;IFERROR(IF(INDEX(campaigns!$BG$2:$BG$51,MATCH($C51,campaigns!$A$2:$A$51,0))="","",INDEX(campaigns!$BG$2:$BG$51,MATCH($C51,campaigns!$A$2:$A$51,0))),""),0,NETWORKDAYS(IFERROR(IF(INDEX(campaigns!$BG$2:$BG$51,MATCH($C51,campaigns!$A$2:$A$51,0))="","",INDEX(campaigns!$BG$2:$BG$51,MATCH($C51,campaigns!$A$2:$A$51,0))),""),$A51,calendar!$A$2:$A$80)))</f>
        <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8"/>
      <c r="E52" s="10"/>
      <c r="G52" s="10"/>
      <c r="J52" s="30" t="str">
        <f aca="false">IF(OR($C52="",$A52=""),"",IF($A52&lt;IFERROR(IF(INDEX(campaigns!$BG$2:$BG$51,MATCH($C52,campaigns!$A$2:$A$51,0))="","",INDEX(campaigns!$BG$2:$BG$51,MATCH($C52,campaigns!$A$2:$A$51,0))),""),0,NETWORKDAYS(IFERROR(IF(INDEX(campaigns!$BG$2:$BG$51,MATCH($C52,campaigns!$A$2:$A$51,0))="","",INDEX(campaigns!$BG$2:$BG$51,MATCH($C52,campaigns!$A$2:$A$51,0))),""),$A52,calendar!$A$2:$A$80)))</f>
        <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8"/>
      <c r="E53" s="10"/>
      <c r="G53" s="10"/>
      <c r="J53" s="30" t="str">
        <f aca="false">IF(OR($C53="",$A53=""),"",IF($A53&lt;IFERROR(IF(INDEX(campaigns!$BG$2:$BG$51,MATCH($C53,campaigns!$A$2:$A$51,0))="","",INDEX(campaigns!$BG$2:$BG$51,MATCH($C53,campaigns!$A$2:$A$51,0))),""),0,NETWORKDAYS(IFERROR(IF(INDEX(campaigns!$BG$2:$BG$51,MATCH($C53,campaigns!$A$2:$A$51,0))="","",INDEX(campaigns!$BG$2:$BG$51,MATCH($C53,campaigns!$A$2:$A$51,0))),""),$A53,calendar!$A$2:$A$80)))</f>
        <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8"/>
      <c r="E54" s="10"/>
      <c r="G54" s="10"/>
      <c r="J54" s="30" t="str">
        <f aca="false">IF(OR($C54="",$A54=""),"",IF($A54&lt;IFERROR(IF(INDEX(campaigns!$BG$2:$BG$51,MATCH($C54,campaigns!$A$2:$A$51,0))="","",INDEX(campaigns!$BG$2:$BG$51,MATCH($C54,campaigns!$A$2:$A$51,0))),""),0,NETWORKDAYS(IFERROR(IF(INDEX(campaigns!$BG$2:$BG$51,MATCH($C54,campaigns!$A$2:$A$51,0))="","",INDEX(campaigns!$BG$2:$BG$51,MATCH($C54,campaigns!$A$2:$A$51,0))),""),$A54,calendar!$A$2:$A$80)))</f>
        <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8"/>
      <c r="E55" s="10"/>
      <c r="G55" s="10"/>
      <c r="J55" s="30" t="str">
        <f aca="false">IF(OR($C55="",$A55=""),"",IF($A55&lt;IFERROR(IF(INDEX(campaigns!$BG$2:$BG$51,MATCH($C55,campaigns!$A$2:$A$51,0))="","",INDEX(campaigns!$BG$2:$BG$51,MATCH($C55,campaigns!$A$2:$A$51,0))),""),0,NETWORKDAYS(IFERROR(IF(INDEX(campaigns!$BG$2:$BG$51,MATCH($C55,campaigns!$A$2:$A$51,0))="","",INDEX(campaigns!$BG$2:$BG$51,MATCH($C55,campaigns!$A$2:$A$51,0))),""),$A55,calendar!$A$2:$A$80)))</f>
        <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8"/>
      <c r="E56" s="10"/>
      <c r="G56" s="10"/>
      <c r="J56" s="30" t="str">
        <f aca="false">IF(OR($C56="",$A56=""),"",IF($A56&lt;IFERROR(IF(INDEX(campaigns!$BG$2:$BG$51,MATCH($C56,campaigns!$A$2:$A$51,0))="","",INDEX(campaigns!$BG$2:$BG$51,MATCH($C56,campaigns!$A$2:$A$51,0))),""),0,NETWORKDAYS(IFERROR(IF(INDEX(campaigns!$BG$2:$BG$51,MATCH($C56,campaigns!$A$2:$A$51,0))="","",INDEX(campaigns!$BG$2:$BG$51,MATCH($C56,campaigns!$A$2:$A$51,0))),""),$A56,calendar!$A$2:$A$80)))</f>
        <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8"/>
      <c r="E57" s="10"/>
      <c r="G57" s="10"/>
      <c r="J57" s="30" t="str">
        <f aca="false">IF(OR($C57="",$A57=""),"",IF($A57&lt;IFERROR(IF(INDEX(campaigns!$BG$2:$BG$51,MATCH($C57,campaigns!$A$2:$A$51,0))="","",INDEX(campaigns!$BG$2:$BG$51,MATCH($C57,campaigns!$A$2:$A$51,0))),""),0,NETWORKDAYS(IFERROR(IF(INDEX(campaigns!$BG$2:$BG$51,MATCH($C57,campaigns!$A$2:$A$51,0))="","",INDEX(campaigns!$BG$2:$BG$51,MATCH($C57,campaigns!$A$2:$A$51,0))),""),$A57,calendar!$A$2:$A$80)))</f>
        <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8"/>
      <c r="E58" s="10"/>
      <c r="G58" s="10"/>
      <c r="J58" s="30" t="str">
        <f aca="false">IF(OR($C58="",$A58=""),"",IF($A58&lt;IFERROR(IF(INDEX(campaigns!$BG$2:$BG$51,MATCH($C58,campaigns!$A$2:$A$51,0))="","",INDEX(campaigns!$BG$2:$BG$51,MATCH($C58,campaigns!$A$2:$A$51,0))),""),0,NETWORKDAYS(IFERROR(IF(INDEX(campaigns!$BG$2:$BG$51,MATCH($C58,campaigns!$A$2:$A$51,0))="","",INDEX(campaigns!$BG$2:$BG$51,MATCH($C58,campaigns!$A$2:$A$51,0))),""),$A58,calendar!$A$2:$A$80)))</f>
        <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8"/>
      <c r="E59" s="10"/>
      <c r="G59" s="10"/>
      <c r="J59" s="30" t="str">
        <f aca="false">IF(OR($C59="",$A59=""),"",IF($A59&lt;IFERROR(IF(INDEX(campaigns!$BG$2:$BG$51,MATCH($C59,campaigns!$A$2:$A$51,0))="","",INDEX(campaigns!$BG$2:$BG$51,MATCH($C59,campaigns!$A$2:$A$51,0))),""),0,NETWORKDAYS(IFERROR(IF(INDEX(campaigns!$BG$2:$BG$51,MATCH($C59,campaigns!$A$2:$A$51,0))="","",INDEX(campaigns!$BG$2:$BG$51,MATCH($C59,campaigns!$A$2:$A$51,0))),""),$A59,calendar!$A$2:$A$80)))</f>
        <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8"/>
      <c r="E60" s="10"/>
      <c r="G60" s="10"/>
      <c r="J60" s="30" t="str">
        <f aca="false">IF(OR($C60="",$A60=""),"",IF($A60&lt;IFERROR(IF(INDEX(campaigns!$BG$2:$BG$51,MATCH($C60,campaigns!$A$2:$A$51,0))="","",INDEX(campaigns!$BG$2:$BG$51,MATCH($C60,campaigns!$A$2:$A$51,0))),""),0,NETWORKDAYS(IFERROR(IF(INDEX(campaigns!$BG$2:$BG$51,MATCH($C60,campaigns!$A$2:$A$51,0))="","",INDEX(campaigns!$BG$2:$BG$51,MATCH($C60,campaigns!$A$2:$A$51,0))),""),$A60,calendar!$A$2:$A$80)))</f>
        <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699</v>
      </c>
      <c r="B1" s="28" t="s">
        <v>346</v>
      </c>
      <c r="C1" s="28" t="s">
        <v>561</v>
      </c>
      <c r="D1" s="28" t="s">
        <v>714</v>
      </c>
      <c r="E1" s="28" t="s">
        <v>715</v>
      </c>
      <c r="F1" s="28" t="s">
        <v>716</v>
      </c>
      <c r="G1" s="28" t="s">
        <v>698</v>
      </c>
      <c r="H1" s="28" t="s">
        <v>717</v>
      </c>
      <c r="I1" s="28" t="s">
        <v>718</v>
      </c>
      <c r="J1" s="28" t="s">
        <v>719</v>
      </c>
      <c r="K1" s="28" t="s">
        <v>720</v>
      </c>
      <c r="L1" s="28" t="s">
        <v>175</v>
      </c>
      <c r="M1" s="29" t="s">
        <v>297</v>
      </c>
      <c r="N1" s="29" t="s">
        <v>700</v>
      </c>
      <c r="O1" s="29" t="s">
        <v>721</v>
      </c>
      <c r="P1" s="29" t="s">
        <v>722</v>
      </c>
      <c r="Q1" s="29" t="s">
        <v>118</v>
      </c>
      <c r="R1" s="29" t="s">
        <v>173</v>
      </c>
      <c r="S1" s="29" t="s">
        <v>723</v>
      </c>
    </row>
    <row r="2" customFormat="false" ht="15" hidden="false" customHeight="false" outlineLevel="0" collapsed="false">
      <c r="A2" s="0" t="s">
        <v>703</v>
      </c>
      <c r="B2" s="0" t="s">
        <v>459</v>
      </c>
      <c r="C2" s="0" t="s">
        <v>594</v>
      </c>
      <c r="D2" s="10" t="s">
        <v>724</v>
      </c>
      <c r="E2" s="11" t="n">
        <v>46399</v>
      </c>
      <c r="F2" s="38" t="n">
        <v>0.356944444444445</v>
      </c>
      <c r="G2" s="10" t="s">
        <v>335</v>
      </c>
      <c r="H2" s="10" t="s">
        <v>725</v>
      </c>
      <c r="I2" s="11" t="n">
        <v>46399</v>
      </c>
      <c r="J2" s="10" t="s">
        <v>473</v>
      </c>
      <c r="K2" s="10" t="s">
        <v>473</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705</v>
      </c>
      <c r="B3" s="0" t="s">
        <v>459</v>
      </c>
      <c r="C3" s="0" t="s">
        <v>597</v>
      </c>
      <c r="D3" s="10" t="s">
        <v>724</v>
      </c>
      <c r="E3" s="11" t="n">
        <v>46399</v>
      </c>
      <c r="F3" s="38" t="n">
        <v>0.486111111111111</v>
      </c>
      <c r="G3" s="10" t="s">
        <v>135</v>
      </c>
      <c r="H3" s="10" t="s">
        <v>726</v>
      </c>
      <c r="I3" s="11" t="n">
        <v>46399</v>
      </c>
      <c r="J3" s="10" t="s">
        <v>473</v>
      </c>
      <c r="K3" s="10" t="s">
        <v>473</v>
      </c>
      <c r="M3" s="31" t="n">
        <f aca="false">IF($B3="","",IFERROR(IF(INDEX(campaigns!$BG$2:$BG$51,MATCH($B3,campaigns!$A$2:$A$51,0))="","",INDEX(campaigns!$BG$2:$BG$51,MATCH($B3,campaigns!$A$2:$A$51,0))),""))</f>
        <v>46399</v>
      </c>
      <c r="N3" s="30" t="n">
        <f aca="false">IF(OR($B3="",$E3="",$M3=""),"",IF($E3&lt;$M3,0,NETWORKDAYS($M3,$E3,calendar!$A$2:$A$80)))</f>
        <v>1</v>
      </c>
      <c r="O3" s="30" t="str">
        <f aca="false">IF($B3="","",IF(AND($K3="Y",OR($D3="later",$J3="Y")),"Y","N"))</f>
        <v>Y</v>
      </c>
      <c r="P3" s="30" t="str">
        <f aca="false">IF(OR($B3="",$E3=""),"",$B3&amp;"_"&amp;$C3&amp;"_"&amp;$D3&amp;"_"&amp;TEXT($E3,"yyyy-mm-dd")&amp;".jpg")</f>
        <v>SAMPLE-CMP-001_SAMPLE-O-002_placement_2027-01-12.jpg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SAMPLE-CMP-001|SAMPLE-O-002|placement|Y</v>
      </c>
      <c r="S3" s="30" t="str">
        <f aca="false">IF($B3="","",$R3&amp;"|"&amp;N($E3))</f>
        <v>SAMPLE-CMP-001|SAMPLE-O-002|placement|Y|46399</v>
      </c>
    </row>
    <row r="4" customFormat="false" ht="15" hidden="false" customHeight="false" outlineLevel="0" collapsed="false">
      <c r="A4" s="0" t="s">
        <v>706</v>
      </c>
      <c r="B4" s="0" t="s">
        <v>459</v>
      </c>
      <c r="C4" s="0" t="s">
        <v>599</v>
      </c>
      <c r="D4" s="10" t="s">
        <v>724</v>
      </c>
      <c r="E4" s="11" t="n">
        <v>46399</v>
      </c>
      <c r="F4" s="38" t="n">
        <v>0.381944444444444</v>
      </c>
      <c r="G4" s="10" t="s">
        <v>335</v>
      </c>
      <c r="H4" s="10" t="s">
        <v>727</v>
      </c>
      <c r="I4" s="11" t="n">
        <v>46399</v>
      </c>
      <c r="J4" s="10" t="s">
        <v>473</v>
      </c>
      <c r="K4" s="10" t="s">
        <v>473</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SAMPLE-CMP-001_SAMPLE-O-003_placement_2027-01-12.jpg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SAMPLE-CMP-001|SAMPLE-O-003|placement|Y</v>
      </c>
      <c r="S4" s="30" t="str">
        <f aca="false">IF($B4="","",$R4&amp;"|"&amp;N($E4))</f>
        <v>SAMPLE-CMP-001|SAMPLE-O-003|placement|Y|46399</v>
      </c>
    </row>
    <row r="5" customFormat="false" ht="15" hidden="false" customHeight="false" outlineLevel="0" collapsed="false">
      <c r="A5" s="0" t="s">
        <v>707</v>
      </c>
      <c r="B5" s="0" t="s">
        <v>459</v>
      </c>
      <c r="C5" s="0" t="s">
        <v>602</v>
      </c>
      <c r="D5" s="10" t="s">
        <v>724</v>
      </c>
      <c r="E5" s="11" t="n">
        <v>46401</v>
      </c>
      <c r="F5" s="38" t="n">
        <v>0.40625</v>
      </c>
      <c r="G5" s="10" t="s">
        <v>135</v>
      </c>
      <c r="H5" s="10" t="s">
        <v>728</v>
      </c>
      <c r="I5" s="11" t="n">
        <v>46401</v>
      </c>
      <c r="J5" s="10" t="s">
        <v>473</v>
      </c>
      <c r="K5" s="10" t="s">
        <v>473</v>
      </c>
      <c r="M5" s="31" t="n">
        <f aca="false">IF($B5="","",IFERROR(IF(INDEX(campaigns!$BG$2:$BG$51,MATCH($B5,campaigns!$A$2:$A$51,0))="","",INDEX(campaigns!$BG$2:$BG$51,MATCH($B5,campaigns!$A$2:$A$51,0))),""))</f>
        <v>46399</v>
      </c>
      <c r="N5" s="30" t="n">
        <f aca="false">IF(OR($B5="",$E5="",$M5=""),"",IF($E5&lt;$M5,0,NETWORKDAYS($M5,$E5,calendar!$A$2:$A$80)))</f>
        <v>3</v>
      </c>
      <c r="O5" s="30" t="str">
        <f aca="false">IF($B5="","",IF(AND($K5="Y",OR($D5="later",$J5="Y")),"Y","N"))</f>
        <v>Y</v>
      </c>
      <c r="P5" s="30" t="str">
        <f aca="false">IF(OR($B5="",$E5=""),"",$B5&amp;"_"&amp;$C5&amp;"_"&amp;$D5&amp;"_"&amp;TEXT($E5,"yyyy-mm-dd")&amp;".jpg")</f>
        <v>SAMPLE-CMP-001_SAMPLE-O-004_placement_2027-01-14.jpg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info: placed after the first business day; </v>
      </c>
      <c r="R5" s="30" t="str">
        <f aca="false">IF($B5="","",$B5&amp;"|"&amp;$C5&amp;"|"&amp;$D5&amp;"|"&amp;$O5)</f>
        <v>SAMPLE-CMP-001|SAMPLE-O-004|placement|Y</v>
      </c>
      <c r="S5" s="30" t="str">
        <f aca="false">IF($B5="","",$R5&amp;"|"&amp;N($E5))</f>
        <v>SAMPLE-CMP-001|SAMPLE-O-004|placement|Y|46401</v>
      </c>
    </row>
    <row r="6" customFormat="false" ht="15" hidden="false" customHeight="false" outlineLevel="0" collapsed="false">
      <c r="A6" s="0" t="s">
        <v>708</v>
      </c>
      <c r="B6" s="0" t="s">
        <v>459</v>
      </c>
      <c r="C6" s="0" t="s">
        <v>604</v>
      </c>
      <c r="D6" s="10" t="s">
        <v>724</v>
      </c>
      <c r="E6" s="11" t="n">
        <v>46399</v>
      </c>
      <c r="F6" s="38" t="n">
        <v>0.590277777777778</v>
      </c>
      <c r="G6" s="10" t="s">
        <v>135</v>
      </c>
      <c r="H6" s="10" t="s">
        <v>729</v>
      </c>
      <c r="I6" s="11" t="n">
        <v>46399</v>
      </c>
      <c r="J6" s="10" t="s">
        <v>473</v>
      </c>
      <c r="K6" s="10" t="s">
        <v>473</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SAMPLE-CMP-001_SAMPLE-O-005_placement_2027-01-12.jpg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SAMPLE-CMP-001|SAMPLE-O-005|placement|Y</v>
      </c>
      <c r="S6" s="30" t="str">
        <f aca="false">IF($B6="","",$R6&amp;"|"&amp;N($E6))</f>
        <v>SAMPLE-CMP-001|SAMPLE-O-005|placement|Y|46399</v>
      </c>
    </row>
    <row r="7" customFormat="false" ht="15" hidden="false" customHeight="false" outlineLevel="0" collapsed="false">
      <c r="A7" s="0" t="s">
        <v>709</v>
      </c>
      <c r="B7" s="0" t="s">
        <v>478</v>
      </c>
      <c r="C7" s="0" t="s">
        <v>594</v>
      </c>
      <c r="D7" s="10" t="s">
        <v>724</v>
      </c>
      <c r="E7" s="11" t="n">
        <v>46399</v>
      </c>
      <c r="F7" s="38" t="n">
        <v>0.356944444444445</v>
      </c>
      <c r="G7" s="10" t="s">
        <v>335</v>
      </c>
      <c r="H7" s="10" t="s">
        <v>730</v>
      </c>
      <c r="I7" s="11" t="n">
        <v>46399</v>
      </c>
      <c r="J7" s="10" t="s">
        <v>473</v>
      </c>
      <c r="K7" s="10" t="s">
        <v>473</v>
      </c>
      <c r="M7" s="31" t="n">
        <f aca="false">IF($B7="","",IFERROR(IF(INDEX(campaigns!$BG$2:$BG$51,MATCH($B7,campaigns!$A$2:$A$51,0))="","",INDEX(campaigns!$BG$2:$BG$51,MATCH($B7,campaigns!$A$2:$A$51,0))),""))</f>
        <v>46399</v>
      </c>
      <c r="N7" s="30" t="n">
        <f aca="false">IF(OR($B7="",$E7="",$M7=""),"",IF($E7&lt;$M7,0,NETWORKDAYS($M7,$E7,calendar!$A$2:$A$80)))</f>
        <v>1</v>
      </c>
      <c r="O7" s="30" t="str">
        <f aca="false">IF($B7="","",IF(AND($K7="Y",OR($D7="later",$J7="Y")),"Y","N"))</f>
        <v>Y</v>
      </c>
      <c r="P7" s="30" t="str">
        <f aca="false">IF(OR($B7="",$E7=""),"",$B7&amp;"_"&amp;$C7&amp;"_"&amp;$D7&amp;"_"&amp;TEXT($E7,"yyyy-mm-dd")&amp;".jpg")</f>
        <v>SAMPLE-CMP-002_SAMPLE-O-001_placement_2027-01-12.jpg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SAMPLE-CMP-002|SAMPLE-O-001|placement|Y</v>
      </c>
      <c r="S7" s="30" t="str">
        <f aca="false">IF($B7="","",$R7&amp;"|"&amp;N($E7))</f>
        <v>SAMPLE-CMP-002|SAMPLE-O-001|placement|Y|46399</v>
      </c>
    </row>
    <row r="8" customFormat="false" ht="15" hidden="false" customHeight="false" outlineLevel="0" collapsed="false">
      <c r="A8" s="0" t="s">
        <v>710</v>
      </c>
      <c r="B8" s="0" t="s">
        <v>478</v>
      </c>
      <c r="C8" s="0" t="s">
        <v>597</v>
      </c>
      <c r="D8" s="10" t="s">
        <v>724</v>
      </c>
      <c r="E8" s="11" t="n">
        <v>46399</v>
      </c>
      <c r="F8" s="38" t="n">
        <v>0.486111111111111</v>
      </c>
      <c r="G8" s="10" t="s">
        <v>135</v>
      </c>
      <c r="H8" s="10" t="s">
        <v>731</v>
      </c>
      <c r="I8" s="11" t="n">
        <v>46399</v>
      </c>
      <c r="J8" s="10" t="s">
        <v>473</v>
      </c>
      <c r="K8" s="10" t="s">
        <v>473</v>
      </c>
      <c r="M8" s="31" t="n">
        <f aca="false">IF($B8="","",IFERROR(IF(INDEX(campaigns!$BG$2:$BG$51,MATCH($B8,campaigns!$A$2:$A$51,0))="","",INDEX(campaigns!$BG$2:$BG$51,MATCH($B8,campaigns!$A$2:$A$51,0))),""))</f>
        <v>46399</v>
      </c>
      <c r="N8" s="30" t="n">
        <f aca="false">IF(OR($B8="",$E8="",$M8=""),"",IF($E8&lt;$M8,0,NETWORKDAYS($M8,$E8,calendar!$A$2:$A$80)))</f>
        <v>1</v>
      </c>
      <c r="O8" s="30" t="str">
        <f aca="false">IF($B8="","",IF(AND($K8="Y",OR($D8="later",$J8="Y")),"Y","N"))</f>
        <v>Y</v>
      </c>
      <c r="P8" s="30" t="str">
        <f aca="false">IF(OR($B8="",$E8=""),"",$B8&amp;"_"&amp;$C8&amp;"_"&amp;$D8&amp;"_"&amp;TEXT($E8,"yyyy-mm-dd")&amp;".jpg")</f>
        <v>SAMPLE-CMP-002_SAMPLE-O-002_placement_2027-01-12.jpg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30" t="str">
        <f aca="false">IF($B8="","",$B8&amp;"|"&amp;$C8&amp;"|"&amp;$D8&amp;"|"&amp;$O8)</f>
        <v>SAMPLE-CMP-002|SAMPLE-O-002|placement|Y</v>
      </c>
      <c r="S8" s="30" t="str">
        <f aca="false">IF($B8="","",$R8&amp;"|"&amp;N($E8))</f>
        <v>SAMPLE-CMP-002|SAMPLE-O-002|placement|Y|46399</v>
      </c>
    </row>
    <row r="9" customFormat="false" ht="15" hidden="false" customHeight="false" outlineLevel="0" collapsed="false">
      <c r="A9" s="0" t="s">
        <v>732</v>
      </c>
      <c r="B9" s="0" t="s">
        <v>478</v>
      </c>
      <c r="C9" s="0" t="s">
        <v>597</v>
      </c>
      <c r="D9" s="10" t="s">
        <v>733</v>
      </c>
      <c r="E9" s="11" t="n">
        <v>46401</v>
      </c>
      <c r="F9" s="38" t="n">
        <v>0.638888888888889</v>
      </c>
      <c r="G9" s="10" t="s">
        <v>135</v>
      </c>
      <c r="H9" s="10" t="s">
        <v>734</v>
      </c>
      <c r="I9" s="11" t="n">
        <v>46401</v>
      </c>
      <c r="J9" s="10" t="s">
        <v>473</v>
      </c>
      <c r="K9" s="10" t="s">
        <v>473</v>
      </c>
      <c r="M9" s="31" t="n">
        <f aca="false">IF($B9="","",IFERROR(IF(INDEX(campaigns!$BG$2:$BG$51,MATCH($B9,campaigns!$A$2:$A$51,0))="","",INDEX(campaigns!$BG$2:$BG$51,MATCH($B9,campaigns!$A$2:$A$51,0))),""))</f>
        <v>46399</v>
      </c>
      <c r="N9" s="30" t="n">
        <f aca="false">IF(OR($B9="",$E9="",$M9=""),"",IF($E9&lt;$M9,0,NETWORKDAYS($M9,$E9,calendar!$A$2:$A$80)))</f>
        <v>3</v>
      </c>
      <c r="O9" s="30" t="str">
        <f aca="false">IF($B9="","",IF(AND($K9="Y",OR($D9="later",$J9="Y")),"Y","N"))</f>
        <v>Y</v>
      </c>
      <c r="P9" s="30" t="str">
        <f aca="false">IF(OR($B9="",$E9=""),"",$B9&amp;"_"&amp;$C9&amp;"_"&amp;$D9&amp;"_"&amp;TEXT($E9,"yyyy-mm-dd")&amp;".jpg")</f>
        <v>SAMPLE-CMP-002_SAMPLE-O-002_later_2027-01-14.jpg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SAMPLE-CMP-002|SAMPLE-O-002|later|Y</v>
      </c>
      <c r="S9" s="30" t="str">
        <f aca="false">IF($B9="","",$R9&amp;"|"&amp;N($E9))</f>
        <v>SAMPLE-CMP-002|SAMPLE-O-002|later|Y|46401</v>
      </c>
    </row>
    <row r="10" customFormat="false" ht="15" hidden="false" customHeight="false" outlineLevel="0" collapsed="false">
      <c r="A10" s="0" t="s">
        <v>711</v>
      </c>
      <c r="B10" s="0" t="s">
        <v>478</v>
      </c>
      <c r="C10" s="0" t="s">
        <v>599</v>
      </c>
      <c r="D10" s="10" t="s">
        <v>724</v>
      </c>
      <c r="E10" s="11" t="n">
        <v>46399</v>
      </c>
      <c r="F10" s="38" t="n">
        <v>0.381944444444444</v>
      </c>
      <c r="G10" s="10" t="s">
        <v>335</v>
      </c>
      <c r="H10" s="10" t="s">
        <v>735</v>
      </c>
      <c r="I10" s="11" t="n">
        <v>46399</v>
      </c>
      <c r="J10" s="10" t="s">
        <v>473</v>
      </c>
      <c r="K10" s="10" t="s">
        <v>473</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SAMPLE-CMP-002_SAMPLE-O-003_placement_2027-01-12.jpg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SAMPLE-CMP-002|SAMPLE-O-003|placement|Y</v>
      </c>
      <c r="S10" s="30" t="str">
        <f aca="false">IF($B10="","",$R10&amp;"|"&amp;N($E10))</f>
        <v>SAMPLE-CMP-002|SAMPLE-O-003|placement|Y|46399</v>
      </c>
    </row>
    <row r="11" customFormat="false" ht="15" hidden="false" customHeight="false" outlineLevel="0" collapsed="false">
      <c r="A11" s="0" t="s">
        <v>712</v>
      </c>
      <c r="B11" s="0" t="s">
        <v>478</v>
      </c>
      <c r="C11" s="0" t="s">
        <v>602</v>
      </c>
      <c r="D11" s="10" t="s">
        <v>724</v>
      </c>
      <c r="E11" s="11" t="n">
        <v>46400</v>
      </c>
      <c r="F11" s="38" t="n">
        <v>0.378472222222222</v>
      </c>
      <c r="G11" s="10" t="s">
        <v>135</v>
      </c>
      <c r="H11" s="10" t="s">
        <v>736</v>
      </c>
      <c r="I11" s="11" t="n">
        <v>46400</v>
      </c>
      <c r="J11" s="10" t="s">
        <v>473</v>
      </c>
      <c r="K11" s="10" t="s">
        <v>473</v>
      </c>
      <c r="M11" s="31" t="n">
        <f aca="false">IF($B11="","",IFERROR(IF(INDEX(campaigns!$BG$2:$BG$51,MATCH($B11,campaigns!$A$2:$A$51,0))="","",INDEX(campaigns!$BG$2:$BG$51,MATCH($B11,campaigns!$A$2:$A$51,0))),""))</f>
        <v>46399</v>
      </c>
      <c r="N11" s="30" t="n">
        <f aca="false">IF(OR($B11="",$E11="",$M11=""),"",IF($E11&lt;$M11,0,NETWORKDAYS($M11,$E11,calendar!$A$2:$A$80)))</f>
        <v>2</v>
      </c>
      <c r="O11" s="30" t="str">
        <f aca="false">IF($B11="","",IF(AND($K11="Y",OR($D11="later",$J11="Y")),"Y","N"))</f>
        <v>Y</v>
      </c>
      <c r="P11" s="30" t="str">
        <f aca="false">IF(OR($B11="",$E11=""),"",$B11&amp;"_"&amp;$C11&amp;"_"&amp;$D11&amp;"_"&amp;TEXT($E11,"yyyy-mm-dd")&amp;".jpg")</f>
        <v>SAMPLE-CMP-002_SAMPLE-O-004_placement_2027-01-13.jpg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30" t="str">
        <f aca="false">IF($B11="","",$B11&amp;"|"&amp;$C11&amp;"|"&amp;$D11&amp;"|"&amp;$O11)</f>
        <v>SAMPLE-CMP-002|SAMPLE-O-004|placement|Y</v>
      </c>
      <c r="S11" s="30" t="str">
        <f aca="false">IF($B11="","",$R11&amp;"|"&amp;N($E11))</f>
        <v>SAMPLE-CMP-002|SAMPLE-O-004|placement|Y|46400</v>
      </c>
    </row>
    <row r="12" customFormat="false" ht="15" hidden="false" customHeight="false" outlineLevel="0" collapsed="false">
      <c r="A12" s="0" t="s">
        <v>713</v>
      </c>
      <c r="B12" s="0" t="s">
        <v>478</v>
      </c>
      <c r="C12" s="0" t="s">
        <v>604</v>
      </c>
      <c r="D12" s="10" t="s">
        <v>724</v>
      </c>
      <c r="E12" s="11" t="n">
        <v>46399</v>
      </c>
      <c r="F12" s="38" t="n">
        <v>0.590277777777778</v>
      </c>
      <c r="G12" s="10" t="s">
        <v>135</v>
      </c>
      <c r="H12" s="10" t="s">
        <v>737</v>
      </c>
      <c r="I12" s="11" t="n">
        <v>46399</v>
      </c>
      <c r="J12" s="10" t="s">
        <v>473</v>
      </c>
      <c r="K12" s="10" t="s">
        <v>473</v>
      </c>
      <c r="M12" s="31" t="n">
        <f aca="false">IF($B12="","",IFERROR(IF(INDEX(campaigns!$BG$2:$BG$51,MATCH($B12,campaigns!$A$2:$A$51,0))="","",INDEX(campaigns!$BG$2:$BG$51,MATCH($B12,campaigns!$A$2:$A$51,0))),""))</f>
        <v>46399</v>
      </c>
      <c r="N12" s="30" t="n">
        <f aca="false">IF(OR($B12="",$E12="",$M12=""),"",IF($E12&lt;$M12,0,NETWORKDAYS($M12,$E12,calendar!$A$2:$A$80)))</f>
        <v>1</v>
      </c>
      <c r="O12" s="30" t="str">
        <f aca="false">IF($B12="","",IF(AND($K12="Y",OR($D12="later",$J12="Y")),"Y","N"))</f>
        <v>Y</v>
      </c>
      <c r="P12" s="30" t="str">
        <f aca="false">IF(OR($B12="",$E12=""),"",$B12&amp;"_"&amp;$C12&amp;"_"&amp;$D12&amp;"_"&amp;TEXT($E12,"yyyy-mm-dd")&amp;".jpg")</f>
        <v>SAMPLE-CMP-002_SAMPLE-O-005_placement_2027-01-12.jpg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SAMPLE-CMP-002|SAMPLE-O-005|placement|Y</v>
      </c>
      <c r="S12" s="30" t="str">
        <f aca="false">IF($B12="","",$R12&amp;"|"&amp;N($E12))</f>
        <v>SAMPLE-CMP-002|SAMPLE-O-005|placement|Y|46399</v>
      </c>
    </row>
    <row r="13" customFormat="false" ht="15" hidden="false" customHeight="false" outlineLevel="0" collapsed="false">
      <c r="D13" s="10"/>
      <c r="E13" s="11"/>
      <c r="F13" s="38"/>
      <c r="G13" s="10"/>
      <c r="I13" s="11"/>
      <c r="J13" s="10"/>
      <c r="K13" s="10"/>
      <c r="M13" s="31" t="str">
        <f aca="false">IF($B13="","",IFERROR(IF(INDEX(campaigns!$BG$2:$BG$51,MATCH($B13,campaigns!$A$2:$A$51,0))="","",INDEX(campaigns!$BG$2:$BG$51,MATCH($B13,campaigns!$A$2:$A$51,0))),""))</f>
        <v/>
      </c>
      <c r="N13" s="30" t="str">
        <f aca="false">IF(OR($B13="",$E13="",$M13=""),"",IF($E13&lt;$M13,0,NETWORKDAYS($M13,$E13,calendar!$A$2:$A$80)))</f>
        <v/>
      </c>
      <c r="O13" s="30" t="str">
        <f aca="false">IF($B13="","",IF(AND($K13="Y",OR($D13="later",$J13="Y")),"Y","N"))</f>
        <v/>
      </c>
      <c r="P13" s="30" t="str">
        <f aca="false">IF(OR($B13="",$E13=""),"",$B13&amp;"_"&amp;$C13&amp;"_"&amp;$D13&amp;"_"&amp;TEXT($E13,"yyyy-mm-dd")&amp;".jpg")</f>
        <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
      </c>
      <c r="S13" s="30" t="str">
        <f aca="false">IF($B13="","",$R13&amp;"|"&amp;N($E13))</f>
        <v/>
      </c>
    </row>
    <row r="14" customFormat="false" ht="15" hidden="false" customHeight="false" outlineLevel="0" collapsed="false">
      <c r="D14" s="10"/>
      <c r="E14" s="11"/>
      <c r="F14" s="38"/>
      <c r="G14" s="10"/>
      <c r="I14" s="11"/>
      <c r="J14" s="10"/>
      <c r="K14" s="10"/>
      <c r="M14" s="31" t="str">
        <f aca="false">IF($B14="","",IFERROR(IF(INDEX(campaigns!$BG$2:$BG$51,MATCH($B14,campaigns!$A$2:$A$51,0))="","",INDEX(campaigns!$BG$2:$BG$51,MATCH($B14,campaigns!$A$2:$A$51,0))),""))</f>
        <v/>
      </c>
      <c r="N14" s="30" t="str">
        <f aca="false">IF(OR($B14="",$E14="",$M14=""),"",IF($E14&lt;$M14,0,NETWORKDAYS($M14,$E14,calendar!$A$2:$A$80)))</f>
        <v/>
      </c>
      <c r="O14" s="30" t="str">
        <f aca="false">IF($B14="","",IF(AND($K14="Y",OR($D14="later",$J14="Y")),"Y","N"))</f>
        <v/>
      </c>
      <c r="P14" s="30" t="str">
        <f aca="false">IF(OR($B14="",$E14=""),"",$B14&amp;"_"&amp;$C14&amp;"_"&amp;$D14&amp;"_"&amp;TEXT($E14,"yyyy-mm-dd")&amp;".jpg")</f>
        <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
      </c>
      <c r="S14" s="30" t="str">
        <f aca="false">IF($B14="","",$R14&amp;"|"&amp;N($E14))</f>
        <v/>
      </c>
    </row>
    <row r="15" customFormat="false" ht="15" hidden="false" customHeight="false" outlineLevel="0" collapsed="false">
      <c r="D15" s="10"/>
      <c r="E15" s="11"/>
      <c r="F15" s="38"/>
      <c r="G15" s="10"/>
      <c r="I15" s="11"/>
      <c r="J15" s="10"/>
      <c r="K15" s="10"/>
      <c r="M15" s="31" t="str">
        <f aca="false">IF($B15="","",IFERROR(IF(INDEX(campaigns!$BG$2:$BG$51,MATCH($B15,campaigns!$A$2:$A$51,0))="","",INDEX(campaigns!$BG$2:$BG$51,MATCH($B15,campaigns!$A$2:$A$51,0))),""))</f>
        <v/>
      </c>
      <c r="N15" s="30" t="str">
        <f aca="false">IF(OR($B15="",$E15="",$M15=""),"",IF($E15&lt;$M15,0,NETWORKDAYS($M15,$E15,calendar!$A$2:$A$80)))</f>
        <v/>
      </c>
      <c r="O15" s="30" t="str">
        <f aca="false">IF($B15="","",IF(AND($K15="Y",OR($D15="later",$J15="Y")),"Y","N"))</f>
        <v/>
      </c>
      <c r="P15" s="30" t="str">
        <f aca="false">IF(OR($B15="",$E15=""),"",$B15&amp;"_"&amp;$C15&amp;"_"&amp;$D15&amp;"_"&amp;TEXT($E15,"yyyy-mm-dd")&amp;".jpg")</f>
        <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
      </c>
      <c r="S15" s="30" t="str">
        <f aca="false">IF($B15="","",$R15&amp;"|"&amp;N($E15))</f>
        <v/>
      </c>
    </row>
    <row r="16" customFormat="false" ht="15" hidden="false" customHeight="false" outlineLevel="0" collapsed="false">
      <c r="D16" s="10"/>
      <c r="E16" s="11"/>
      <c r="F16" s="38"/>
      <c r="G16" s="10"/>
      <c r="I16" s="11"/>
      <c r="J16" s="10"/>
      <c r="K16" s="10"/>
      <c r="M16" s="31" t="str">
        <f aca="false">IF($B16="","",IFERROR(IF(INDEX(campaigns!$BG$2:$BG$51,MATCH($B16,campaigns!$A$2:$A$51,0))="","",INDEX(campaigns!$BG$2:$BG$51,MATCH($B16,campaigns!$A$2:$A$51,0))),""))</f>
        <v/>
      </c>
      <c r="N16" s="30" t="str">
        <f aca="false">IF(OR($B16="",$E16="",$M16=""),"",IF($E16&lt;$M16,0,NETWORKDAYS($M16,$E16,calendar!$A$2:$A$80)))</f>
        <v/>
      </c>
      <c r="O16" s="30" t="str">
        <f aca="false">IF($B16="","",IF(AND($K16="Y",OR($D16="later",$J16="Y")),"Y","N"))</f>
        <v/>
      </c>
      <c r="P16" s="30" t="str">
        <f aca="false">IF(OR($B16="",$E16=""),"",$B16&amp;"_"&amp;$C16&amp;"_"&amp;$D16&amp;"_"&amp;TEXT($E16,"yyyy-mm-dd")&amp;".jpg")</f>
        <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
      </c>
      <c r="S16" s="30" t="str">
        <f aca="false">IF($B16="","",$R16&amp;"|"&amp;N($E16))</f>
        <v/>
      </c>
    </row>
    <row r="17" customFormat="false" ht="15" hidden="false" customHeight="false" outlineLevel="0" collapsed="false">
      <c r="D17" s="10"/>
      <c r="E17" s="11"/>
      <c r="F17" s="38"/>
      <c r="G17" s="10"/>
      <c r="I17" s="11"/>
      <c r="J17" s="10"/>
      <c r="K17" s="10"/>
      <c r="M17" s="31" t="str">
        <f aca="false">IF($B17="","",IFERROR(IF(INDEX(campaigns!$BG$2:$BG$51,MATCH($B17,campaigns!$A$2:$A$51,0))="","",INDEX(campaigns!$BG$2:$BG$51,MATCH($B17,campaigns!$A$2:$A$51,0))),""))</f>
        <v/>
      </c>
      <c r="N17" s="30" t="str">
        <f aca="false">IF(OR($B17="",$E17="",$M17=""),"",IF($E17&lt;$M17,0,NETWORKDAYS($M17,$E17,calendar!$A$2:$A$80)))</f>
        <v/>
      </c>
      <c r="O17" s="30" t="str">
        <f aca="false">IF($B17="","",IF(AND($K17="Y",OR($D17="later",$J17="Y")),"Y","N"))</f>
        <v/>
      </c>
      <c r="P17" s="30" t="str">
        <f aca="false">IF(OR($B17="",$E17=""),"",$B17&amp;"_"&amp;$C17&amp;"_"&amp;$D17&amp;"_"&amp;TEXT($E17,"yyyy-mm-dd")&amp;".jpg")</f>
        <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
      </c>
      <c r="S17" s="30" t="str">
        <f aca="false">IF($B17="","",$R17&amp;"|"&amp;N($E17))</f>
        <v/>
      </c>
    </row>
    <row r="18" customFormat="false" ht="15" hidden="false" customHeight="false" outlineLevel="0" collapsed="false">
      <c r="D18" s="10"/>
      <c r="E18" s="11"/>
      <c r="F18" s="38"/>
      <c r="G18" s="10"/>
      <c r="I18" s="11"/>
      <c r="J18" s="10"/>
      <c r="K18" s="10"/>
      <c r="M18" s="31" t="str">
        <f aca="false">IF($B18="","",IFERROR(IF(INDEX(campaigns!$BG$2:$BG$51,MATCH($B18,campaigns!$A$2:$A$51,0))="","",INDEX(campaigns!$BG$2:$BG$51,MATCH($B18,campaigns!$A$2:$A$51,0))),""))</f>
        <v/>
      </c>
      <c r="N18" s="30" t="str">
        <f aca="false">IF(OR($B18="",$E18="",$M18=""),"",IF($E18&lt;$M18,0,NETWORKDAYS($M18,$E18,calendar!$A$2:$A$80)))</f>
        <v/>
      </c>
      <c r="O18" s="30" t="str">
        <f aca="false">IF($B18="","",IF(AND($K18="Y",OR($D18="later",$J18="Y")),"Y","N"))</f>
        <v/>
      </c>
      <c r="P18" s="30" t="str">
        <f aca="false">IF(OR($B18="",$E18=""),"",$B18&amp;"_"&amp;$C18&amp;"_"&amp;$D18&amp;"_"&amp;TEXT($E18,"yyyy-mm-dd")&amp;".jpg")</f>
        <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
      </c>
      <c r="S18" s="30" t="str">
        <f aca="false">IF($B18="","",$R18&amp;"|"&amp;N($E18))</f>
        <v/>
      </c>
    </row>
    <row r="19" customFormat="false" ht="15" hidden="false" customHeight="false" outlineLevel="0" collapsed="false">
      <c r="D19" s="10"/>
      <c r="E19" s="11"/>
      <c r="F19" s="38"/>
      <c r="G19" s="10"/>
      <c r="I19" s="11"/>
      <c r="J19" s="10"/>
      <c r="K19" s="10"/>
      <c r="M19" s="31" t="str">
        <f aca="false">IF($B19="","",IFERROR(IF(INDEX(campaigns!$BG$2:$BG$51,MATCH($B19,campaigns!$A$2:$A$51,0))="","",INDEX(campaigns!$BG$2:$BG$51,MATCH($B19,campaigns!$A$2:$A$51,0))),""))</f>
        <v/>
      </c>
      <c r="N19" s="30" t="str">
        <f aca="false">IF(OR($B19="",$E19="",$M19=""),"",IF($E19&lt;$M19,0,NETWORKDAYS($M19,$E19,calendar!$A$2:$A$80)))</f>
        <v/>
      </c>
      <c r="O19" s="30" t="str">
        <f aca="false">IF($B19="","",IF(AND($K19="Y",OR($D19="later",$J19="Y")),"Y","N"))</f>
        <v/>
      </c>
      <c r="P19" s="30" t="str">
        <f aca="false">IF(OR($B19="",$E19=""),"",$B19&amp;"_"&amp;$C19&amp;"_"&amp;$D19&amp;"_"&amp;TEXT($E19,"yyyy-mm-dd")&amp;".jpg")</f>
        <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
      </c>
      <c r="S19" s="30" t="str">
        <f aca="false">IF($B19="","",$R19&amp;"|"&amp;N($E19))</f>
        <v/>
      </c>
    </row>
    <row r="20" customFormat="false" ht="15" hidden="false" customHeight="false" outlineLevel="0" collapsed="false">
      <c r="D20" s="10"/>
      <c r="E20" s="11"/>
      <c r="F20" s="38"/>
      <c r="G20" s="10"/>
      <c r="I20" s="11"/>
      <c r="J20" s="10"/>
      <c r="K20" s="10"/>
      <c r="M20" s="31" t="str">
        <f aca="false">IF($B20="","",IFERROR(IF(INDEX(campaigns!$BG$2:$BG$51,MATCH($B20,campaigns!$A$2:$A$51,0))="","",INDEX(campaigns!$BG$2:$BG$51,MATCH($B20,campaigns!$A$2:$A$51,0))),""))</f>
        <v/>
      </c>
      <c r="N20" s="30" t="str">
        <f aca="false">IF(OR($B20="",$E20="",$M20=""),"",IF($E20&lt;$M20,0,NETWORKDAYS($M20,$E20,calendar!$A$2:$A$80)))</f>
        <v/>
      </c>
      <c r="O20" s="30" t="str">
        <f aca="false">IF($B20="","",IF(AND($K20="Y",OR($D20="later",$J20="Y")),"Y","N"))</f>
        <v/>
      </c>
      <c r="P20" s="30" t="str">
        <f aca="false">IF(OR($B20="",$E20=""),"",$B20&amp;"_"&amp;$C20&amp;"_"&amp;$D20&amp;"_"&amp;TEXT($E20,"yyyy-mm-dd")&amp;".jpg")</f>
        <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
      </c>
      <c r="S20" s="30" t="str">
        <f aca="false">IF($B20="","",$R20&amp;"|"&amp;N($E20))</f>
        <v/>
      </c>
    </row>
    <row r="21" customFormat="false" ht="15" hidden="false" customHeight="false" outlineLevel="0" collapsed="false">
      <c r="D21" s="10"/>
      <c r="E21" s="11"/>
      <c r="F21" s="38"/>
      <c r="G21" s="10"/>
      <c r="I21" s="11"/>
      <c r="J21" s="10"/>
      <c r="K21" s="10"/>
      <c r="M21" s="31" t="str">
        <f aca="false">IF($B21="","",IFERROR(IF(INDEX(campaigns!$BG$2:$BG$51,MATCH($B21,campaigns!$A$2:$A$51,0))="","",INDEX(campaigns!$BG$2:$BG$51,MATCH($B21,campaigns!$A$2:$A$51,0))),""))</f>
        <v/>
      </c>
      <c r="N21" s="30" t="str">
        <f aca="false">IF(OR($B21="",$E21="",$M21=""),"",IF($E21&lt;$M21,0,NETWORKDAYS($M21,$E21,calendar!$A$2:$A$80)))</f>
        <v/>
      </c>
      <c r="O21" s="30" t="str">
        <f aca="false">IF($B21="","",IF(AND($K21="Y",OR($D21="later",$J21="Y")),"Y","N"))</f>
        <v/>
      </c>
      <c r="P21" s="30" t="str">
        <f aca="false">IF(OR($B21="",$E21=""),"",$B21&amp;"_"&amp;$C21&amp;"_"&amp;$D21&amp;"_"&amp;TEXT($E21,"yyyy-mm-dd")&amp;".jpg")</f>
        <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
      </c>
      <c r="S21" s="30" t="str">
        <f aca="false">IF($B21="","",$R21&amp;"|"&amp;N($E21))</f>
        <v/>
      </c>
    </row>
    <row r="22" customFormat="false" ht="15" hidden="false" customHeight="false" outlineLevel="0" collapsed="false">
      <c r="D22" s="10"/>
      <c r="E22" s="11"/>
      <c r="F22" s="38"/>
      <c r="G22" s="10"/>
      <c r="I22" s="11"/>
      <c r="J22" s="10"/>
      <c r="K22" s="10"/>
      <c r="M22" s="31" t="str">
        <f aca="false">IF($B22="","",IFERROR(IF(INDEX(campaigns!$BG$2:$BG$51,MATCH($B22,campaigns!$A$2:$A$51,0))="","",INDEX(campaigns!$BG$2:$BG$51,MATCH($B22,campaigns!$A$2:$A$51,0))),""))</f>
        <v/>
      </c>
      <c r="N22" s="30" t="str">
        <f aca="false">IF(OR($B22="",$E22="",$M22=""),"",IF($E22&lt;$M22,0,NETWORKDAYS($M22,$E22,calendar!$A$2:$A$80)))</f>
        <v/>
      </c>
      <c r="O22" s="30" t="str">
        <f aca="false">IF($B22="","",IF(AND($K22="Y",OR($D22="later",$J22="Y")),"Y","N"))</f>
        <v/>
      </c>
      <c r="P22" s="30" t="str">
        <f aca="false">IF(OR($B22="",$E22=""),"",$B22&amp;"_"&amp;$C22&amp;"_"&amp;$D22&amp;"_"&amp;TEXT($E22,"yyyy-mm-dd")&amp;".jpg")</f>
        <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
      </c>
      <c r="S22" s="30" t="str">
        <f aca="false">IF($B22="","",$R22&amp;"|"&amp;N($E22))</f>
        <v/>
      </c>
    </row>
    <row r="23" customFormat="false" ht="15" hidden="false" customHeight="false" outlineLevel="0" collapsed="false">
      <c r="D23" s="10"/>
      <c r="E23" s="11"/>
      <c r="F23" s="38"/>
      <c r="G23" s="10"/>
      <c r="I23" s="11"/>
      <c r="J23" s="10"/>
      <c r="K23" s="10"/>
      <c r="M23" s="31" t="str">
        <f aca="false">IF($B23="","",IFERROR(IF(INDEX(campaigns!$BG$2:$BG$51,MATCH($B23,campaigns!$A$2:$A$51,0))="","",INDEX(campaigns!$BG$2:$BG$51,MATCH($B23,campaigns!$A$2:$A$51,0))),""))</f>
        <v/>
      </c>
      <c r="N23" s="30" t="str">
        <f aca="false">IF(OR($B23="",$E23="",$M23=""),"",IF($E23&lt;$M23,0,NETWORKDAYS($M23,$E23,calendar!$A$2:$A$80)))</f>
        <v/>
      </c>
      <c r="O23" s="30" t="str">
        <f aca="false">IF($B23="","",IF(AND($K23="Y",OR($D23="later",$J23="Y")),"Y","N"))</f>
        <v/>
      </c>
      <c r="P23" s="30" t="str">
        <f aca="false">IF(OR($B23="",$E23=""),"",$B23&amp;"_"&amp;$C23&amp;"_"&amp;$D23&amp;"_"&amp;TEXT($E23,"yyyy-mm-dd")&amp;".jpg")</f>
        <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
      </c>
      <c r="S23" s="30" t="str">
        <f aca="false">IF($B23="","",$R23&amp;"|"&amp;N($E23))</f>
        <v/>
      </c>
    </row>
    <row r="24" customFormat="false" ht="15" hidden="false" customHeight="false" outlineLevel="0" collapsed="false">
      <c r="D24" s="10"/>
      <c r="E24" s="11"/>
      <c r="F24" s="38"/>
      <c r="G24" s="10"/>
      <c r="I24" s="11"/>
      <c r="J24" s="10"/>
      <c r="K24" s="10"/>
      <c r="M24" s="31" t="str">
        <f aca="false">IF($B24="","",IFERROR(IF(INDEX(campaigns!$BG$2:$BG$51,MATCH($B24,campaigns!$A$2:$A$51,0))="","",INDEX(campaigns!$BG$2:$BG$51,MATCH($B24,campaigns!$A$2:$A$51,0))),""))</f>
        <v/>
      </c>
      <c r="N24" s="30" t="str">
        <f aca="false">IF(OR($B24="",$E24="",$M24=""),"",IF($E24&lt;$M24,0,NETWORKDAYS($M24,$E24,calendar!$A$2:$A$80)))</f>
        <v/>
      </c>
      <c r="O24" s="30" t="str">
        <f aca="false">IF($B24="","",IF(AND($K24="Y",OR($D24="later",$J24="Y")),"Y","N"))</f>
        <v/>
      </c>
      <c r="P24" s="30" t="str">
        <f aca="false">IF(OR($B24="",$E24=""),"",$B24&amp;"_"&amp;$C24&amp;"_"&amp;$D24&amp;"_"&amp;TEXT($E24,"yyyy-mm-dd")&amp;".jpg")</f>
        <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
      </c>
      <c r="S24" s="30" t="str">
        <f aca="false">IF($B24="","",$R24&amp;"|"&amp;N($E24))</f>
        <v/>
      </c>
    </row>
    <row r="25" customFormat="false" ht="15" hidden="false" customHeight="false" outlineLevel="0" collapsed="false">
      <c r="D25" s="10"/>
      <c r="E25" s="11"/>
      <c r="F25" s="38"/>
      <c r="G25" s="10"/>
      <c r="I25" s="11"/>
      <c r="J25" s="10"/>
      <c r="K25" s="10"/>
      <c r="M25" s="31" t="str">
        <f aca="false">IF($B25="","",IFERROR(IF(INDEX(campaigns!$BG$2:$BG$51,MATCH($B25,campaigns!$A$2:$A$51,0))="","",INDEX(campaigns!$BG$2:$BG$51,MATCH($B25,campaigns!$A$2:$A$51,0))),""))</f>
        <v/>
      </c>
      <c r="N25" s="30" t="str">
        <f aca="false">IF(OR($B25="",$E25="",$M25=""),"",IF($E25&lt;$M25,0,NETWORKDAYS($M25,$E25,calendar!$A$2:$A$80)))</f>
        <v/>
      </c>
      <c r="O25" s="30" t="str">
        <f aca="false">IF($B25="","",IF(AND($K25="Y",OR($D25="later",$J25="Y")),"Y","N"))</f>
        <v/>
      </c>
      <c r="P25" s="30" t="str">
        <f aca="false">IF(OR($B25="",$E25=""),"",$B25&amp;"_"&amp;$C25&amp;"_"&amp;$D25&amp;"_"&amp;TEXT($E25,"yyyy-mm-dd")&amp;".jpg")</f>
        <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
      </c>
      <c r="S25" s="30" t="str">
        <f aca="false">IF($B25="","",$R25&amp;"|"&amp;N($E25))</f>
        <v/>
      </c>
    </row>
    <row r="26" customFormat="false" ht="15" hidden="false" customHeight="false" outlineLevel="0" collapsed="false">
      <c r="D26" s="10"/>
      <c r="E26" s="11"/>
      <c r="F26" s="38"/>
      <c r="G26" s="10"/>
      <c r="I26" s="11"/>
      <c r="J26" s="10"/>
      <c r="K26" s="10"/>
      <c r="M26" s="31" t="str">
        <f aca="false">IF($B26="","",IFERROR(IF(INDEX(campaigns!$BG$2:$BG$51,MATCH($B26,campaigns!$A$2:$A$51,0))="","",INDEX(campaigns!$BG$2:$BG$51,MATCH($B26,campaigns!$A$2:$A$51,0))),""))</f>
        <v/>
      </c>
      <c r="N26" s="30" t="str">
        <f aca="false">IF(OR($B26="",$E26="",$M26=""),"",IF($E26&lt;$M26,0,NETWORKDAYS($M26,$E26,calendar!$A$2:$A$80)))</f>
        <v/>
      </c>
      <c r="O26" s="30" t="str">
        <f aca="false">IF($B26="","",IF(AND($K26="Y",OR($D26="later",$J26="Y")),"Y","N"))</f>
        <v/>
      </c>
      <c r="P26" s="30" t="str">
        <f aca="false">IF(OR($B26="",$E26=""),"",$B26&amp;"_"&amp;$C26&amp;"_"&amp;$D26&amp;"_"&amp;TEXT($E26,"yyyy-mm-dd")&amp;".jpg")</f>
        <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
      </c>
      <c r="S26" s="30" t="str">
        <f aca="false">IF($B26="","",$R26&amp;"|"&amp;N($E26))</f>
        <v/>
      </c>
    </row>
    <row r="27" customFormat="false" ht="15" hidden="false" customHeight="false" outlineLevel="0" collapsed="false">
      <c r="D27" s="10"/>
      <c r="E27" s="11"/>
      <c r="F27" s="38"/>
      <c r="G27" s="10"/>
      <c r="I27" s="11"/>
      <c r="J27" s="10"/>
      <c r="K27" s="10"/>
      <c r="M27" s="31" t="str">
        <f aca="false">IF($B27="","",IFERROR(IF(INDEX(campaigns!$BG$2:$BG$51,MATCH($B27,campaigns!$A$2:$A$51,0))="","",INDEX(campaigns!$BG$2:$BG$51,MATCH($B27,campaigns!$A$2:$A$51,0))),""))</f>
        <v/>
      </c>
      <c r="N27" s="30" t="str">
        <f aca="false">IF(OR($B27="",$E27="",$M27=""),"",IF($E27&lt;$M27,0,NETWORKDAYS($M27,$E27,calendar!$A$2:$A$80)))</f>
        <v/>
      </c>
      <c r="O27" s="30" t="str">
        <f aca="false">IF($B27="","",IF(AND($K27="Y",OR($D27="later",$J27="Y")),"Y","N"))</f>
        <v/>
      </c>
      <c r="P27" s="30" t="str">
        <f aca="false">IF(OR($B27="",$E27=""),"",$B27&amp;"_"&amp;$C27&amp;"_"&amp;$D27&amp;"_"&amp;TEXT($E27,"yyyy-mm-dd")&amp;".jpg")</f>
        <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
      </c>
      <c r="S27" s="30" t="str">
        <f aca="false">IF($B27="","",$R27&amp;"|"&amp;N($E27))</f>
        <v/>
      </c>
    </row>
    <row r="28" customFormat="false" ht="15" hidden="false" customHeight="false" outlineLevel="0" collapsed="false">
      <c r="D28" s="10"/>
      <c r="E28" s="11"/>
      <c r="F28" s="38"/>
      <c r="G28" s="10"/>
      <c r="I28" s="11"/>
      <c r="J28" s="10"/>
      <c r="K28" s="10"/>
      <c r="M28" s="31" t="str">
        <f aca="false">IF($B28="","",IFERROR(IF(INDEX(campaigns!$BG$2:$BG$51,MATCH($B28,campaigns!$A$2:$A$51,0))="","",INDEX(campaigns!$BG$2:$BG$51,MATCH($B28,campaigns!$A$2:$A$51,0))),""))</f>
        <v/>
      </c>
      <c r="N28" s="30" t="str">
        <f aca="false">IF(OR($B28="",$E28="",$M28=""),"",IF($E28&lt;$M28,0,NETWORKDAYS($M28,$E28,calendar!$A$2:$A$80)))</f>
        <v/>
      </c>
      <c r="O28" s="30" t="str">
        <f aca="false">IF($B28="","",IF(AND($K28="Y",OR($D28="later",$J28="Y")),"Y","N"))</f>
        <v/>
      </c>
      <c r="P28" s="30" t="str">
        <f aca="false">IF(OR($B28="",$E28=""),"",$B28&amp;"_"&amp;$C28&amp;"_"&amp;$D28&amp;"_"&amp;TEXT($E28,"yyyy-mm-dd")&amp;".jpg")</f>
        <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
      </c>
      <c r="S28" s="30" t="str">
        <f aca="false">IF($B28="","",$R28&amp;"|"&amp;N($E28))</f>
        <v/>
      </c>
    </row>
    <row r="29" customFormat="false" ht="15" hidden="false" customHeight="false" outlineLevel="0" collapsed="false">
      <c r="D29" s="10"/>
      <c r="E29" s="11"/>
      <c r="F29" s="38"/>
      <c r="G29" s="10"/>
      <c r="I29" s="11"/>
      <c r="J29" s="10"/>
      <c r="K29" s="10"/>
      <c r="M29" s="31" t="str">
        <f aca="false">IF($B29="","",IFERROR(IF(INDEX(campaigns!$BG$2:$BG$51,MATCH($B29,campaigns!$A$2:$A$51,0))="","",INDEX(campaigns!$BG$2:$BG$51,MATCH($B29,campaigns!$A$2:$A$51,0))),""))</f>
        <v/>
      </c>
      <c r="N29" s="30" t="str">
        <f aca="false">IF(OR($B29="",$E29="",$M29=""),"",IF($E29&lt;$M29,0,NETWORKDAYS($M29,$E29,calendar!$A$2:$A$80)))</f>
        <v/>
      </c>
      <c r="O29" s="30" t="str">
        <f aca="false">IF($B29="","",IF(AND($K29="Y",OR($D29="later",$J29="Y")),"Y","N"))</f>
        <v/>
      </c>
      <c r="P29" s="30" t="str">
        <f aca="false">IF(OR($B29="",$E29=""),"",$B29&amp;"_"&amp;$C29&amp;"_"&amp;$D29&amp;"_"&amp;TEXT($E29,"yyyy-mm-dd")&amp;".jpg")</f>
        <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
      </c>
      <c r="S29" s="30" t="str">
        <f aca="false">IF($B29="","",$R29&amp;"|"&amp;N($E29))</f>
        <v/>
      </c>
    </row>
    <row r="30" customFormat="false" ht="15" hidden="false" customHeight="false" outlineLevel="0" collapsed="false">
      <c r="D30" s="10"/>
      <c r="E30" s="11"/>
      <c r="F30" s="38"/>
      <c r="G30" s="10"/>
      <c r="I30" s="11"/>
      <c r="J30" s="10"/>
      <c r="K30" s="10"/>
      <c r="M30" s="31" t="str">
        <f aca="false">IF($B30="","",IFERROR(IF(INDEX(campaigns!$BG$2:$BG$51,MATCH($B30,campaigns!$A$2:$A$51,0))="","",INDEX(campaigns!$BG$2:$BG$51,MATCH($B30,campaigns!$A$2:$A$51,0))),""))</f>
        <v/>
      </c>
      <c r="N30" s="30" t="str">
        <f aca="false">IF(OR($B30="",$E30="",$M30=""),"",IF($E30&lt;$M30,0,NETWORKDAYS($M30,$E30,calendar!$A$2:$A$80)))</f>
        <v/>
      </c>
      <c r="O30" s="30" t="str">
        <f aca="false">IF($B30="","",IF(AND($K30="Y",OR($D30="later",$J30="Y")),"Y","N"))</f>
        <v/>
      </c>
      <c r="P30" s="30" t="str">
        <f aca="false">IF(OR($B30="",$E30=""),"",$B30&amp;"_"&amp;$C30&amp;"_"&amp;$D30&amp;"_"&amp;TEXT($E30,"yyyy-mm-dd")&amp;".jpg")</f>
        <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
      </c>
      <c r="S30" s="30" t="str">
        <f aca="false">IF($B30="","",$R30&amp;"|"&amp;N($E30))</f>
        <v/>
      </c>
    </row>
    <row r="31" customFormat="false" ht="15" hidden="false" customHeight="false" outlineLevel="0" collapsed="false">
      <c r="D31" s="10"/>
      <c r="E31" s="11"/>
      <c r="F31" s="38"/>
      <c r="G31" s="10"/>
      <c r="I31" s="11"/>
      <c r="J31" s="10"/>
      <c r="K31" s="10"/>
      <c r="M31" s="31" t="str">
        <f aca="false">IF($B31="","",IFERROR(IF(INDEX(campaigns!$BG$2:$BG$51,MATCH($B31,campaigns!$A$2:$A$51,0))="","",INDEX(campaigns!$BG$2:$BG$51,MATCH($B31,campaigns!$A$2:$A$51,0))),""))</f>
        <v/>
      </c>
      <c r="N31" s="30" t="str">
        <f aca="false">IF(OR($B31="",$E31="",$M31=""),"",IF($E31&lt;$M31,0,NETWORKDAYS($M31,$E31,calendar!$A$2:$A$80)))</f>
        <v/>
      </c>
      <c r="O31" s="30" t="str">
        <f aca="false">IF($B31="","",IF(AND($K31="Y",OR($D31="later",$J31="Y")),"Y","N"))</f>
        <v/>
      </c>
      <c r="P31" s="30" t="str">
        <f aca="false">IF(OR($B31="",$E31=""),"",$B31&amp;"_"&amp;$C31&amp;"_"&amp;$D31&amp;"_"&amp;TEXT($E31,"yyyy-mm-dd")&amp;".jpg")</f>
        <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
      </c>
      <c r="S31" s="30" t="str">
        <f aca="false">IF($B31="","",$R31&amp;"|"&amp;N($E31))</f>
        <v/>
      </c>
    </row>
    <row r="32" customFormat="false" ht="15" hidden="false" customHeight="false" outlineLevel="0" collapsed="false">
      <c r="D32" s="10"/>
      <c r="E32" s="11"/>
      <c r="F32" s="38"/>
      <c r="G32" s="10"/>
      <c r="I32" s="11"/>
      <c r="J32" s="10"/>
      <c r="K32" s="10"/>
      <c r="M32" s="31" t="str">
        <f aca="false">IF($B32="","",IFERROR(IF(INDEX(campaigns!$BG$2:$BG$51,MATCH($B32,campaigns!$A$2:$A$51,0))="","",INDEX(campaigns!$BG$2:$BG$51,MATCH($B32,campaigns!$A$2:$A$51,0))),""))</f>
        <v/>
      </c>
      <c r="N32" s="30" t="str">
        <f aca="false">IF(OR($B32="",$E32="",$M32=""),"",IF($E32&lt;$M32,0,NETWORKDAYS($M32,$E32,calendar!$A$2:$A$80)))</f>
        <v/>
      </c>
      <c r="O32" s="30" t="str">
        <f aca="false">IF($B32="","",IF(AND($K32="Y",OR($D32="later",$J32="Y")),"Y","N"))</f>
        <v/>
      </c>
      <c r="P32" s="30" t="str">
        <f aca="false">IF(OR($B32="",$E32=""),"",$B32&amp;"_"&amp;$C32&amp;"_"&amp;$D32&amp;"_"&amp;TEXT($E32,"yyyy-mm-dd")&amp;".jpg")</f>
        <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
      </c>
      <c r="S32" s="30" t="str">
        <f aca="false">IF($B32="","",$R32&amp;"|"&amp;N($E32))</f>
        <v/>
      </c>
    </row>
    <row r="33" customFormat="false" ht="15" hidden="false" customHeight="false" outlineLevel="0" collapsed="false">
      <c r="D33" s="10"/>
      <c r="E33" s="11"/>
      <c r="F33" s="38"/>
      <c r="G33" s="10"/>
      <c r="I33" s="11"/>
      <c r="J33" s="10"/>
      <c r="K33" s="10"/>
      <c r="M33" s="31" t="str">
        <f aca="false">IF($B33="","",IFERROR(IF(INDEX(campaigns!$BG$2:$BG$51,MATCH($B33,campaigns!$A$2:$A$51,0))="","",INDEX(campaigns!$BG$2:$BG$51,MATCH($B33,campaigns!$A$2:$A$51,0))),""))</f>
        <v/>
      </c>
      <c r="N33" s="30" t="str">
        <f aca="false">IF(OR($B33="",$E33="",$M33=""),"",IF($E33&lt;$M33,0,NETWORKDAYS($M33,$E33,calendar!$A$2:$A$80)))</f>
        <v/>
      </c>
      <c r="O33" s="30" t="str">
        <f aca="false">IF($B33="","",IF(AND($K33="Y",OR($D33="later",$J33="Y")),"Y","N"))</f>
        <v/>
      </c>
      <c r="P33" s="30" t="str">
        <f aca="false">IF(OR($B33="",$E33=""),"",$B33&amp;"_"&amp;$C33&amp;"_"&amp;$D33&amp;"_"&amp;TEXT($E33,"yyyy-mm-dd")&amp;".jpg")</f>
        <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
      </c>
      <c r="S33" s="30" t="str">
        <f aca="false">IF($B33="","",$R33&amp;"|"&amp;N($E33))</f>
        <v/>
      </c>
    </row>
    <row r="34" customFormat="false" ht="15" hidden="false" customHeight="false" outlineLevel="0" collapsed="false">
      <c r="D34" s="10"/>
      <c r="E34" s="11"/>
      <c r="F34" s="38"/>
      <c r="G34" s="10"/>
      <c r="I34" s="11"/>
      <c r="J34" s="10"/>
      <c r="K34" s="10"/>
      <c r="M34" s="31" t="str">
        <f aca="false">IF($B34="","",IFERROR(IF(INDEX(campaigns!$BG$2:$BG$51,MATCH($B34,campaigns!$A$2:$A$51,0))="","",INDEX(campaigns!$BG$2:$BG$51,MATCH($B34,campaigns!$A$2:$A$51,0))),""))</f>
        <v/>
      </c>
      <c r="N34" s="30" t="str">
        <f aca="false">IF(OR($B34="",$E34="",$M34=""),"",IF($E34&lt;$M34,0,NETWORKDAYS($M34,$E34,calendar!$A$2:$A$80)))</f>
        <v/>
      </c>
      <c r="O34" s="30" t="str">
        <f aca="false">IF($B34="","",IF(AND($K34="Y",OR($D34="later",$J34="Y")),"Y","N"))</f>
        <v/>
      </c>
      <c r="P34" s="30" t="str">
        <f aca="false">IF(OR($B34="",$E34=""),"",$B34&amp;"_"&amp;$C34&amp;"_"&amp;$D34&amp;"_"&amp;TEXT($E34,"yyyy-mm-dd")&amp;".jpg")</f>
        <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
      </c>
      <c r="S34" s="30" t="str">
        <f aca="false">IF($B34="","",$R34&amp;"|"&amp;N($E34))</f>
        <v/>
      </c>
    </row>
    <row r="35" customFormat="false" ht="15" hidden="false" customHeight="false" outlineLevel="0" collapsed="false">
      <c r="D35" s="10"/>
      <c r="E35" s="11"/>
      <c r="F35" s="38"/>
      <c r="G35" s="10"/>
      <c r="I35" s="11"/>
      <c r="J35" s="10"/>
      <c r="K35" s="10"/>
      <c r="M35" s="31" t="str">
        <f aca="false">IF($B35="","",IFERROR(IF(INDEX(campaigns!$BG$2:$BG$51,MATCH($B35,campaigns!$A$2:$A$51,0))="","",INDEX(campaigns!$BG$2:$BG$51,MATCH($B35,campaigns!$A$2:$A$51,0))),""))</f>
        <v/>
      </c>
      <c r="N35" s="30" t="str">
        <f aca="false">IF(OR($B35="",$E35="",$M35=""),"",IF($E35&lt;$M35,0,NETWORKDAYS($M35,$E35,calendar!$A$2:$A$80)))</f>
        <v/>
      </c>
      <c r="O35" s="30" t="str">
        <f aca="false">IF($B35="","",IF(AND($K35="Y",OR($D35="later",$J35="Y")),"Y","N"))</f>
        <v/>
      </c>
      <c r="P35" s="30" t="str">
        <f aca="false">IF(OR($B35="",$E35=""),"",$B35&amp;"_"&amp;$C35&amp;"_"&amp;$D35&amp;"_"&amp;TEXT($E35,"yyyy-mm-dd")&amp;".jpg")</f>
        <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
      </c>
      <c r="S35" s="30" t="str">
        <f aca="false">IF($B35="","",$R35&amp;"|"&amp;N($E35))</f>
        <v/>
      </c>
    </row>
    <row r="36" customFormat="false" ht="15" hidden="false" customHeight="false" outlineLevel="0" collapsed="false">
      <c r="D36" s="10"/>
      <c r="E36" s="11"/>
      <c r="F36" s="38"/>
      <c r="G36" s="10"/>
      <c r="I36" s="11"/>
      <c r="J36" s="10"/>
      <c r="K36" s="10"/>
      <c r="M36" s="31" t="str">
        <f aca="false">IF($B36="","",IFERROR(IF(INDEX(campaigns!$BG$2:$BG$51,MATCH($B36,campaigns!$A$2:$A$51,0))="","",INDEX(campaigns!$BG$2:$BG$51,MATCH($B36,campaigns!$A$2:$A$51,0))),""))</f>
        <v/>
      </c>
      <c r="N36" s="30" t="str">
        <f aca="false">IF(OR($B36="",$E36="",$M36=""),"",IF($E36&lt;$M36,0,NETWORKDAYS($M36,$E36,calendar!$A$2:$A$80)))</f>
        <v/>
      </c>
      <c r="O36" s="30" t="str">
        <f aca="false">IF($B36="","",IF(AND($K36="Y",OR($D36="later",$J36="Y")),"Y","N"))</f>
        <v/>
      </c>
      <c r="P36" s="30" t="str">
        <f aca="false">IF(OR($B36="",$E36=""),"",$B36&amp;"_"&amp;$C36&amp;"_"&amp;$D36&amp;"_"&amp;TEXT($E36,"yyyy-mm-dd")&amp;".jpg")</f>
        <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
      </c>
      <c r="S36" s="30" t="str">
        <f aca="false">IF($B36="","",$R36&amp;"|"&amp;N($E36))</f>
        <v/>
      </c>
    </row>
    <row r="37" customFormat="false" ht="15" hidden="false" customHeight="false" outlineLevel="0" collapsed="false">
      <c r="D37" s="10"/>
      <c r="E37" s="11"/>
      <c r="F37" s="38"/>
      <c r="G37" s="10"/>
      <c r="I37" s="11"/>
      <c r="J37" s="10"/>
      <c r="K37" s="10"/>
      <c r="M37" s="31" t="str">
        <f aca="false">IF($B37="","",IFERROR(IF(INDEX(campaigns!$BG$2:$BG$51,MATCH($B37,campaigns!$A$2:$A$51,0))="","",INDEX(campaigns!$BG$2:$BG$51,MATCH($B37,campaigns!$A$2:$A$51,0))),""))</f>
        <v/>
      </c>
      <c r="N37" s="30" t="str">
        <f aca="false">IF(OR($B37="",$E37="",$M37=""),"",IF($E37&lt;$M37,0,NETWORKDAYS($M37,$E37,calendar!$A$2:$A$80)))</f>
        <v/>
      </c>
      <c r="O37" s="30" t="str">
        <f aca="false">IF($B37="","",IF(AND($K37="Y",OR($D37="later",$J37="Y")),"Y","N"))</f>
        <v/>
      </c>
      <c r="P37" s="30" t="str">
        <f aca="false">IF(OR($B37="",$E37=""),"",$B37&amp;"_"&amp;$C37&amp;"_"&amp;$D37&amp;"_"&amp;TEXT($E37,"yyyy-mm-dd")&amp;".jpg")</f>
        <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
      </c>
      <c r="S37" s="30" t="str">
        <f aca="false">IF($B37="","",$R37&amp;"|"&amp;N($E37))</f>
        <v/>
      </c>
    </row>
    <row r="38" customFormat="false" ht="15" hidden="false" customHeight="false" outlineLevel="0" collapsed="false">
      <c r="D38" s="10"/>
      <c r="E38" s="11"/>
      <c r="F38" s="38"/>
      <c r="G38" s="10"/>
      <c r="I38" s="11"/>
      <c r="J38" s="10"/>
      <c r="K38" s="10"/>
      <c r="M38" s="31" t="str">
        <f aca="false">IF($B38="","",IFERROR(IF(INDEX(campaigns!$BG$2:$BG$51,MATCH($B38,campaigns!$A$2:$A$51,0))="","",INDEX(campaigns!$BG$2:$BG$51,MATCH($B38,campaigns!$A$2:$A$51,0))),""))</f>
        <v/>
      </c>
      <c r="N38" s="30" t="str">
        <f aca="false">IF(OR($B38="",$E38="",$M38=""),"",IF($E38&lt;$M38,0,NETWORKDAYS($M38,$E38,calendar!$A$2:$A$80)))</f>
        <v/>
      </c>
      <c r="O38" s="30" t="str">
        <f aca="false">IF($B38="","",IF(AND($K38="Y",OR($D38="later",$J38="Y")),"Y","N"))</f>
        <v/>
      </c>
      <c r="P38" s="30" t="str">
        <f aca="false">IF(OR($B38="",$E38=""),"",$B38&amp;"_"&amp;$C38&amp;"_"&amp;$D38&amp;"_"&amp;TEXT($E38,"yyyy-mm-dd")&amp;".jpg")</f>
        <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
      </c>
      <c r="S38" s="30" t="str">
        <f aca="false">IF($B38="","",$R38&amp;"|"&amp;N($E38))</f>
        <v/>
      </c>
    </row>
    <row r="39" customFormat="false" ht="15" hidden="false" customHeight="false" outlineLevel="0" collapsed="false">
      <c r="D39" s="10"/>
      <c r="E39" s="11"/>
      <c r="F39" s="38"/>
      <c r="G39" s="10"/>
      <c r="I39" s="11"/>
      <c r="J39" s="10"/>
      <c r="K39" s="10"/>
      <c r="M39" s="31" t="str">
        <f aca="false">IF($B39="","",IFERROR(IF(INDEX(campaigns!$BG$2:$BG$51,MATCH($B39,campaigns!$A$2:$A$51,0))="","",INDEX(campaigns!$BG$2:$BG$51,MATCH($B39,campaigns!$A$2:$A$51,0))),""))</f>
        <v/>
      </c>
      <c r="N39" s="30" t="str">
        <f aca="false">IF(OR($B39="",$E39="",$M39=""),"",IF($E39&lt;$M39,0,NETWORKDAYS($M39,$E39,calendar!$A$2:$A$80)))</f>
        <v/>
      </c>
      <c r="O39" s="30" t="str">
        <f aca="false">IF($B39="","",IF(AND($K39="Y",OR($D39="later",$J39="Y")),"Y","N"))</f>
        <v/>
      </c>
      <c r="P39" s="30" t="str">
        <f aca="false">IF(OR($B39="",$E39=""),"",$B39&amp;"_"&amp;$C39&amp;"_"&amp;$D39&amp;"_"&amp;TEXT($E39,"yyyy-mm-dd")&amp;".jpg")</f>
        <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
      </c>
      <c r="S39" s="30" t="str">
        <f aca="false">IF($B39="","",$R39&amp;"|"&amp;N($E39))</f>
        <v/>
      </c>
    </row>
    <row r="40" customFormat="false" ht="15" hidden="false" customHeight="false" outlineLevel="0" collapsed="false">
      <c r="D40" s="10"/>
      <c r="E40" s="11"/>
      <c r="F40" s="38"/>
      <c r="G40" s="10"/>
      <c r="I40" s="11"/>
      <c r="J40" s="10"/>
      <c r="K40" s="10"/>
      <c r="M40" s="31" t="str">
        <f aca="false">IF($B40="","",IFERROR(IF(INDEX(campaigns!$BG$2:$BG$51,MATCH($B40,campaigns!$A$2:$A$51,0))="","",INDEX(campaigns!$BG$2:$BG$51,MATCH($B40,campaigns!$A$2:$A$51,0))),""))</f>
        <v/>
      </c>
      <c r="N40" s="30" t="str">
        <f aca="false">IF(OR($B40="",$E40="",$M40=""),"",IF($E40&lt;$M40,0,NETWORKDAYS($M40,$E40,calendar!$A$2:$A$80)))</f>
        <v/>
      </c>
      <c r="O40" s="30" t="str">
        <f aca="false">IF($B40="","",IF(AND($K40="Y",OR($D40="later",$J40="Y")),"Y","N"))</f>
        <v/>
      </c>
      <c r="P40" s="30" t="str">
        <f aca="false">IF(OR($B40="",$E40=""),"",$B40&amp;"_"&amp;$C40&amp;"_"&amp;$D40&amp;"_"&amp;TEXT($E40,"yyyy-mm-dd")&amp;".jpg")</f>
        <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
      </c>
      <c r="S40" s="30" t="str">
        <f aca="false">IF($B40="","",$R40&amp;"|"&amp;N($E40))</f>
        <v/>
      </c>
    </row>
    <row r="41" customFormat="false" ht="15" hidden="false" customHeight="false" outlineLevel="0" collapsed="false">
      <c r="D41" s="10"/>
      <c r="E41" s="11"/>
      <c r="F41" s="38"/>
      <c r="G41" s="10"/>
      <c r="I41" s="11"/>
      <c r="J41" s="10"/>
      <c r="K41" s="10"/>
      <c r="M41" s="31" t="str">
        <f aca="false">IF($B41="","",IFERROR(IF(INDEX(campaigns!$BG$2:$BG$51,MATCH($B41,campaigns!$A$2:$A$51,0))="","",INDEX(campaigns!$BG$2:$BG$51,MATCH($B41,campaigns!$A$2:$A$51,0))),""))</f>
        <v/>
      </c>
      <c r="N41" s="30" t="str">
        <f aca="false">IF(OR($B41="",$E41="",$M41=""),"",IF($E41&lt;$M41,0,NETWORKDAYS($M41,$E41,calendar!$A$2:$A$80)))</f>
        <v/>
      </c>
      <c r="O41" s="30" t="str">
        <f aca="false">IF($B41="","",IF(AND($K41="Y",OR($D41="later",$J41="Y")),"Y","N"))</f>
        <v/>
      </c>
      <c r="P41" s="30" t="str">
        <f aca="false">IF(OR($B41="",$E41=""),"",$B41&amp;"_"&amp;$C41&amp;"_"&amp;$D41&amp;"_"&amp;TEXT($E41,"yyyy-mm-dd")&amp;".jpg")</f>
        <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
      </c>
      <c r="S41" s="30" t="str">
        <f aca="false">IF($B41="","",$R41&amp;"|"&amp;N($E41))</f>
        <v/>
      </c>
    </row>
    <row r="42" customFormat="false" ht="15" hidden="false" customHeight="false" outlineLevel="0" collapsed="false">
      <c r="D42" s="10"/>
      <c r="E42" s="11"/>
      <c r="F42" s="38"/>
      <c r="G42" s="10"/>
      <c r="I42" s="11"/>
      <c r="J42" s="10"/>
      <c r="K42" s="10"/>
      <c r="M42" s="31" t="str">
        <f aca="false">IF($B42="","",IFERROR(IF(INDEX(campaigns!$BG$2:$BG$51,MATCH($B42,campaigns!$A$2:$A$51,0))="","",INDEX(campaigns!$BG$2:$BG$51,MATCH($B42,campaigns!$A$2:$A$51,0))),""))</f>
        <v/>
      </c>
      <c r="N42" s="30" t="str">
        <f aca="false">IF(OR($B42="",$E42="",$M42=""),"",IF($E42&lt;$M42,0,NETWORKDAYS($M42,$E42,calendar!$A$2:$A$80)))</f>
        <v/>
      </c>
      <c r="O42" s="30" t="str">
        <f aca="false">IF($B42="","",IF(AND($K42="Y",OR($D42="later",$J42="Y")),"Y","N"))</f>
        <v/>
      </c>
      <c r="P42" s="30" t="str">
        <f aca="false">IF(OR($B42="",$E42=""),"",$B42&amp;"_"&amp;$C42&amp;"_"&amp;$D42&amp;"_"&amp;TEXT($E42,"yyyy-mm-dd")&amp;".jpg")</f>
        <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
      </c>
      <c r="S42" s="30" t="str">
        <f aca="false">IF($B42="","",$R42&amp;"|"&amp;N($E42))</f>
        <v/>
      </c>
    </row>
    <row r="43" customFormat="false" ht="15" hidden="false" customHeight="false" outlineLevel="0" collapsed="false">
      <c r="D43" s="10"/>
      <c r="E43" s="11"/>
      <c r="F43" s="38"/>
      <c r="G43" s="10"/>
      <c r="I43" s="11"/>
      <c r="J43" s="10"/>
      <c r="K43" s="10"/>
      <c r="M43" s="31" t="str">
        <f aca="false">IF($B43="","",IFERROR(IF(INDEX(campaigns!$BG$2:$BG$51,MATCH($B43,campaigns!$A$2:$A$51,0))="","",INDEX(campaigns!$BG$2:$BG$51,MATCH($B43,campaigns!$A$2:$A$51,0))),""))</f>
        <v/>
      </c>
      <c r="N43" s="30" t="str">
        <f aca="false">IF(OR($B43="",$E43="",$M43=""),"",IF($E43&lt;$M43,0,NETWORKDAYS($M43,$E43,calendar!$A$2:$A$80)))</f>
        <v/>
      </c>
      <c r="O43" s="30" t="str">
        <f aca="false">IF($B43="","",IF(AND($K43="Y",OR($D43="later",$J43="Y")),"Y","N"))</f>
        <v/>
      </c>
      <c r="P43" s="30" t="str">
        <f aca="false">IF(OR($B43="",$E43=""),"",$B43&amp;"_"&amp;$C43&amp;"_"&amp;$D43&amp;"_"&amp;TEXT($E43,"yyyy-mm-dd")&amp;".jpg")</f>
        <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
      </c>
      <c r="S43" s="30" t="str">
        <f aca="false">IF($B43="","",$R43&amp;"|"&amp;N($E43))</f>
        <v/>
      </c>
    </row>
    <row r="44" customFormat="false" ht="15" hidden="false" customHeight="false" outlineLevel="0" collapsed="false">
      <c r="D44" s="10"/>
      <c r="E44" s="11"/>
      <c r="F44" s="38"/>
      <c r="G44" s="10"/>
      <c r="I44" s="11"/>
      <c r="J44" s="10"/>
      <c r="K44" s="10"/>
      <c r="M44" s="31" t="str">
        <f aca="false">IF($B44="","",IFERROR(IF(INDEX(campaigns!$BG$2:$BG$51,MATCH($B44,campaigns!$A$2:$A$51,0))="","",INDEX(campaigns!$BG$2:$BG$51,MATCH($B44,campaigns!$A$2:$A$51,0))),""))</f>
        <v/>
      </c>
      <c r="N44" s="30" t="str">
        <f aca="false">IF(OR($B44="",$E44="",$M44=""),"",IF($E44&lt;$M44,0,NETWORKDAYS($M44,$E44,calendar!$A$2:$A$80)))</f>
        <v/>
      </c>
      <c r="O44" s="30" t="str">
        <f aca="false">IF($B44="","",IF(AND($K44="Y",OR($D44="later",$J44="Y")),"Y","N"))</f>
        <v/>
      </c>
      <c r="P44" s="30" t="str">
        <f aca="false">IF(OR($B44="",$E44=""),"",$B44&amp;"_"&amp;$C44&amp;"_"&amp;$D44&amp;"_"&amp;TEXT($E44,"yyyy-mm-dd")&amp;".jpg")</f>
        <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
      </c>
      <c r="S44" s="30" t="str">
        <f aca="false">IF($B44="","",$R44&amp;"|"&amp;N($E44))</f>
        <v/>
      </c>
    </row>
    <row r="45" customFormat="false" ht="15" hidden="false" customHeight="false" outlineLevel="0" collapsed="false">
      <c r="D45" s="10"/>
      <c r="E45" s="11"/>
      <c r="F45" s="38"/>
      <c r="G45" s="10"/>
      <c r="I45" s="11"/>
      <c r="J45" s="10"/>
      <c r="K45" s="10"/>
      <c r="M45" s="31" t="str">
        <f aca="false">IF($B45="","",IFERROR(IF(INDEX(campaigns!$BG$2:$BG$51,MATCH($B45,campaigns!$A$2:$A$51,0))="","",INDEX(campaigns!$BG$2:$BG$51,MATCH($B45,campaigns!$A$2:$A$51,0))),""))</f>
        <v/>
      </c>
      <c r="N45" s="30" t="str">
        <f aca="false">IF(OR($B45="",$E45="",$M45=""),"",IF($E45&lt;$M45,0,NETWORKDAYS($M45,$E45,calendar!$A$2:$A$80)))</f>
        <v/>
      </c>
      <c r="O45" s="30" t="str">
        <f aca="false">IF($B45="","",IF(AND($K45="Y",OR($D45="later",$J45="Y")),"Y","N"))</f>
        <v/>
      </c>
      <c r="P45" s="30" t="str">
        <f aca="false">IF(OR($B45="",$E45=""),"",$B45&amp;"_"&amp;$C45&amp;"_"&amp;$D45&amp;"_"&amp;TEXT($E45,"yyyy-mm-dd")&amp;".jpg")</f>
        <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
      </c>
      <c r="S45" s="30" t="str">
        <f aca="false">IF($B45="","",$R45&amp;"|"&amp;N($E45))</f>
        <v/>
      </c>
    </row>
    <row r="46" customFormat="false" ht="15" hidden="false" customHeight="false" outlineLevel="0" collapsed="false">
      <c r="D46" s="10"/>
      <c r="E46" s="11"/>
      <c r="F46" s="38"/>
      <c r="G46" s="10"/>
      <c r="I46" s="11"/>
      <c r="J46" s="10"/>
      <c r="K46" s="10"/>
      <c r="M46" s="31" t="str">
        <f aca="false">IF($B46="","",IFERROR(IF(INDEX(campaigns!$BG$2:$BG$51,MATCH($B46,campaigns!$A$2:$A$51,0))="","",INDEX(campaigns!$BG$2:$BG$51,MATCH($B46,campaigns!$A$2:$A$51,0))),""))</f>
        <v/>
      </c>
      <c r="N46" s="30" t="str">
        <f aca="false">IF(OR($B46="",$E46="",$M46=""),"",IF($E46&lt;$M46,0,NETWORKDAYS($M46,$E46,calendar!$A$2:$A$80)))</f>
        <v/>
      </c>
      <c r="O46" s="30" t="str">
        <f aca="false">IF($B46="","",IF(AND($K46="Y",OR($D46="later",$J46="Y")),"Y","N"))</f>
        <v/>
      </c>
      <c r="P46" s="30" t="str">
        <f aca="false">IF(OR($B46="",$E46=""),"",$B46&amp;"_"&amp;$C46&amp;"_"&amp;$D46&amp;"_"&amp;TEXT($E46,"yyyy-mm-dd")&amp;".jpg")</f>
        <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
      </c>
      <c r="S46" s="30" t="str">
        <f aca="false">IF($B46="","",$R46&amp;"|"&amp;N($E46))</f>
        <v/>
      </c>
    </row>
    <row r="47" customFormat="false" ht="15" hidden="false" customHeight="false" outlineLevel="0" collapsed="false">
      <c r="D47" s="10"/>
      <c r="E47" s="11"/>
      <c r="F47" s="38"/>
      <c r="G47" s="10"/>
      <c r="I47" s="11"/>
      <c r="J47" s="10"/>
      <c r="K47" s="10"/>
      <c r="M47" s="31" t="str">
        <f aca="false">IF($B47="","",IFERROR(IF(INDEX(campaigns!$BG$2:$BG$51,MATCH($B47,campaigns!$A$2:$A$51,0))="","",INDEX(campaigns!$BG$2:$BG$51,MATCH($B47,campaigns!$A$2:$A$51,0))),""))</f>
        <v/>
      </c>
      <c r="N47" s="30" t="str">
        <f aca="false">IF(OR($B47="",$E47="",$M47=""),"",IF($E47&lt;$M47,0,NETWORKDAYS($M47,$E47,calendar!$A$2:$A$80)))</f>
        <v/>
      </c>
      <c r="O47" s="30" t="str">
        <f aca="false">IF($B47="","",IF(AND($K47="Y",OR($D47="later",$J47="Y")),"Y","N"))</f>
        <v/>
      </c>
      <c r="P47" s="30" t="str">
        <f aca="false">IF(OR($B47="",$E47=""),"",$B47&amp;"_"&amp;$C47&amp;"_"&amp;$D47&amp;"_"&amp;TEXT($E47,"yyyy-mm-dd")&amp;".jpg")</f>
        <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
      </c>
      <c r="S47" s="30" t="str">
        <f aca="false">IF($B47="","",$R47&amp;"|"&amp;N($E47))</f>
        <v/>
      </c>
    </row>
    <row r="48" customFormat="false" ht="15" hidden="false" customHeight="false" outlineLevel="0" collapsed="false">
      <c r="D48" s="10"/>
      <c r="E48" s="11"/>
      <c r="F48" s="38"/>
      <c r="G48" s="10"/>
      <c r="I48" s="11"/>
      <c r="J48" s="10"/>
      <c r="K48" s="10"/>
      <c r="M48" s="31" t="str">
        <f aca="false">IF($B48="","",IFERROR(IF(INDEX(campaigns!$BG$2:$BG$51,MATCH($B48,campaigns!$A$2:$A$51,0))="","",INDEX(campaigns!$BG$2:$BG$51,MATCH($B48,campaigns!$A$2:$A$51,0))),""))</f>
        <v/>
      </c>
      <c r="N48" s="30" t="str">
        <f aca="false">IF(OR($B48="",$E48="",$M48=""),"",IF($E48&lt;$M48,0,NETWORKDAYS($M48,$E48,calendar!$A$2:$A$80)))</f>
        <v/>
      </c>
      <c r="O48" s="30" t="str">
        <f aca="false">IF($B48="","",IF(AND($K48="Y",OR($D48="later",$J48="Y")),"Y","N"))</f>
        <v/>
      </c>
      <c r="P48" s="30" t="str">
        <f aca="false">IF(OR($B48="",$E48=""),"",$B48&amp;"_"&amp;$C48&amp;"_"&amp;$D48&amp;"_"&amp;TEXT($E48,"yyyy-mm-dd")&amp;".jpg")</f>
        <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
      </c>
      <c r="S48" s="30" t="str">
        <f aca="false">IF($B48="","",$R48&amp;"|"&amp;N($E48))</f>
        <v/>
      </c>
    </row>
    <row r="49" customFormat="false" ht="15" hidden="false" customHeight="false" outlineLevel="0" collapsed="false">
      <c r="D49" s="10"/>
      <c r="E49" s="11"/>
      <c r="F49" s="38"/>
      <c r="G49" s="10"/>
      <c r="I49" s="11"/>
      <c r="J49" s="10"/>
      <c r="K49" s="10"/>
      <c r="M49" s="31" t="str">
        <f aca="false">IF($B49="","",IFERROR(IF(INDEX(campaigns!$BG$2:$BG$51,MATCH($B49,campaigns!$A$2:$A$51,0))="","",INDEX(campaigns!$BG$2:$BG$51,MATCH($B49,campaigns!$A$2:$A$51,0))),""))</f>
        <v/>
      </c>
      <c r="N49" s="30" t="str">
        <f aca="false">IF(OR($B49="",$E49="",$M49=""),"",IF($E49&lt;$M49,0,NETWORKDAYS($M49,$E49,calendar!$A$2:$A$80)))</f>
        <v/>
      </c>
      <c r="O49" s="30" t="str">
        <f aca="false">IF($B49="","",IF(AND($K49="Y",OR($D49="later",$J49="Y")),"Y","N"))</f>
        <v/>
      </c>
      <c r="P49" s="30" t="str">
        <f aca="false">IF(OR($B49="",$E49=""),"",$B49&amp;"_"&amp;$C49&amp;"_"&amp;$D49&amp;"_"&amp;TEXT($E49,"yyyy-mm-dd")&amp;".jpg")</f>
        <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
      </c>
      <c r="S49" s="30" t="str">
        <f aca="false">IF($B49="","",$R49&amp;"|"&amp;N($E49))</f>
        <v/>
      </c>
    </row>
    <row r="50" customFormat="false" ht="15" hidden="false" customHeight="false" outlineLevel="0" collapsed="false">
      <c r="D50" s="10"/>
      <c r="E50" s="11"/>
      <c r="F50" s="38"/>
      <c r="G50" s="10"/>
      <c r="I50" s="11"/>
      <c r="J50" s="10"/>
      <c r="K50" s="10"/>
      <c r="M50" s="31" t="str">
        <f aca="false">IF($B50="","",IFERROR(IF(INDEX(campaigns!$BG$2:$BG$51,MATCH($B50,campaigns!$A$2:$A$51,0))="","",INDEX(campaigns!$BG$2:$BG$51,MATCH($B50,campaigns!$A$2:$A$51,0))),""))</f>
        <v/>
      </c>
      <c r="N50" s="30" t="str">
        <f aca="false">IF(OR($B50="",$E50="",$M50=""),"",IF($E50&lt;$M50,0,NETWORKDAYS($M50,$E50,calendar!$A$2:$A$80)))</f>
        <v/>
      </c>
      <c r="O50" s="30" t="str">
        <f aca="false">IF($B50="","",IF(AND($K50="Y",OR($D50="later",$J50="Y")),"Y","N"))</f>
        <v/>
      </c>
      <c r="P50" s="30" t="str">
        <f aca="false">IF(OR($B50="",$E50=""),"",$B50&amp;"_"&amp;$C50&amp;"_"&amp;$D50&amp;"_"&amp;TEXT($E50,"yyyy-mm-dd")&amp;".jpg")</f>
        <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
      </c>
      <c r="S50" s="30" t="str">
        <f aca="false">IF($B50="","",$R50&amp;"|"&amp;N($E50))</f>
        <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346</v>
      </c>
      <c r="B1" s="29" t="s">
        <v>561</v>
      </c>
      <c r="C1" s="29" t="s">
        <v>738</v>
      </c>
      <c r="D1" s="29" t="s">
        <v>739</v>
      </c>
      <c r="E1" s="29" t="s">
        <v>740</v>
      </c>
      <c r="F1" s="29" t="s">
        <v>628</v>
      </c>
      <c r="G1" s="29" t="s">
        <v>741</v>
      </c>
      <c r="H1" s="29" t="s">
        <v>742</v>
      </c>
      <c r="I1" s="29" t="s">
        <v>118</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(add the survey prefill template on campaigns)</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(add the survey prefill template on campaigns)</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(add the survey prefill template on campaigns)</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(add the survey prefill template on campaigns)</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(add the survey prefill template on campaigns)</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(add the survey prefill template on campaigns)</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(add the survey prefill template on campaigns)</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(add the survey prefill template on campaigns)</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(add the survey prefill template on campaigns)</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(add the survey prefill template on campaigns)</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(add the survey prefill template on campaigns)</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(add the survey prefill template on campaigns)</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(add the survey prefill template on campaigns)</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(add the survey prefill template on campaigns)</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(add the survey prefill template on campaigns)</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(add the survey prefill template on campaigns)</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(add the survey prefill template on campaigns)</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(add the survey prefill template on campaigns)</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(add the survey prefill template on campaigns)</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(add the survey prefill template on campaigns)</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(add the survey prefill template on campaigns)</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(add the survey prefill template on campaigns)</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(add the survey prefill template on campaigns)</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(add the survey prefill template on campaigns)</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(add the survey prefill template on campaigns)</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(add the survey prefill template on campaigns)</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(add the survey prefill template on campaigns)</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(add the survey prefill template on campaigns)</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(add the survey prefill template on campaigns)</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(add the survey prefill template on campaigns)</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(add the survey prefill template on campaigns)</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(add the survey prefill template on campaigns)</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(add the survey prefill template on campaigns)</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(add the survey prefill template on campaigns)</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(add the survey prefill template on campaigns)</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(add the survey prefill template on campaigns)</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(add the survey prefill template on campaigns)</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(add the survey prefill template on campaigns)</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(add the survey prefill template on campaigns)</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(add the survey prefill template on campaigns)</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(add the survey prefill template on campaigns)</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(add the survey prefill template on campaigns)</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(add the survey prefill template on campaigns)</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(add the survey prefill template on campaigns)</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(add the survey prefill template on campaigns)</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(add the survey prefill template on campaigns)</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(add the survey prefill template on campaigns)</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(add the survey prefill template on campaigns)</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(add the survey prefill template on campaigns)</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(add the survey prefill template on campaigns)</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(add the survey prefill template on campaigns)</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(add the survey prefill template on campaigns)</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(add the survey prefill template on campaigns)</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(add the survey prefill template on campaigns)</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(add the survey prefill template on campaigns)</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(add the survey prefill template on campaigns)</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(add the survey prefill template on campaigns)</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(add the survey prefill template on campaigns)</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(add the survey prefill template on campaigns)</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(add the survey prefill template on campaigns)</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743</v>
      </c>
      <c r="B1" s="28" t="s">
        <v>744</v>
      </c>
      <c r="C1" s="28" t="s">
        <v>739</v>
      </c>
      <c r="D1" s="28" t="s">
        <v>745</v>
      </c>
      <c r="E1" s="28" t="s">
        <v>746</v>
      </c>
      <c r="F1" s="28" t="s">
        <v>175</v>
      </c>
      <c r="G1" s="29" t="s">
        <v>346</v>
      </c>
      <c r="H1" s="29" t="s">
        <v>561</v>
      </c>
      <c r="I1" s="29" t="s">
        <v>738</v>
      </c>
      <c r="J1" s="29" t="s">
        <v>118</v>
      </c>
    </row>
    <row r="2" customFormat="false" ht="15" hidden="false" customHeight="false" outlineLevel="0" collapsed="false">
      <c r="A2" s="11" t="n">
        <v>46398</v>
      </c>
      <c r="B2" s="38" t="n">
        <v>0.729166666666667</v>
      </c>
      <c r="C2" s="10" t="s">
        <v>747</v>
      </c>
      <c r="D2" s="10" t="s">
        <v>748</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747</v>
      </c>
      <c r="D3" s="10" t="s">
        <v>749</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46398</v>
      </c>
      <c r="B4" s="38" t="n">
        <v>0.729166666666667</v>
      </c>
      <c r="C4" s="10" t="s">
        <v>750</v>
      </c>
      <c r="D4" s="10" t="s">
        <v>748</v>
      </c>
      <c r="E4" s="0" t="n">
        <v>1</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post</v>
      </c>
      <c r="J4" s="30" t="str">
        <f aca="false">IF($C4="","",IF($G4="","slug not in links; ","")&amp;IF($D4="","reading type missing; ","")&amp;IF(COUNTIFS(scans!$C$2:$C$1601,$C4,scans!$D$2:$D$1601,$D4)&gt;1,"two readings of this type: keep one; ",""))</f>
        <v/>
      </c>
    </row>
    <row r="5" customFormat="false" ht="15" hidden="false" customHeight="false" outlineLevel="0" collapsed="false">
      <c r="A5" s="11" t="n">
        <v>46401</v>
      </c>
      <c r="B5" s="38" t="n">
        <v>0.729166666666667</v>
      </c>
      <c r="C5" s="10" t="s">
        <v>750</v>
      </c>
      <c r="D5" s="10" t="s">
        <v>749</v>
      </c>
      <c r="E5" s="0" t="n">
        <v>3</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post</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751</v>
      </c>
      <c r="D6" s="10" t="s">
        <v>748</v>
      </c>
      <c r="E6" s="0" t="n">
        <v>1</v>
      </c>
      <c r="G6" s="30" t="str">
        <f aca="false">IF($C6="","",IFERROR(IF(INDEX(links!$A$2:$A$501,MATCH($C6,links!$D$2:$D$501,0))="","",INDEX(links!$A$2:$A$501,MATCH($C6,links!$D$2:$D$501,0))),""))</f>
        <v>SAMPLE-CMP-001</v>
      </c>
      <c r="H6" s="30" t="str">
        <f aca="false">IF($C6="","",IFERROR(IF(INDEX(links!$B$2:$B$501,MATCH($C6,links!$D$2:$D$501,0))="","",INDEX(links!$B$2:$B$501,MATCH($C6,links!$D$2:$D$501,0))),""))</f>
        <v>SAMPLE-O-002</v>
      </c>
      <c r="I6" s="30" t="str">
        <f aca="false">IF($C6="","",IFERROR(IF(INDEX(links!$C$2:$C$501,MATCH($C6,links!$D$2:$D$501,0))="","",INDEX(links!$C$2:$C$501,MATCH($C6,links!$D$2:$D$501,0))),""))</f>
        <v>qr</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751</v>
      </c>
      <c r="D7" s="10" t="s">
        <v>749</v>
      </c>
      <c r="E7" s="0" t="n">
        <v>4</v>
      </c>
      <c r="G7" s="30" t="str">
        <f aca="false">IF($C7="","",IFERROR(IF(INDEX(links!$A$2:$A$501,MATCH($C7,links!$D$2:$D$501,0))="","",INDEX(links!$A$2:$A$501,MATCH($C7,links!$D$2:$D$501,0))),""))</f>
        <v>SAMPLE-CMP-001</v>
      </c>
      <c r="H7" s="30" t="str">
        <f aca="false">IF($C7="","",IFERROR(IF(INDEX(links!$B$2:$B$501,MATCH($C7,links!$D$2:$D$501,0))="","",INDEX(links!$B$2:$B$501,MATCH($C7,links!$D$2:$D$501,0))),""))</f>
        <v>SAMPLE-O-002</v>
      </c>
      <c r="I7" s="30" t="str">
        <f aca="false">IF($C7="","",IFERROR(IF(INDEX(links!$C$2:$C$501,MATCH($C7,links!$D$2:$D$501,0))="","",INDEX(links!$C$2:$C$501,MATCH($C7,links!$D$2:$D$501,0))),""))</f>
        <v>qr</v>
      </c>
      <c r="J7" s="30" t="str">
        <f aca="false">IF($C7="","",IF($G7="","slug not in links; ","")&amp;IF($D7="","reading type missing; ","")&amp;IF(COUNTIFS(scans!$C$2:$C$1601,$C7,scans!$D$2:$D$1601,$D7)&gt;1,"two readings of this type: keep one; ",""))</f>
        <v/>
      </c>
    </row>
    <row r="8" customFormat="false" ht="15" hidden="false" customHeight="false" outlineLevel="0" collapsed="false">
      <c r="A8" s="11" t="n">
        <v>46398</v>
      </c>
      <c r="B8" s="38" t="n">
        <v>0.729166666666667</v>
      </c>
      <c r="C8" s="10" t="s">
        <v>752</v>
      </c>
      <c r="D8" s="10" t="s">
        <v>748</v>
      </c>
      <c r="E8" s="0" t="n">
        <v>1</v>
      </c>
      <c r="G8" s="30" t="str">
        <f aca="false">IF($C8="","",IFERROR(IF(INDEX(links!$A$2:$A$501,MATCH($C8,links!$D$2:$D$501,0))="","",INDEX(links!$A$2:$A$501,MATCH($C8,links!$D$2:$D$501,0))),""))</f>
        <v>SAMPLE-CMP-001</v>
      </c>
      <c r="H8" s="30" t="str">
        <f aca="false">IF($C8="","",IFERROR(IF(INDEX(links!$B$2:$B$501,MATCH($C8,links!$D$2:$D$501,0))="","",INDEX(links!$B$2:$B$501,MATCH($C8,links!$D$2:$D$501,0))),""))</f>
        <v>SAMPLE-O-002</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46401</v>
      </c>
      <c r="B9" s="38" t="n">
        <v>0.729166666666667</v>
      </c>
      <c r="C9" s="10" t="s">
        <v>752</v>
      </c>
      <c r="D9" s="10" t="s">
        <v>749</v>
      </c>
      <c r="E9" s="0" t="n">
        <v>1</v>
      </c>
      <c r="G9" s="30" t="str">
        <f aca="false">IF($C9="","",IFERROR(IF(INDEX(links!$A$2:$A$501,MATCH($C9,links!$D$2:$D$501,0))="","",INDEX(links!$A$2:$A$501,MATCH($C9,links!$D$2:$D$501,0))),""))</f>
        <v>SAMPLE-CMP-001</v>
      </c>
      <c r="H9" s="30" t="str">
        <f aca="false">IF($C9="","",IFERROR(IF(INDEX(links!$B$2:$B$501,MATCH($C9,links!$D$2:$D$501,0))="","",INDEX(links!$B$2:$B$501,MATCH($C9,links!$D$2:$D$501,0))),""))</f>
        <v>SAMPLE-O-002</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753</v>
      </c>
      <c r="D10" s="10" t="s">
        <v>748</v>
      </c>
      <c r="E10" s="0" t="n">
        <v>1</v>
      </c>
      <c r="G10" s="30" t="str">
        <f aca="false">IF($C10="","",IFERROR(IF(INDEX(links!$A$2:$A$501,MATCH($C10,links!$D$2:$D$501,0))="","",INDEX(links!$A$2:$A$501,MATCH($C10,links!$D$2:$D$501,0))),""))</f>
        <v>SAMPLE-CMP-001</v>
      </c>
      <c r="H10" s="30" t="str">
        <f aca="false">IF($C10="","",IFERROR(IF(INDEX(links!$B$2:$B$501,MATCH($C10,links!$D$2:$D$501,0))="","",INDEX(links!$B$2:$B$501,MATCH($C10,links!$D$2:$D$501,0))),""))</f>
        <v>SAMPLE-O-003</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753</v>
      </c>
      <c r="D11" s="10" t="s">
        <v>749</v>
      </c>
      <c r="E11" s="0" t="n">
        <v>6</v>
      </c>
      <c r="G11" s="30" t="str">
        <f aca="false">IF($C11="","",IFERROR(IF(INDEX(links!$A$2:$A$501,MATCH($C11,links!$D$2:$D$501,0))="","",INDEX(links!$A$2:$A$501,MATCH($C11,links!$D$2:$D$501,0))),""))</f>
        <v>SAMPLE-CMP-001</v>
      </c>
      <c r="H11" s="30" t="str">
        <f aca="false">IF($C11="","",IFERROR(IF(INDEX(links!$B$2:$B$501,MATCH($C11,links!$D$2:$D$501,0))="","",INDEX(links!$B$2:$B$501,MATCH($C11,links!$D$2:$D$501,0))),""))</f>
        <v>SAMPLE-O-003</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46398</v>
      </c>
      <c r="B12" s="38" t="n">
        <v>0.729166666666667</v>
      </c>
      <c r="C12" s="10" t="s">
        <v>754</v>
      </c>
      <c r="D12" s="10" t="s">
        <v>748</v>
      </c>
      <c r="E12" s="0" t="n">
        <v>1</v>
      </c>
      <c r="G12" s="30" t="str">
        <f aca="false">IF($C12="","",IFERROR(IF(INDEX(links!$A$2:$A$501,MATCH($C12,links!$D$2:$D$501,0))="","",INDEX(links!$A$2:$A$501,MATCH($C12,links!$D$2:$D$501,0))),""))</f>
        <v>SAMPLE-CMP-001</v>
      </c>
      <c r="H12" s="30" t="str">
        <f aca="false">IF($C12="","",IFERROR(IF(INDEX(links!$B$2:$B$501,MATCH($C12,links!$D$2:$D$501,0))="","",INDEX(links!$B$2:$B$501,MATCH($C12,links!$D$2:$D$501,0))),""))</f>
        <v>SAMPLE-O-003</v>
      </c>
      <c r="I12" s="30" t="str">
        <f aca="false">IF($C12="","",IFERROR(IF(INDEX(links!$C$2:$C$501,MATCH($C12,links!$D$2:$D$501,0))="","",INDEX(links!$C$2:$C$501,MATCH($C12,links!$D$2:$D$501,0))),""))</f>
        <v>post</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46401</v>
      </c>
      <c r="B13" s="38" t="n">
        <v>0.729166666666667</v>
      </c>
      <c r="C13" s="10" t="s">
        <v>754</v>
      </c>
      <c r="D13" s="10" t="s">
        <v>749</v>
      </c>
      <c r="E13" s="0" t="n">
        <v>3</v>
      </c>
      <c r="G13" s="30" t="str">
        <f aca="false">IF($C13="","",IFERROR(IF(INDEX(links!$A$2:$A$501,MATCH($C13,links!$D$2:$D$501,0))="","",INDEX(links!$A$2:$A$501,MATCH($C13,links!$D$2:$D$501,0))),""))</f>
        <v>SAMPLE-CMP-001</v>
      </c>
      <c r="H13" s="30" t="str">
        <f aca="false">IF($C13="","",IFERROR(IF(INDEX(links!$B$2:$B$501,MATCH($C13,links!$D$2:$D$501,0))="","",INDEX(links!$B$2:$B$501,MATCH($C13,links!$D$2:$D$501,0))),""))</f>
        <v>SAMPLE-O-003</v>
      </c>
      <c r="I13" s="30" t="str">
        <f aca="false">IF($C13="","",IFERROR(IF(INDEX(links!$C$2:$C$501,MATCH($C13,links!$D$2:$D$501,0))="","",INDEX(links!$C$2:$C$501,MATCH($C13,links!$D$2:$D$501,0))),""))</f>
        <v>post</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755</v>
      </c>
      <c r="D14" s="10" t="s">
        <v>748</v>
      </c>
      <c r="E14" s="0" t="n">
        <v>1</v>
      </c>
      <c r="G14" s="30" t="str">
        <f aca="false">IF($C14="","",IFERROR(IF(INDEX(links!$A$2:$A$501,MATCH($C14,links!$D$2:$D$501,0))="","",INDEX(links!$A$2:$A$501,MATCH($C14,links!$D$2:$D$501,0))),""))</f>
        <v>SAMPLE-CMP-001</v>
      </c>
      <c r="H14" s="30" t="str">
        <f aca="false">IF($C14="","",IFERROR(IF(INDEX(links!$B$2:$B$501,MATCH($C14,links!$D$2:$D$501,0))="","",INDEX(links!$B$2:$B$501,MATCH($C14,links!$D$2:$D$501,0))),""))</f>
        <v>SAMPLE-O-004</v>
      </c>
      <c r="I14" s="30" t="str">
        <f aca="false">IF($C14="","",IFERROR(IF(INDEX(links!$C$2:$C$501,MATCH($C14,links!$D$2:$D$501,0))="","",INDEX(links!$C$2:$C$501,MATCH($C14,links!$D$2:$D$501,0))),""))</f>
        <v>qr</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755</v>
      </c>
      <c r="D15" s="10" t="s">
        <v>749</v>
      </c>
      <c r="E15" s="0" t="n">
        <v>2</v>
      </c>
      <c r="G15" s="30" t="str">
        <f aca="false">IF($C15="","",IFERROR(IF(INDEX(links!$A$2:$A$501,MATCH($C15,links!$D$2:$D$501,0))="","",INDEX(links!$A$2:$A$501,MATCH($C15,links!$D$2:$D$501,0))),""))</f>
        <v>SAMPLE-CMP-001</v>
      </c>
      <c r="H15" s="30" t="str">
        <f aca="false">IF($C15="","",IFERROR(IF(INDEX(links!$B$2:$B$501,MATCH($C15,links!$D$2:$D$501,0))="","",INDEX(links!$B$2:$B$501,MATCH($C15,links!$D$2:$D$501,0))),""))</f>
        <v>SAMPLE-O-004</v>
      </c>
      <c r="I15" s="30" t="str">
        <f aca="false">IF($C15="","",IFERROR(IF(INDEX(links!$C$2:$C$501,MATCH($C15,links!$D$2:$D$501,0))="","",INDEX(links!$C$2:$C$501,MATCH($C15,links!$D$2:$D$501,0))),""))</f>
        <v>qr</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46398</v>
      </c>
      <c r="B16" s="38" t="n">
        <v>0.729166666666667</v>
      </c>
      <c r="C16" s="10" t="s">
        <v>756</v>
      </c>
      <c r="D16" s="10" t="s">
        <v>748</v>
      </c>
      <c r="E16" s="0" t="n">
        <v>1</v>
      </c>
      <c r="G16" s="30" t="str">
        <f aca="false">IF($C16="","",IFERROR(IF(INDEX(links!$A$2:$A$501,MATCH($C16,links!$D$2:$D$501,0))="","",INDEX(links!$A$2:$A$501,MATCH($C16,links!$D$2:$D$501,0))),""))</f>
        <v>SAMPLE-CMP-001</v>
      </c>
      <c r="H16" s="30" t="str">
        <f aca="false">IF($C16="","",IFERROR(IF(INDEX(links!$B$2:$B$501,MATCH($C16,links!$D$2:$D$501,0))="","",INDEX(links!$B$2:$B$501,MATCH($C16,links!$D$2:$D$501,0))),""))</f>
        <v>SAMPLE-O-004</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46401</v>
      </c>
      <c r="B17" s="38" t="n">
        <v>0.729166666666667</v>
      </c>
      <c r="C17" s="10" t="s">
        <v>756</v>
      </c>
      <c r="D17" s="10" t="s">
        <v>749</v>
      </c>
      <c r="E17" s="0" t="n">
        <v>1</v>
      </c>
      <c r="G17" s="30" t="str">
        <f aca="false">IF($C17="","",IFERROR(IF(INDEX(links!$A$2:$A$501,MATCH($C17,links!$D$2:$D$501,0))="","",INDEX(links!$A$2:$A$501,MATCH($C17,links!$D$2:$D$501,0))),""))</f>
        <v>SAMPLE-CMP-001</v>
      </c>
      <c r="H17" s="30" t="str">
        <f aca="false">IF($C17="","",IFERROR(IF(INDEX(links!$B$2:$B$501,MATCH($C17,links!$D$2:$D$501,0))="","",INDEX(links!$B$2:$B$501,MATCH($C17,links!$D$2:$D$501,0))),""))</f>
        <v>SAMPLE-O-004</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757</v>
      </c>
      <c r="D18" s="10" t="s">
        <v>748</v>
      </c>
      <c r="E18" s="0" t="n">
        <v>1</v>
      </c>
      <c r="G18" s="30" t="str">
        <f aca="false">IF($C18="","",IFERROR(IF(INDEX(links!$A$2:$A$501,MATCH($C18,links!$D$2:$D$501,0))="","",INDEX(links!$A$2:$A$501,MATCH($C18,links!$D$2:$D$501,0))),""))</f>
        <v>SAMPLE-CMP-001</v>
      </c>
      <c r="H18" s="30" t="str">
        <f aca="false">IF($C18="","",IFERROR(IF(INDEX(links!$B$2:$B$501,MATCH($C18,links!$D$2:$D$501,0))="","",INDEX(links!$B$2:$B$501,MATCH($C18,links!$D$2:$D$501,0))),""))</f>
        <v>SAMPLE-O-005</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757</v>
      </c>
      <c r="D19" s="10" t="s">
        <v>749</v>
      </c>
      <c r="E19" s="0" t="n">
        <v>5</v>
      </c>
      <c r="G19" s="30" t="str">
        <f aca="false">IF($C19="","",IFERROR(IF(INDEX(links!$A$2:$A$501,MATCH($C19,links!$D$2:$D$501,0))="","",INDEX(links!$A$2:$A$501,MATCH($C19,links!$D$2:$D$501,0))),""))</f>
        <v>SAMPLE-CMP-001</v>
      </c>
      <c r="H19" s="30" t="str">
        <f aca="false">IF($C19="","",IFERROR(IF(INDEX(links!$B$2:$B$501,MATCH($C19,links!$D$2:$D$501,0))="","",INDEX(links!$B$2:$B$501,MATCH($C19,links!$D$2:$D$501,0))),""))</f>
        <v>SAMPLE-O-005</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46398</v>
      </c>
      <c r="B20" s="38" t="n">
        <v>0.729166666666667</v>
      </c>
      <c r="C20" s="10" t="s">
        <v>758</v>
      </c>
      <c r="D20" s="10" t="s">
        <v>748</v>
      </c>
      <c r="E20" s="0" t="n">
        <v>1</v>
      </c>
      <c r="G20" s="30" t="str">
        <f aca="false">IF($C20="","",IFERROR(IF(INDEX(links!$A$2:$A$501,MATCH($C20,links!$D$2:$D$501,0))="","",INDEX(links!$A$2:$A$501,MATCH($C20,links!$D$2:$D$501,0))),""))</f>
        <v>SAMPLE-CMP-001</v>
      </c>
      <c r="H20" s="30" t="str">
        <f aca="false">IF($C20="","",IFERROR(IF(INDEX(links!$B$2:$B$501,MATCH($C20,links!$D$2:$D$501,0))="","",INDEX(links!$B$2:$B$501,MATCH($C20,links!$D$2:$D$501,0))),""))</f>
        <v>SAMPLE-O-005</v>
      </c>
      <c r="I20" s="30" t="str">
        <f aca="false">IF($C20="","",IFERROR(IF(INDEX(links!$C$2:$C$501,MATCH($C20,links!$D$2:$D$501,0))="","",INDEX(links!$C$2:$C$501,MATCH($C20,links!$D$2:$D$501,0))),""))</f>
        <v>post</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46401</v>
      </c>
      <c r="B21" s="38" t="n">
        <v>0.729166666666667</v>
      </c>
      <c r="C21" s="10" t="s">
        <v>758</v>
      </c>
      <c r="D21" s="10" t="s">
        <v>749</v>
      </c>
      <c r="E21" s="0" t="n">
        <v>4</v>
      </c>
      <c r="G21" s="30" t="str">
        <f aca="false">IF($C21="","",IFERROR(IF(INDEX(links!$A$2:$A$501,MATCH($C21,links!$D$2:$D$501,0))="","",INDEX(links!$A$2:$A$501,MATCH($C21,links!$D$2:$D$501,0))),""))</f>
        <v>SAMPLE-CMP-001</v>
      </c>
      <c r="H21" s="30" t="str">
        <f aca="false">IF($C21="","",IFERROR(IF(INDEX(links!$B$2:$B$501,MATCH($C21,links!$D$2:$D$501,0))="","",INDEX(links!$B$2:$B$501,MATCH($C21,links!$D$2:$D$501,0))),""))</f>
        <v>SAMPLE-O-005</v>
      </c>
      <c r="I21" s="30" t="str">
        <f aca="false">IF($C21="","",IFERROR(IF(INDEX(links!$C$2:$C$501,MATCH($C21,links!$D$2:$D$501,0))="","",INDEX(links!$C$2:$C$501,MATCH($C21,links!$D$2:$D$501,0))),""))</f>
        <v>post</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759</v>
      </c>
      <c r="D22" s="10" t="s">
        <v>748</v>
      </c>
      <c r="E22" s="0" t="n">
        <v>1</v>
      </c>
      <c r="G22" s="30" t="str">
        <f aca="false">IF($C22="","",IFERROR(IF(INDEX(links!$A$2:$A$501,MATCH($C22,links!$D$2:$D$501,0))="","",INDEX(links!$A$2:$A$501,MATCH($C22,links!$D$2:$D$501,0))),""))</f>
        <v>SAMPLE-CMP-002</v>
      </c>
      <c r="H22" s="30" t="str">
        <f aca="false">IF($C22="","",IFERROR(IF(INDEX(links!$B$2:$B$501,MATCH($C22,links!$D$2:$D$501,0))="","",INDEX(links!$B$2:$B$501,MATCH($C22,links!$D$2:$D$501,0))),""))</f>
        <v>SAMPLE-O-001</v>
      </c>
      <c r="I22" s="30" t="str">
        <f aca="false">IF($C22="","",IFERROR(IF(INDEX(links!$C$2:$C$501,MATCH($C22,links!$D$2:$D$501,0))="","",INDEX(links!$C$2:$C$501,MATCH($C22,links!$D$2:$D$501,0))),""))</f>
        <v>qr</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759</v>
      </c>
      <c r="D23" s="10" t="s">
        <v>749</v>
      </c>
      <c r="E23" s="0" t="n">
        <v>5</v>
      </c>
      <c r="G23" s="30" t="str">
        <f aca="false">IF($C23="","",IFERROR(IF(INDEX(links!$A$2:$A$501,MATCH($C23,links!$D$2:$D$501,0))="","",INDEX(links!$A$2:$A$501,MATCH($C23,links!$D$2:$D$501,0))),""))</f>
        <v>SAMPLE-CMP-002</v>
      </c>
      <c r="H23" s="30" t="str">
        <f aca="false">IF($C23="","",IFERROR(IF(INDEX(links!$B$2:$B$501,MATCH($C23,links!$D$2:$D$501,0))="","",INDEX(links!$B$2:$B$501,MATCH($C23,links!$D$2:$D$501,0))),""))</f>
        <v>SAMPLE-O-001</v>
      </c>
      <c r="I23" s="30" t="str">
        <f aca="false">IF($C23="","",IFERROR(IF(INDEX(links!$C$2:$C$501,MATCH($C23,links!$D$2:$D$501,0))="","",INDEX(links!$C$2:$C$501,MATCH($C23,links!$D$2:$D$501,0))),""))</f>
        <v>qr</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46398</v>
      </c>
      <c r="B24" s="38" t="n">
        <v>0.729166666666667</v>
      </c>
      <c r="C24" s="10" t="s">
        <v>760</v>
      </c>
      <c r="D24" s="10" t="s">
        <v>748</v>
      </c>
      <c r="E24" s="0" t="n">
        <v>1</v>
      </c>
      <c r="G24" s="30" t="str">
        <f aca="false">IF($C24="","",IFERROR(IF(INDEX(links!$A$2:$A$501,MATCH($C24,links!$D$2:$D$501,0))="","",INDEX(links!$A$2:$A$501,MATCH($C24,links!$D$2:$D$501,0))),""))</f>
        <v>SAMPLE-CMP-002</v>
      </c>
      <c r="H24" s="30" t="str">
        <f aca="false">IF($C24="","",IFERROR(IF(INDEX(links!$B$2:$B$501,MATCH($C24,links!$D$2:$D$501,0))="","",INDEX(links!$B$2:$B$501,MATCH($C24,links!$D$2:$D$501,0))),""))</f>
        <v>SAMPLE-O-001</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46401</v>
      </c>
      <c r="B25" s="38" t="n">
        <v>0.729166666666667</v>
      </c>
      <c r="C25" s="10" t="s">
        <v>760</v>
      </c>
      <c r="D25" s="10" t="s">
        <v>749</v>
      </c>
      <c r="E25" s="0" t="n">
        <v>2</v>
      </c>
      <c r="G25" s="30" t="str">
        <f aca="false">IF($C25="","",IFERROR(IF(INDEX(links!$A$2:$A$501,MATCH($C25,links!$D$2:$D$501,0))="","",INDEX(links!$A$2:$A$501,MATCH($C25,links!$D$2:$D$501,0))),""))</f>
        <v>SAMPLE-CMP-002</v>
      </c>
      <c r="H25" s="30" t="str">
        <f aca="false">IF($C25="","",IFERROR(IF(INDEX(links!$B$2:$B$501,MATCH($C25,links!$D$2:$D$501,0))="","",INDEX(links!$B$2:$B$501,MATCH($C25,links!$D$2:$D$501,0))),""))</f>
        <v>SAMPLE-O-001</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761</v>
      </c>
      <c r="D26" s="10" t="s">
        <v>748</v>
      </c>
      <c r="E26" s="0" t="n">
        <v>1</v>
      </c>
      <c r="G26" s="30" t="str">
        <f aca="false">IF($C26="","",IFERROR(IF(INDEX(links!$A$2:$A$501,MATCH($C26,links!$D$2:$D$501,0))="","",INDEX(links!$A$2:$A$501,MATCH($C26,links!$D$2:$D$501,0))),""))</f>
        <v>SAMPLE-CMP-002</v>
      </c>
      <c r="H26" s="30" t="str">
        <f aca="false">IF($C26="","",IFERROR(IF(INDEX(links!$B$2:$B$501,MATCH($C26,links!$D$2:$D$501,0))="","",INDEX(links!$B$2:$B$501,MATCH($C26,links!$D$2:$D$501,0))),""))</f>
        <v>SAMPLE-O-002</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761</v>
      </c>
      <c r="D27" s="10" t="s">
        <v>749</v>
      </c>
      <c r="E27" s="0" t="n">
        <v>3</v>
      </c>
      <c r="G27" s="30" t="str">
        <f aca="false">IF($C27="","",IFERROR(IF(INDEX(links!$A$2:$A$501,MATCH($C27,links!$D$2:$D$501,0))="","",INDEX(links!$A$2:$A$501,MATCH($C27,links!$D$2:$D$501,0))),""))</f>
        <v>SAMPLE-CMP-002</v>
      </c>
      <c r="H27" s="30" t="str">
        <f aca="false">IF($C27="","",IFERROR(IF(INDEX(links!$B$2:$B$501,MATCH($C27,links!$D$2:$D$501,0))="","",INDEX(links!$B$2:$B$501,MATCH($C27,links!$D$2:$D$501,0))),""))</f>
        <v>SAMPLE-O-002</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46398</v>
      </c>
      <c r="B28" s="38" t="n">
        <v>0.729166666666667</v>
      </c>
      <c r="C28" s="10" t="s">
        <v>762</v>
      </c>
      <c r="D28" s="10" t="s">
        <v>748</v>
      </c>
      <c r="E28" s="0" t="n">
        <v>1</v>
      </c>
      <c r="G28" s="30" t="str">
        <f aca="false">IF($C28="","",IFERROR(IF(INDEX(links!$A$2:$A$501,MATCH($C28,links!$D$2:$D$501,0))="","",INDEX(links!$A$2:$A$501,MATCH($C28,links!$D$2:$D$501,0))),""))</f>
        <v>SAMPLE-CMP-002</v>
      </c>
      <c r="H28" s="30" t="str">
        <f aca="false">IF($C28="","",IFERROR(IF(INDEX(links!$B$2:$B$501,MATCH($C28,links!$D$2:$D$501,0))="","",INDEX(links!$B$2:$B$501,MATCH($C28,links!$D$2:$D$501,0))),""))</f>
        <v>SAMPLE-O-002</v>
      </c>
      <c r="I28" s="30" t="str">
        <f aca="false">IF($C28="","",IFERROR(IF(INDEX(links!$C$2:$C$501,MATCH($C28,links!$D$2:$D$501,0))="","",INDEX(links!$C$2:$C$501,MATCH($C28,links!$D$2:$D$501,0))),""))</f>
        <v>post</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46401</v>
      </c>
      <c r="B29" s="38" t="n">
        <v>0.729166666666667</v>
      </c>
      <c r="C29" s="10" t="s">
        <v>762</v>
      </c>
      <c r="D29" s="10" t="s">
        <v>749</v>
      </c>
      <c r="E29" s="0" t="n">
        <v>1</v>
      </c>
      <c r="G29" s="30" t="str">
        <f aca="false">IF($C29="","",IFERROR(IF(INDEX(links!$A$2:$A$501,MATCH($C29,links!$D$2:$D$501,0))="","",INDEX(links!$A$2:$A$501,MATCH($C29,links!$D$2:$D$501,0))),""))</f>
        <v>SAMPLE-CMP-002</v>
      </c>
      <c r="H29" s="30" t="str">
        <f aca="false">IF($C29="","",IFERROR(IF(INDEX(links!$B$2:$B$501,MATCH($C29,links!$D$2:$D$501,0))="","",INDEX(links!$B$2:$B$501,MATCH($C29,links!$D$2:$D$501,0))),""))</f>
        <v>SAMPLE-O-002</v>
      </c>
      <c r="I29" s="30" t="str">
        <f aca="false">IF($C29="","",IFERROR(IF(INDEX(links!$C$2:$C$501,MATCH($C29,links!$D$2:$D$501,0))="","",INDEX(links!$C$2:$C$501,MATCH($C29,links!$D$2:$D$501,0))),""))</f>
        <v>post</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763</v>
      </c>
      <c r="D30" s="10" t="s">
        <v>748</v>
      </c>
      <c r="E30" s="0" t="n">
        <v>1</v>
      </c>
      <c r="G30" s="30" t="str">
        <f aca="false">IF($C30="","",IFERROR(IF(INDEX(links!$A$2:$A$501,MATCH($C30,links!$D$2:$D$501,0))="","",INDEX(links!$A$2:$A$501,MATCH($C30,links!$D$2:$D$501,0))),""))</f>
        <v>SAMPLE-CMP-002</v>
      </c>
      <c r="H30" s="30" t="str">
        <f aca="false">IF($C30="","",IFERROR(IF(INDEX(links!$B$2:$B$501,MATCH($C30,links!$D$2:$D$501,0))="","",INDEX(links!$B$2:$B$501,MATCH($C30,links!$D$2:$D$501,0))),""))</f>
        <v>SAMPLE-O-003</v>
      </c>
      <c r="I30" s="30" t="str">
        <f aca="false">IF($C30="","",IFERROR(IF(INDEX(links!$C$2:$C$501,MATCH($C30,links!$D$2:$D$501,0))="","",INDEX(links!$C$2:$C$501,MATCH($C30,links!$D$2:$D$501,0))),""))</f>
        <v>qr</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763</v>
      </c>
      <c r="D31" s="10" t="s">
        <v>749</v>
      </c>
      <c r="E31" s="0" t="n">
        <v>6</v>
      </c>
      <c r="G31" s="30" t="str">
        <f aca="false">IF($C31="","",IFERROR(IF(INDEX(links!$A$2:$A$501,MATCH($C31,links!$D$2:$D$501,0))="","",INDEX(links!$A$2:$A$501,MATCH($C31,links!$D$2:$D$501,0))),""))</f>
        <v>SAMPLE-CMP-002</v>
      </c>
      <c r="H31" s="30" t="str">
        <f aca="false">IF($C31="","",IFERROR(IF(INDEX(links!$B$2:$B$501,MATCH($C31,links!$D$2:$D$501,0))="","",INDEX(links!$B$2:$B$501,MATCH($C31,links!$D$2:$D$501,0))),""))</f>
        <v>SAMPLE-O-003</v>
      </c>
      <c r="I31" s="30" t="str">
        <f aca="false">IF($C31="","",IFERROR(IF(INDEX(links!$C$2:$C$501,MATCH($C31,links!$D$2:$D$501,0))="","",INDEX(links!$C$2:$C$501,MATCH($C31,links!$D$2:$D$501,0))),""))</f>
        <v>qr</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46398</v>
      </c>
      <c r="B32" s="38" t="n">
        <v>0.729166666666667</v>
      </c>
      <c r="C32" s="10" t="s">
        <v>764</v>
      </c>
      <c r="D32" s="10" t="s">
        <v>748</v>
      </c>
      <c r="E32" s="0" t="n">
        <v>1</v>
      </c>
      <c r="G32" s="30" t="str">
        <f aca="false">IF($C32="","",IFERROR(IF(INDEX(links!$A$2:$A$501,MATCH($C32,links!$D$2:$D$501,0))="","",INDEX(links!$A$2:$A$501,MATCH($C32,links!$D$2:$D$501,0))),""))</f>
        <v>SAMPLE-CMP-002</v>
      </c>
      <c r="H32" s="30" t="str">
        <f aca="false">IF($C32="","",IFERROR(IF(INDEX(links!$B$2:$B$501,MATCH($C32,links!$D$2:$D$501,0))="","",INDEX(links!$B$2:$B$501,MATCH($C32,links!$D$2:$D$501,0))),""))</f>
        <v>SAMPLE-O-003</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46401</v>
      </c>
      <c r="B33" s="38" t="n">
        <v>0.729166666666667</v>
      </c>
      <c r="C33" s="10" t="s">
        <v>764</v>
      </c>
      <c r="D33" s="10" t="s">
        <v>749</v>
      </c>
      <c r="E33" s="0" t="n">
        <v>3</v>
      </c>
      <c r="G33" s="30" t="str">
        <f aca="false">IF($C33="","",IFERROR(IF(INDEX(links!$A$2:$A$501,MATCH($C33,links!$D$2:$D$501,0))="","",INDEX(links!$A$2:$A$501,MATCH($C33,links!$D$2:$D$501,0))),""))</f>
        <v>SAMPLE-CMP-002</v>
      </c>
      <c r="H33" s="30" t="str">
        <f aca="false">IF($C33="","",IFERROR(IF(INDEX(links!$B$2:$B$501,MATCH($C33,links!$D$2:$D$501,0))="","",INDEX(links!$B$2:$B$501,MATCH($C33,links!$D$2:$D$501,0))),""))</f>
        <v>SAMPLE-O-003</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765</v>
      </c>
      <c r="D34" s="10" t="s">
        <v>748</v>
      </c>
      <c r="E34" s="0" t="n">
        <v>1</v>
      </c>
      <c r="G34" s="30" t="str">
        <f aca="false">IF($C34="","",IFERROR(IF(INDEX(links!$A$2:$A$501,MATCH($C34,links!$D$2:$D$501,0))="","",INDEX(links!$A$2:$A$501,MATCH($C34,links!$D$2:$D$501,0))),""))</f>
        <v>SAMPLE-CMP-002</v>
      </c>
      <c r="H34" s="30" t="str">
        <f aca="false">IF($C34="","",IFERROR(IF(INDEX(links!$B$2:$B$501,MATCH($C34,links!$D$2:$D$501,0))="","",INDEX(links!$B$2:$B$501,MATCH($C34,links!$D$2:$D$501,0))),""))</f>
        <v>SAMPLE-O-004</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765</v>
      </c>
      <c r="D35" s="10" t="s">
        <v>749</v>
      </c>
      <c r="E35" s="0" t="n">
        <v>3</v>
      </c>
      <c r="G35" s="30" t="str">
        <f aca="false">IF($C35="","",IFERROR(IF(INDEX(links!$A$2:$A$501,MATCH($C35,links!$D$2:$D$501,0))="","",INDEX(links!$A$2:$A$501,MATCH($C35,links!$D$2:$D$501,0))),""))</f>
        <v>SAMPLE-CMP-002</v>
      </c>
      <c r="H35" s="30" t="str">
        <f aca="false">IF($C35="","",IFERROR(IF(INDEX(links!$B$2:$B$501,MATCH($C35,links!$D$2:$D$501,0))="","",INDEX(links!$B$2:$B$501,MATCH($C35,links!$D$2:$D$501,0))),""))</f>
        <v>SAMPLE-O-004</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46398</v>
      </c>
      <c r="B36" s="38" t="n">
        <v>0.729166666666667</v>
      </c>
      <c r="C36" s="10" t="s">
        <v>766</v>
      </c>
      <c r="D36" s="10" t="s">
        <v>748</v>
      </c>
      <c r="E36" s="0" t="n">
        <v>1</v>
      </c>
      <c r="G36" s="30" t="str">
        <f aca="false">IF($C36="","",IFERROR(IF(INDEX(links!$A$2:$A$501,MATCH($C36,links!$D$2:$D$501,0))="","",INDEX(links!$A$2:$A$501,MATCH($C36,links!$D$2:$D$501,0))),""))</f>
        <v>SAMPLE-CMP-002</v>
      </c>
      <c r="H36" s="30" t="str">
        <f aca="false">IF($C36="","",IFERROR(IF(INDEX(links!$B$2:$B$501,MATCH($C36,links!$D$2:$D$501,0))="","",INDEX(links!$B$2:$B$501,MATCH($C36,links!$D$2:$D$501,0))),""))</f>
        <v>SAMPLE-O-004</v>
      </c>
      <c r="I36" s="30" t="str">
        <f aca="false">IF($C36="","",IFERROR(IF(INDEX(links!$C$2:$C$501,MATCH($C36,links!$D$2:$D$501,0))="","",INDEX(links!$C$2:$C$501,MATCH($C36,links!$D$2:$D$501,0))),""))</f>
        <v>post</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46401</v>
      </c>
      <c r="B37" s="38" t="n">
        <v>0.729166666666667</v>
      </c>
      <c r="C37" s="10" t="s">
        <v>766</v>
      </c>
      <c r="D37" s="10" t="s">
        <v>749</v>
      </c>
      <c r="E37" s="0" t="n">
        <v>1</v>
      </c>
      <c r="G37" s="30" t="str">
        <f aca="false">IF($C37="","",IFERROR(IF(INDEX(links!$A$2:$A$501,MATCH($C37,links!$D$2:$D$501,0))="","",INDEX(links!$A$2:$A$501,MATCH($C37,links!$D$2:$D$501,0))),""))</f>
        <v>SAMPLE-CMP-002</v>
      </c>
      <c r="H37" s="30" t="str">
        <f aca="false">IF($C37="","",IFERROR(IF(INDEX(links!$B$2:$B$501,MATCH($C37,links!$D$2:$D$501,0))="","",INDEX(links!$B$2:$B$501,MATCH($C37,links!$D$2:$D$501,0))),""))</f>
        <v>SAMPLE-O-004</v>
      </c>
      <c r="I37" s="30" t="str">
        <f aca="false">IF($C37="","",IFERROR(IF(INDEX(links!$C$2:$C$501,MATCH($C37,links!$D$2:$D$501,0))="","",INDEX(links!$C$2:$C$501,MATCH($C37,links!$D$2:$D$501,0))),""))</f>
        <v>post</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767</v>
      </c>
      <c r="D38" s="10" t="s">
        <v>748</v>
      </c>
      <c r="E38" s="0" t="n">
        <v>1</v>
      </c>
      <c r="G38" s="30" t="str">
        <f aca="false">IF($C38="","",IFERROR(IF(INDEX(links!$A$2:$A$501,MATCH($C38,links!$D$2:$D$501,0))="","",INDEX(links!$A$2:$A$501,MATCH($C38,links!$D$2:$D$501,0))),""))</f>
        <v>SAMPLE-CMP-002</v>
      </c>
      <c r="H38" s="30" t="str">
        <f aca="false">IF($C38="","",IFERROR(IF(INDEX(links!$B$2:$B$501,MATCH($C38,links!$D$2:$D$501,0))="","",INDEX(links!$B$2:$B$501,MATCH($C38,links!$D$2:$D$501,0))),""))</f>
        <v>SAMPLE-O-005</v>
      </c>
      <c r="I38" s="30" t="str">
        <f aca="false">IF($C38="","",IFERROR(IF(INDEX(links!$C$2:$C$501,MATCH($C38,links!$D$2:$D$501,0))="","",INDEX(links!$C$2:$C$501,MATCH($C38,links!$D$2:$D$501,0))),""))</f>
        <v>qr</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767</v>
      </c>
      <c r="D39" s="10" t="s">
        <v>749</v>
      </c>
      <c r="E39" s="0" t="n">
        <v>4</v>
      </c>
      <c r="G39" s="30" t="str">
        <f aca="false">IF($C39="","",IFERROR(IF(INDEX(links!$A$2:$A$501,MATCH($C39,links!$D$2:$D$501,0))="","",INDEX(links!$A$2:$A$501,MATCH($C39,links!$D$2:$D$501,0))),""))</f>
        <v>SAMPLE-CMP-002</v>
      </c>
      <c r="H39" s="30" t="str">
        <f aca="false">IF($C39="","",IFERROR(IF(INDEX(links!$B$2:$B$501,MATCH($C39,links!$D$2:$D$501,0))="","",INDEX(links!$B$2:$B$501,MATCH($C39,links!$D$2:$D$501,0))),""))</f>
        <v>SAMPLE-O-005</v>
      </c>
      <c r="I39" s="30" t="str">
        <f aca="false">IF($C39="","",IFERROR(IF(INDEX(links!$C$2:$C$501,MATCH($C39,links!$D$2:$D$501,0))="","",INDEX(links!$C$2:$C$501,MATCH($C39,links!$D$2:$D$501,0))),""))</f>
        <v>qr</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46398</v>
      </c>
      <c r="B40" s="38" t="n">
        <v>0.729166666666667</v>
      </c>
      <c r="C40" s="10" t="s">
        <v>768</v>
      </c>
      <c r="D40" s="10" t="s">
        <v>748</v>
      </c>
      <c r="E40" s="0" t="n">
        <v>1</v>
      </c>
      <c r="G40" s="30" t="str">
        <f aca="false">IF($C40="","",IFERROR(IF(INDEX(links!$A$2:$A$501,MATCH($C40,links!$D$2:$D$501,0))="","",INDEX(links!$A$2:$A$501,MATCH($C40,links!$D$2:$D$501,0))),""))</f>
        <v>SAMPLE-CMP-002</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46401</v>
      </c>
      <c r="B41" s="38" t="n">
        <v>0.729166666666667</v>
      </c>
      <c r="C41" s="10" t="s">
        <v>768</v>
      </c>
      <c r="D41" s="10" t="s">
        <v>749</v>
      </c>
      <c r="E41" s="0" t="n">
        <v>2</v>
      </c>
      <c r="G41" s="30" t="str">
        <f aca="false">IF($C41="","",IFERROR(IF(INDEX(links!$A$2:$A$501,MATCH($C41,links!$D$2:$D$501,0))="","",INDEX(links!$A$2:$A$501,MATCH($C41,links!$D$2:$D$501,0))),""))</f>
        <v>SAMPLE-CMP-002</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c r="B42" s="38"/>
      <c r="D42" s="10"/>
      <c r="G42" s="30" t="str">
        <f aca="false">IF($C42="","",IFERROR(IF(INDEX(links!$A$2:$A$501,MATCH($C42,links!$D$2:$D$501,0))="","",INDEX(links!$A$2:$A$501,MATCH($C42,links!$D$2:$D$501,0))),""))</f>
        <v/>
      </c>
      <c r="H42" s="30" t="str">
        <f aca="false">IF($C42="","",IFERROR(IF(INDEX(links!$B$2:$B$501,MATCH($C42,links!$D$2:$D$501,0))="","",INDEX(links!$B$2:$B$501,MATCH($C42,links!$D$2:$D$501,0))),""))</f>
        <v/>
      </c>
      <c r="I42" s="30" t="str">
        <f aca="false">IF($C42="","",IFERROR(IF(INDEX(links!$C$2:$C$501,MATCH($C42,links!$D$2:$D$501,0))="","",INDEX(links!$C$2:$C$501,MATCH($C42,links!$D$2:$D$501,0))),""))</f>
        <v/>
      </c>
      <c r="J42" s="30" t="str">
        <f aca="false">IF($C42="","",IF($G42="","slug not in links; ","")&amp;IF($D42="","reading type missing; ","")&amp;IF(COUNTIFS(scans!$C$2:$C$1601,$C42,scans!$D$2:$D$1601,$D42)&gt;1,"two readings of this type: keep one; ",""))</f>
        <v/>
      </c>
    </row>
    <row r="43" customFormat="false" ht="15" hidden="false" customHeight="false" outlineLevel="0" collapsed="false">
      <c r="A43" s="11"/>
      <c r="B43" s="38"/>
      <c r="D43" s="10"/>
      <c r="G43" s="30" t="str">
        <f aca="false">IF($C43="","",IFERROR(IF(INDEX(links!$A$2:$A$501,MATCH($C43,links!$D$2:$D$501,0))="","",INDEX(links!$A$2:$A$501,MATCH($C43,links!$D$2:$D$501,0))),""))</f>
        <v/>
      </c>
      <c r="H43" s="30" t="str">
        <f aca="false">IF($C43="","",IFERROR(IF(INDEX(links!$B$2:$B$501,MATCH($C43,links!$D$2:$D$501,0))="","",INDEX(links!$B$2:$B$501,MATCH($C43,links!$D$2:$D$501,0))),""))</f>
        <v/>
      </c>
      <c r="I43" s="30" t="str">
        <f aca="false">IF($C43="","",IFERROR(IF(INDEX(links!$C$2:$C$501,MATCH($C43,links!$D$2:$D$501,0))="","",INDEX(links!$C$2:$C$501,MATCH($C43,links!$D$2:$D$501,0))),""))</f>
        <v/>
      </c>
      <c r="J43" s="30" t="str">
        <f aca="false">IF($C43="","",IF($G43="","slug not in links; ","")&amp;IF($D43="","reading type missing; ","")&amp;IF(COUNTIFS(scans!$C$2:$C$1601,$C43,scans!$D$2:$D$1601,$D43)&gt;1,"two readings of this type: keep one; ",""))</f>
        <v/>
      </c>
    </row>
    <row r="44" customFormat="false" ht="15" hidden="false" customHeight="false" outlineLevel="0" collapsed="false">
      <c r="A44" s="11"/>
      <c r="B44" s="38"/>
      <c r="D44" s="10"/>
      <c r="G44" s="30" t="str">
        <f aca="false">IF($C44="","",IFERROR(IF(INDEX(links!$A$2:$A$501,MATCH($C44,links!$D$2:$D$501,0))="","",INDEX(links!$A$2:$A$501,MATCH($C44,links!$D$2:$D$501,0))),""))</f>
        <v/>
      </c>
      <c r="H44" s="30" t="str">
        <f aca="false">IF($C44="","",IFERROR(IF(INDEX(links!$B$2:$B$501,MATCH($C44,links!$D$2:$D$501,0))="","",INDEX(links!$B$2:$B$501,MATCH($C44,links!$D$2:$D$501,0))),""))</f>
        <v/>
      </c>
      <c r="I44" s="30" t="str">
        <f aca="false">IF($C44="","",IFERROR(IF(INDEX(links!$C$2:$C$501,MATCH($C44,links!$D$2:$D$501,0))="","",INDEX(links!$C$2:$C$501,MATCH($C44,links!$D$2:$D$501,0))),""))</f>
        <v/>
      </c>
      <c r="J44" s="30" t="str">
        <f aca="false">IF($C44="","",IF($G44="","slug not in links; ","")&amp;IF($D44="","reading type missing; ","")&amp;IF(COUNTIFS(scans!$C$2:$C$1601,$C44,scans!$D$2:$D$1601,$D44)&gt;1,"two readings of this type: keep one; ",""))</f>
        <v/>
      </c>
    </row>
    <row r="45" customFormat="false" ht="15" hidden="false" customHeight="false" outlineLevel="0" collapsed="false">
      <c r="A45" s="11"/>
      <c r="B45" s="38"/>
      <c r="D45" s="10"/>
      <c r="G45" s="30" t="str">
        <f aca="false">IF($C45="","",IFERROR(IF(INDEX(links!$A$2:$A$501,MATCH($C45,links!$D$2:$D$501,0))="","",INDEX(links!$A$2:$A$501,MATCH($C45,links!$D$2:$D$501,0))),""))</f>
        <v/>
      </c>
      <c r="H45" s="30" t="str">
        <f aca="false">IF($C45="","",IFERROR(IF(INDEX(links!$B$2:$B$501,MATCH($C45,links!$D$2:$D$501,0))="","",INDEX(links!$B$2:$B$501,MATCH($C45,links!$D$2:$D$501,0))),""))</f>
        <v/>
      </c>
      <c r="I45" s="30" t="str">
        <f aca="false">IF($C45="","",IFERROR(IF(INDEX(links!$C$2:$C$501,MATCH($C45,links!$D$2:$D$501,0))="","",INDEX(links!$C$2:$C$501,MATCH($C45,links!$D$2:$D$501,0))),""))</f>
        <v/>
      </c>
      <c r="J45" s="30" t="str">
        <f aca="false">IF($C45="","",IF($G45="","slug not in links; ","")&amp;IF($D45="","reading type missing; ","")&amp;IF(COUNTIFS(scans!$C$2:$C$1601,$C45,scans!$D$2:$D$1601,$D45)&gt;1,"two readings of this type: keep one; ",""))</f>
        <v/>
      </c>
    </row>
    <row r="46" customFormat="false" ht="15" hidden="false" customHeight="false" outlineLevel="0" collapsed="false">
      <c r="A46" s="11"/>
      <c r="B46" s="38"/>
      <c r="D46" s="10"/>
      <c r="G46" s="30" t="str">
        <f aca="false">IF($C46="","",IFERROR(IF(INDEX(links!$A$2:$A$501,MATCH($C46,links!$D$2:$D$501,0))="","",INDEX(links!$A$2:$A$501,MATCH($C46,links!$D$2:$D$501,0))),""))</f>
        <v/>
      </c>
      <c r="H46" s="30" t="str">
        <f aca="false">IF($C46="","",IFERROR(IF(INDEX(links!$B$2:$B$501,MATCH($C46,links!$D$2:$D$501,0))="","",INDEX(links!$B$2:$B$501,MATCH($C46,links!$D$2:$D$501,0))),""))</f>
        <v/>
      </c>
      <c r="I46" s="30" t="str">
        <f aca="false">IF($C46="","",IFERROR(IF(INDEX(links!$C$2:$C$501,MATCH($C46,links!$D$2:$D$501,0))="","",INDEX(links!$C$2:$C$501,MATCH($C46,links!$D$2:$D$501,0))),""))</f>
        <v/>
      </c>
      <c r="J46" s="30" t="str">
        <f aca="false">IF($C46="","",IF($G46="","slug not in links; ","")&amp;IF($D46="","reading type missing; ","")&amp;IF(COUNTIFS(scans!$C$2:$C$1601,$C46,scans!$D$2:$D$1601,$D46)&gt;1,"two readings of this type: keep one; ",""))</f>
        <v/>
      </c>
    </row>
    <row r="47" customFormat="false" ht="15" hidden="false" customHeight="false" outlineLevel="0" collapsed="false">
      <c r="A47" s="11"/>
      <c r="B47" s="38"/>
      <c r="D47" s="10"/>
      <c r="G47" s="30" t="str">
        <f aca="false">IF($C47="","",IFERROR(IF(INDEX(links!$A$2:$A$501,MATCH($C47,links!$D$2:$D$501,0))="","",INDEX(links!$A$2:$A$501,MATCH($C47,links!$D$2:$D$501,0))),""))</f>
        <v/>
      </c>
      <c r="H47" s="30" t="str">
        <f aca="false">IF($C47="","",IFERROR(IF(INDEX(links!$B$2:$B$501,MATCH($C47,links!$D$2:$D$501,0))="","",INDEX(links!$B$2:$B$501,MATCH($C47,links!$D$2:$D$501,0))),""))</f>
        <v/>
      </c>
      <c r="I47" s="30" t="str">
        <f aca="false">IF($C47="","",IFERROR(IF(INDEX(links!$C$2:$C$501,MATCH($C47,links!$D$2:$D$501,0))="","",INDEX(links!$C$2:$C$501,MATCH($C47,links!$D$2:$D$501,0))),""))</f>
        <v/>
      </c>
      <c r="J47" s="30" t="str">
        <f aca="false">IF($C47="","",IF($G47="","slug not in links; ","")&amp;IF($D47="","reading type missing; ","")&amp;IF(COUNTIFS(scans!$C$2:$C$1601,$C47,scans!$D$2:$D$1601,$D47)&gt;1,"two readings of this type: keep one; ",""))</f>
        <v/>
      </c>
    </row>
    <row r="48" customFormat="false" ht="15" hidden="false" customHeight="false" outlineLevel="0" collapsed="false">
      <c r="A48" s="11"/>
      <c r="B48" s="38"/>
      <c r="D48" s="10"/>
      <c r="G48" s="30" t="str">
        <f aca="false">IF($C48="","",IFERROR(IF(INDEX(links!$A$2:$A$501,MATCH($C48,links!$D$2:$D$501,0))="","",INDEX(links!$A$2:$A$501,MATCH($C48,links!$D$2:$D$501,0))),""))</f>
        <v/>
      </c>
      <c r="H48" s="30" t="str">
        <f aca="false">IF($C48="","",IFERROR(IF(INDEX(links!$B$2:$B$501,MATCH($C48,links!$D$2:$D$501,0))="","",INDEX(links!$B$2:$B$501,MATCH($C48,links!$D$2:$D$501,0))),""))</f>
        <v/>
      </c>
      <c r="I48" s="30" t="str">
        <f aca="false">IF($C48="","",IFERROR(IF(INDEX(links!$C$2:$C$501,MATCH($C48,links!$D$2:$D$501,0))="","",INDEX(links!$C$2:$C$501,MATCH($C48,links!$D$2:$D$501,0))),""))</f>
        <v/>
      </c>
      <c r="J48" s="30" t="str">
        <f aca="false">IF($C48="","",IF($G48="","slug not in links; ","")&amp;IF($D48="","reading type missing; ","")&amp;IF(COUNTIFS(scans!$C$2:$C$1601,$C48,scans!$D$2:$D$1601,$D48)&gt;1,"two readings of this type: keep one; ",""))</f>
        <v/>
      </c>
    </row>
    <row r="49" customFormat="false" ht="15" hidden="false" customHeight="false" outlineLevel="0" collapsed="false">
      <c r="A49" s="11"/>
      <c r="B49" s="38"/>
      <c r="D49" s="10"/>
      <c r="G49" s="30" t="str">
        <f aca="false">IF($C49="","",IFERROR(IF(INDEX(links!$A$2:$A$501,MATCH($C49,links!$D$2:$D$501,0))="","",INDEX(links!$A$2:$A$501,MATCH($C49,links!$D$2:$D$501,0))),""))</f>
        <v/>
      </c>
      <c r="H49" s="30" t="str">
        <f aca="false">IF($C49="","",IFERROR(IF(INDEX(links!$B$2:$B$501,MATCH($C49,links!$D$2:$D$501,0))="","",INDEX(links!$B$2:$B$501,MATCH($C49,links!$D$2:$D$501,0))),""))</f>
        <v/>
      </c>
      <c r="I49" s="30" t="str">
        <f aca="false">IF($C49="","",IFERROR(IF(INDEX(links!$C$2:$C$501,MATCH($C49,links!$D$2:$D$501,0))="","",INDEX(links!$C$2:$C$501,MATCH($C49,links!$D$2:$D$501,0))),""))</f>
        <v/>
      </c>
      <c r="J49" s="30" t="str">
        <f aca="false">IF($C49="","",IF($G49="","slug not in links; ","")&amp;IF($D49="","reading type missing; ","")&amp;IF(COUNTIFS(scans!$C$2:$C$1601,$C49,scans!$D$2:$D$1601,$D49)&gt;1,"two readings of this type: keep one; ",""))</f>
        <v/>
      </c>
    </row>
    <row r="50" customFormat="false" ht="15" hidden="false" customHeight="false" outlineLevel="0" collapsed="false">
      <c r="A50" s="11"/>
      <c r="B50" s="38"/>
      <c r="D50" s="10"/>
      <c r="G50" s="30" t="str">
        <f aca="false">IF($C50="","",IFERROR(IF(INDEX(links!$A$2:$A$501,MATCH($C50,links!$D$2:$D$501,0))="","",INDEX(links!$A$2:$A$501,MATCH($C50,links!$D$2:$D$501,0))),""))</f>
        <v/>
      </c>
      <c r="H50" s="30" t="str">
        <f aca="false">IF($C50="","",IFERROR(IF(INDEX(links!$B$2:$B$501,MATCH($C50,links!$D$2:$D$501,0))="","",INDEX(links!$B$2:$B$501,MATCH($C50,links!$D$2:$D$501,0))),""))</f>
        <v/>
      </c>
      <c r="I50" s="30" t="str">
        <f aca="false">IF($C50="","",IFERROR(IF(INDEX(links!$C$2:$C$501,MATCH($C50,links!$D$2:$D$501,0))="","",INDEX(links!$C$2:$C$501,MATCH($C50,links!$D$2:$D$501,0))),""))</f>
        <v/>
      </c>
      <c r="J50" s="30" t="str">
        <f aca="false">IF($C50="","",IF($G50="","slug not in links; ","")&amp;IF($D50="","reading type missing; ","")&amp;IF(COUNTIFS(scans!$C$2:$C$1601,$C50,scans!$D$2:$D$1601,$D50)&gt;1,"two readings of this type: keep one; ",""))</f>
        <v/>
      </c>
    </row>
    <row r="51" customFormat="false" ht="15" hidden="false" customHeight="false" outlineLevel="0" collapsed="false">
      <c r="A51" s="11"/>
      <c r="B51" s="38"/>
      <c r="D51" s="10"/>
      <c r="G51" s="30" t="str">
        <f aca="false">IF($C51="","",IFERROR(IF(INDEX(links!$A$2:$A$501,MATCH($C51,links!$D$2:$D$501,0))="","",INDEX(links!$A$2:$A$501,MATCH($C51,links!$D$2:$D$501,0))),""))</f>
        <v/>
      </c>
      <c r="H51" s="30" t="str">
        <f aca="false">IF($C51="","",IFERROR(IF(INDEX(links!$B$2:$B$501,MATCH($C51,links!$D$2:$D$501,0))="","",INDEX(links!$B$2:$B$501,MATCH($C51,links!$D$2:$D$501,0))),""))</f>
        <v/>
      </c>
      <c r="I51" s="30" t="str">
        <f aca="false">IF($C51="","",IFERROR(IF(INDEX(links!$C$2:$C$501,MATCH($C51,links!$D$2:$D$501,0))="","",INDEX(links!$C$2:$C$501,MATCH($C51,links!$D$2:$D$501,0))),""))</f>
        <v/>
      </c>
      <c r="J51" s="30" t="str">
        <f aca="false">IF($C51="","",IF($G51="","slug not in links; ","")&amp;IF($D51="","reading type missing; ","")&amp;IF(COUNTIFS(scans!$C$2:$C$1601,$C51,scans!$D$2:$D$1601,$D51)&gt;1,"two readings of this type: keep one; ",""))</f>
        <v/>
      </c>
    </row>
    <row r="52" customFormat="false" ht="15" hidden="false" customHeight="false" outlineLevel="0" collapsed="false">
      <c r="A52" s="11"/>
      <c r="B52" s="38"/>
      <c r="D52" s="10"/>
      <c r="G52" s="30" t="str">
        <f aca="false">IF($C52="","",IFERROR(IF(INDEX(links!$A$2:$A$501,MATCH($C52,links!$D$2:$D$501,0))="","",INDEX(links!$A$2:$A$501,MATCH($C52,links!$D$2:$D$501,0))),""))</f>
        <v/>
      </c>
      <c r="H52" s="30" t="str">
        <f aca="false">IF($C52="","",IFERROR(IF(INDEX(links!$B$2:$B$501,MATCH($C52,links!$D$2:$D$501,0))="","",INDEX(links!$B$2:$B$501,MATCH($C52,links!$D$2:$D$501,0))),""))</f>
        <v/>
      </c>
      <c r="I52" s="30" t="str">
        <f aca="false">IF($C52="","",IFERROR(IF(INDEX(links!$C$2:$C$501,MATCH($C52,links!$D$2:$D$501,0))="","",INDEX(links!$C$2:$C$501,MATCH($C52,links!$D$2:$D$501,0))),""))</f>
        <v/>
      </c>
      <c r="J52" s="30" t="str">
        <f aca="false">IF($C52="","",IF($G52="","slug not in links; ","")&amp;IF($D52="","reading type missing; ","")&amp;IF(COUNTIFS(scans!$C$2:$C$1601,$C52,scans!$D$2:$D$1601,$D52)&gt;1,"two readings of this type: keep one; ",""))</f>
        <v/>
      </c>
    </row>
    <row r="53" customFormat="false" ht="15" hidden="false" customHeight="false" outlineLevel="0" collapsed="false">
      <c r="A53" s="11"/>
      <c r="B53" s="38"/>
      <c r="D53" s="10"/>
      <c r="G53" s="30" t="str">
        <f aca="false">IF($C53="","",IFERROR(IF(INDEX(links!$A$2:$A$501,MATCH($C53,links!$D$2:$D$501,0))="","",INDEX(links!$A$2:$A$501,MATCH($C53,links!$D$2:$D$501,0))),""))</f>
        <v/>
      </c>
      <c r="H53" s="30" t="str">
        <f aca="false">IF($C53="","",IFERROR(IF(INDEX(links!$B$2:$B$501,MATCH($C53,links!$D$2:$D$501,0))="","",INDEX(links!$B$2:$B$501,MATCH($C53,links!$D$2:$D$501,0))),""))</f>
        <v/>
      </c>
      <c r="I53" s="30" t="str">
        <f aca="false">IF($C53="","",IFERROR(IF(INDEX(links!$C$2:$C$501,MATCH($C53,links!$D$2:$D$501,0))="","",INDEX(links!$C$2:$C$501,MATCH($C53,links!$D$2:$D$501,0))),""))</f>
        <v/>
      </c>
      <c r="J53" s="30" t="str">
        <f aca="false">IF($C53="","",IF($G53="","slug not in links; ","")&amp;IF($D53="","reading type missing; ","")&amp;IF(COUNTIFS(scans!$C$2:$C$1601,$C53,scans!$D$2:$D$1601,$D53)&gt;1,"two readings of this type: keep one; ",""))</f>
        <v/>
      </c>
    </row>
    <row r="54" customFormat="false" ht="15" hidden="false" customHeight="false" outlineLevel="0" collapsed="false">
      <c r="A54" s="11"/>
      <c r="B54" s="38"/>
      <c r="D54" s="10"/>
      <c r="G54" s="30" t="str">
        <f aca="false">IF($C54="","",IFERROR(IF(INDEX(links!$A$2:$A$501,MATCH($C54,links!$D$2:$D$501,0))="","",INDEX(links!$A$2:$A$501,MATCH($C54,links!$D$2:$D$501,0))),""))</f>
        <v/>
      </c>
      <c r="H54" s="30" t="str">
        <f aca="false">IF($C54="","",IFERROR(IF(INDEX(links!$B$2:$B$501,MATCH($C54,links!$D$2:$D$501,0))="","",INDEX(links!$B$2:$B$501,MATCH($C54,links!$D$2:$D$501,0))),""))</f>
        <v/>
      </c>
      <c r="I54" s="30" t="str">
        <f aca="false">IF($C54="","",IFERROR(IF(INDEX(links!$C$2:$C$501,MATCH($C54,links!$D$2:$D$501,0))="","",INDEX(links!$C$2:$C$501,MATCH($C54,links!$D$2:$D$501,0))),""))</f>
        <v/>
      </c>
      <c r="J54" s="30" t="str">
        <f aca="false">IF($C54="","",IF($G54="","slug not in links; ","")&amp;IF($D54="","reading type missing; ","")&amp;IF(COUNTIFS(scans!$C$2:$C$1601,$C54,scans!$D$2:$D$1601,$D54)&gt;1,"two readings of this type: keep one; ",""))</f>
        <v/>
      </c>
    </row>
    <row r="55" customFormat="false" ht="15" hidden="false" customHeight="false" outlineLevel="0" collapsed="false">
      <c r="A55" s="11"/>
      <c r="B55" s="38"/>
      <c r="D55" s="10"/>
      <c r="G55" s="30" t="str">
        <f aca="false">IF($C55="","",IFERROR(IF(INDEX(links!$A$2:$A$501,MATCH($C55,links!$D$2:$D$501,0))="","",INDEX(links!$A$2:$A$501,MATCH($C55,links!$D$2:$D$501,0))),""))</f>
        <v/>
      </c>
      <c r="H55" s="30" t="str">
        <f aca="false">IF($C55="","",IFERROR(IF(INDEX(links!$B$2:$B$501,MATCH($C55,links!$D$2:$D$501,0))="","",INDEX(links!$B$2:$B$501,MATCH($C55,links!$D$2:$D$501,0))),""))</f>
        <v/>
      </c>
      <c r="I55" s="30" t="str">
        <f aca="false">IF($C55="","",IFERROR(IF(INDEX(links!$C$2:$C$501,MATCH($C55,links!$D$2:$D$501,0))="","",INDEX(links!$C$2:$C$501,MATCH($C55,links!$D$2:$D$501,0))),""))</f>
        <v/>
      </c>
      <c r="J55" s="30" t="str">
        <f aca="false">IF($C55="","",IF($G55="","slug not in links; ","")&amp;IF($D55="","reading type missing; ","")&amp;IF(COUNTIFS(scans!$C$2:$C$1601,$C55,scans!$D$2:$D$1601,$D55)&gt;1,"two readings of this type: keep one; ",""))</f>
        <v/>
      </c>
    </row>
    <row r="56" customFormat="false" ht="15" hidden="false" customHeight="false" outlineLevel="0" collapsed="false">
      <c r="A56" s="11"/>
      <c r="B56" s="38"/>
      <c r="D56" s="10"/>
      <c r="G56" s="30" t="str">
        <f aca="false">IF($C56="","",IFERROR(IF(INDEX(links!$A$2:$A$501,MATCH($C56,links!$D$2:$D$501,0))="","",INDEX(links!$A$2:$A$501,MATCH($C56,links!$D$2:$D$501,0))),""))</f>
        <v/>
      </c>
      <c r="H56" s="30" t="str">
        <f aca="false">IF($C56="","",IFERROR(IF(INDEX(links!$B$2:$B$501,MATCH($C56,links!$D$2:$D$501,0))="","",INDEX(links!$B$2:$B$501,MATCH($C56,links!$D$2:$D$501,0))),""))</f>
        <v/>
      </c>
      <c r="I56" s="30" t="str">
        <f aca="false">IF($C56="","",IFERROR(IF(INDEX(links!$C$2:$C$501,MATCH($C56,links!$D$2:$D$501,0))="","",INDEX(links!$C$2:$C$501,MATCH($C56,links!$D$2:$D$501,0))),""))</f>
        <v/>
      </c>
      <c r="J56" s="30" t="str">
        <f aca="false">IF($C56="","",IF($G56="","slug not in links; ","")&amp;IF($D56="","reading type missing; ","")&amp;IF(COUNTIFS(scans!$C$2:$C$1601,$C56,scans!$D$2:$D$1601,$D56)&gt;1,"two readings of this type: keep one; ",""))</f>
        <v/>
      </c>
    </row>
    <row r="57" customFormat="false" ht="15" hidden="false" customHeight="false" outlineLevel="0" collapsed="false">
      <c r="A57" s="11"/>
      <c r="B57" s="38"/>
      <c r="D57" s="10"/>
      <c r="G57" s="30" t="str">
        <f aca="false">IF($C57="","",IFERROR(IF(INDEX(links!$A$2:$A$501,MATCH($C57,links!$D$2:$D$501,0))="","",INDEX(links!$A$2:$A$501,MATCH($C57,links!$D$2:$D$501,0))),""))</f>
        <v/>
      </c>
      <c r="H57" s="30" t="str">
        <f aca="false">IF($C57="","",IFERROR(IF(INDEX(links!$B$2:$B$501,MATCH($C57,links!$D$2:$D$501,0))="","",INDEX(links!$B$2:$B$501,MATCH($C57,links!$D$2:$D$501,0))),""))</f>
        <v/>
      </c>
      <c r="I57" s="30" t="str">
        <f aca="false">IF($C57="","",IFERROR(IF(INDEX(links!$C$2:$C$501,MATCH($C57,links!$D$2:$D$501,0))="","",INDEX(links!$C$2:$C$501,MATCH($C57,links!$D$2:$D$501,0))),""))</f>
        <v/>
      </c>
      <c r="J57" s="30" t="str">
        <f aca="false">IF($C57="","",IF($G57="","slug not in links; ","")&amp;IF($D57="","reading type missing; ","")&amp;IF(COUNTIFS(scans!$C$2:$C$1601,$C57,scans!$D$2:$D$1601,$D57)&gt;1,"two readings of this type: keep one; ",""))</f>
        <v/>
      </c>
    </row>
    <row r="58" customFormat="false" ht="15" hidden="false" customHeight="false" outlineLevel="0" collapsed="false">
      <c r="A58" s="11"/>
      <c r="B58" s="38"/>
      <c r="D58" s="10"/>
      <c r="G58" s="30" t="str">
        <f aca="false">IF($C58="","",IFERROR(IF(INDEX(links!$A$2:$A$501,MATCH($C58,links!$D$2:$D$501,0))="","",INDEX(links!$A$2:$A$501,MATCH($C58,links!$D$2:$D$501,0))),""))</f>
        <v/>
      </c>
      <c r="H58" s="30" t="str">
        <f aca="false">IF($C58="","",IFERROR(IF(INDEX(links!$B$2:$B$501,MATCH($C58,links!$D$2:$D$501,0))="","",INDEX(links!$B$2:$B$501,MATCH($C58,links!$D$2:$D$501,0))),""))</f>
        <v/>
      </c>
      <c r="I58" s="30" t="str">
        <f aca="false">IF($C58="","",IFERROR(IF(INDEX(links!$C$2:$C$501,MATCH($C58,links!$D$2:$D$501,0))="","",INDEX(links!$C$2:$C$501,MATCH($C58,links!$D$2:$D$501,0))),""))</f>
        <v/>
      </c>
      <c r="J58" s="30" t="str">
        <f aca="false">IF($C58="","",IF($G58="","slug not in links; ","")&amp;IF($D58="","reading type missing; ","")&amp;IF(COUNTIFS(scans!$C$2:$C$1601,$C58,scans!$D$2:$D$1601,$D58)&gt;1,"two readings of this type: keep one; ",""))</f>
        <v/>
      </c>
    </row>
    <row r="59" customFormat="false" ht="15" hidden="false" customHeight="false" outlineLevel="0" collapsed="false">
      <c r="A59" s="11"/>
      <c r="B59" s="38"/>
      <c r="D59" s="10"/>
      <c r="G59" s="30" t="str">
        <f aca="false">IF($C59="","",IFERROR(IF(INDEX(links!$A$2:$A$501,MATCH($C59,links!$D$2:$D$501,0))="","",INDEX(links!$A$2:$A$501,MATCH($C59,links!$D$2:$D$501,0))),""))</f>
        <v/>
      </c>
      <c r="H59" s="30" t="str">
        <f aca="false">IF($C59="","",IFERROR(IF(INDEX(links!$B$2:$B$501,MATCH($C59,links!$D$2:$D$501,0))="","",INDEX(links!$B$2:$B$501,MATCH($C59,links!$D$2:$D$501,0))),""))</f>
        <v/>
      </c>
      <c r="I59" s="30" t="str">
        <f aca="false">IF($C59="","",IFERROR(IF(INDEX(links!$C$2:$C$501,MATCH($C59,links!$D$2:$D$501,0))="","",INDEX(links!$C$2:$C$501,MATCH($C59,links!$D$2:$D$501,0))),""))</f>
        <v/>
      </c>
      <c r="J59" s="30" t="str">
        <f aca="false">IF($C59="","",IF($G59="","slug not in links; ","")&amp;IF($D59="","reading type missing; ","")&amp;IF(COUNTIFS(scans!$C$2:$C$1601,$C59,scans!$D$2:$D$1601,$D59)&gt;1,"two readings of this type: keep one; ",""))</f>
        <v/>
      </c>
    </row>
    <row r="60" customFormat="false" ht="15" hidden="false" customHeight="false" outlineLevel="0" collapsed="false">
      <c r="A60" s="11"/>
      <c r="B60" s="38"/>
      <c r="D60" s="10"/>
      <c r="G60" s="30" t="str">
        <f aca="false">IF($C60="","",IFERROR(IF(INDEX(links!$A$2:$A$501,MATCH($C60,links!$D$2:$D$501,0))="","",INDEX(links!$A$2:$A$501,MATCH($C60,links!$D$2:$D$501,0))),""))</f>
        <v/>
      </c>
      <c r="H60" s="30" t="str">
        <f aca="false">IF($C60="","",IFERROR(IF(INDEX(links!$B$2:$B$501,MATCH($C60,links!$D$2:$D$501,0))="","",INDEX(links!$B$2:$B$501,MATCH($C60,links!$D$2:$D$501,0))),""))</f>
        <v/>
      </c>
      <c r="I60" s="30" t="str">
        <f aca="false">IF($C60="","",IFERROR(IF(INDEX(links!$C$2:$C$501,MATCH($C60,links!$D$2:$D$501,0))="","",INDEX(links!$C$2:$C$501,MATCH($C60,links!$D$2:$D$501,0))),""))</f>
        <v/>
      </c>
      <c r="J60" s="30" t="str">
        <f aca="false">IF($C60="","",IF($G60="","slug not in links; ","")&amp;IF($D60="","reading type missing; ","")&amp;IF(COUNTIFS(scans!$C$2:$C$1601,$C60,scans!$D$2:$D$1601,$D60)&gt;1,"two readings of this type: keep one; ",""))</f>
        <v/>
      </c>
    </row>
    <row r="61" customFormat="false" ht="15" hidden="false" customHeight="false" outlineLevel="0" collapsed="false">
      <c r="A61" s="11"/>
      <c r="B61" s="38"/>
      <c r="D61" s="10"/>
      <c r="G61" s="30" t="str">
        <f aca="false">IF($C61="","",IFERROR(IF(INDEX(links!$A$2:$A$501,MATCH($C61,links!$D$2:$D$501,0))="","",INDEX(links!$A$2:$A$501,MATCH($C61,links!$D$2:$D$501,0))),""))</f>
        <v/>
      </c>
      <c r="H61" s="30" t="str">
        <f aca="false">IF($C61="","",IFERROR(IF(INDEX(links!$B$2:$B$501,MATCH($C61,links!$D$2:$D$501,0))="","",INDEX(links!$B$2:$B$501,MATCH($C61,links!$D$2:$D$501,0))),""))</f>
        <v/>
      </c>
      <c r="I61" s="30" t="str">
        <f aca="false">IF($C61="","",IFERROR(IF(INDEX(links!$C$2:$C$501,MATCH($C61,links!$D$2:$D$501,0))="","",INDEX(links!$C$2:$C$501,MATCH($C61,links!$D$2:$D$501,0))),""))</f>
        <v/>
      </c>
      <c r="J61" s="30" t="str">
        <f aca="false">IF($C61="","",IF($G61="","slug not in links; ","")&amp;IF($D61="","reading type missing; ","")&amp;IF(COUNTIFS(scans!$C$2:$C$1601,$C61,scans!$D$2:$D$1601,$D61)&gt;1,"two readings of this type: keep one; ",""))</f>
        <v/>
      </c>
    </row>
    <row r="62" customFormat="false" ht="15" hidden="false" customHeight="false" outlineLevel="0" collapsed="false">
      <c r="A62" s="11"/>
      <c r="B62" s="38"/>
      <c r="D62" s="10"/>
      <c r="G62" s="30" t="str">
        <f aca="false">IF($C62="","",IFERROR(IF(INDEX(links!$A$2:$A$501,MATCH($C62,links!$D$2:$D$501,0))="","",INDEX(links!$A$2:$A$501,MATCH($C62,links!$D$2:$D$501,0))),""))</f>
        <v/>
      </c>
      <c r="H62" s="30" t="str">
        <f aca="false">IF($C62="","",IFERROR(IF(INDEX(links!$B$2:$B$501,MATCH($C62,links!$D$2:$D$501,0))="","",INDEX(links!$B$2:$B$501,MATCH($C62,links!$D$2:$D$501,0))),""))</f>
        <v/>
      </c>
      <c r="I62" s="30" t="str">
        <f aca="false">IF($C62="","",IFERROR(IF(INDEX(links!$C$2:$C$501,MATCH($C62,links!$D$2:$D$501,0))="","",INDEX(links!$C$2:$C$501,MATCH($C62,links!$D$2:$D$501,0))),""))</f>
        <v/>
      </c>
      <c r="J62" s="30" t="str">
        <f aca="false">IF($C62="","",IF($G62="","slug not in links; ","")&amp;IF($D62="","reading type missing; ","")&amp;IF(COUNTIFS(scans!$C$2:$C$1601,$C62,scans!$D$2:$D$1601,$D62)&gt;1,"two readings of this type: keep one; ",""))</f>
        <v/>
      </c>
    </row>
    <row r="63" customFormat="false" ht="15" hidden="false" customHeight="false" outlineLevel="0" collapsed="false">
      <c r="A63" s="11"/>
      <c r="B63" s="38"/>
      <c r="D63" s="10"/>
      <c r="G63" s="30" t="str">
        <f aca="false">IF($C63="","",IFERROR(IF(INDEX(links!$A$2:$A$501,MATCH($C63,links!$D$2:$D$501,0))="","",INDEX(links!$A$2:$A$501,MATCH($C63,links!$D$2:$D$501,0))),""))</f>
        <v/>
      </c>
      <c r="H63" s="30" t="str">
        <f aca="false">IF($C63="","",IFERROR(IF(INDEX(links!$B$2:$B$501,MATCH($C63,links!$D$2:$D$501,0))="","",INDEX(links!$B$2:$B$501,MATCH($C63,links!$D$2:$D$501,0))),""))</f>
        <v/>
      </c>
      <c r="I63" s="30" t="str">
        <f aca="false">IF($C63="","",IFERROR(IF(INDEX(links!$C$2:$C$501,MATCH($C63,links!$D$2:$D$501,0))="","",INDEX(links!$C$2:$C$501,MATCH($C63,links!$D$2:$D$501,0))),""))</f>
        <v/>
      </c>
      <c r="J63" s="30" t="str">
        <f aca="false">IF($C63="","",IF($G63="","slug not in links; ","")&amp;IF($D63="","reading type missing; ","")&amp;IF(COUNTIFS(scans!$C$2:$C$1601,$C63,scans!$D$2:$D$1601,$D63)&gt;1,"two readings of this type: keep one; ",""))</f>
        <v/>
      </c>
    </row>
    <row r="64" customFormat="false" ht="15" hidden="false" customHeight="false" outlineLevel="0" collapsed="false">
      <c r="A64" s="11"/>
      <c r="B64" s="38"/>
      <c r="D64" s="10"/>
      <c r="G64" s="30" t="str">
        <f aca="false">IF($C64="","",IFERROR(IF(INDEX(links!$A$2:$A$501,MATCH($C64,links!$D$2:$D$501,0))="","",INDEX(links!$A$2:$A$501,MATCH($C64,links!$D$2:$D$501,0))),""))</f>
        <v/>
      </c>
      <c r="H64" s="30" t="str">
        <f aca="false">IF($C64="","",IFERROR(IF(INDEX(links!$B$2:$B$501,MATCH($C64,links!$D$2:$D$501,0))="","",INDEX(links!$B$2:$B$501,MATCH($C64,links!$D$2:$D$501,0))),""))</f>
        <v/>
      </c>
      <c r="I64" s="30" t="str">
        <f aca="false">IF($C64="","",IFERROR(IF(INDEX(links!$C$2:$C$501,MATCH($C64,links!$D$2:$D$501,0))="","",INDEX(links!$C$2:$C$501,MATCH($C64,links!$D$2:$D$501,0))),""))</f>
        <v/>
      </c>
      <c r="J64" s="30" t="str">
        <f aca="false">IF($C64="","",IF($G64="","slug not in links; ","")&amp;IF($D64="","reading type missing; ","")&amp;IF(COUNTIFS(scans!$C$2:$C$1601,$C64,scans!$D$2:$D$1601,$D64)&gt;1,"two readings of this type: keep one; ",""))</f>
        <v/>
      </c>
    </row>
    <row r="65" customFormat="false" ht="15" hidden="false" customHeight="false" outlineLevel="0" collapsed="false">
      <c r="A65" s="11"/>
      <c r="B65" s="38"/>
      <c r="D65" s="10"/>
      <c r="G65" s="30" t="str">
        <f aca="false">IF($C65="","",IFERROR(IF(INDEX(links!$A$2:$A$501,MATCH($C65,links!$D$2:$D$501,0))="","",INDEX(links!$A$2:$A$501,MATCH($C65,links!$D$2:$D$501,0))),""))</f>
        <v/>
      </c>
      <c r="H65" s="30" t="str">
        <f aca="false">IF($C65="","",IFERROR(IF(INDEX(links!$B$2:$B$501,MATCH($C65,links!$D$2:$D$501,0))="","",INDEX(links!$B$2:$B$501,MATCH($C65,links!$D$2:$D$501,0))),""))</f>
        <v/>
      </c>
      <c r="I65" s="30" t="str">
        <f aca="false">IF($C65="","",IFERROR(IF(INDEX(links!$C$2:$C$501,MATCH($C65,links!$D$2:$D$501,0))="","",INDEX(links!$C$2:$C$501,MATCH($C65,links!$D$2:$D$501,0))),""))</f>
        <v/>
      </c>
      <c r="J65" s="30" t="str">
        <f aca="false">IF($C65="","",IF($G65="","slug not in links; ","")&amp;IF($D65="","reading type missing; ","")&amp;IF(COUNTIFS(scans!$C$2:$C$1601,$C65,scans!$D$2:$D$1601,$D65)&gt;1,"two readings of this type: keep one; ",""))</f>
        <v/>
      </c>
    </row>
    <row r="66" customFormat="false" ht="15" hidden="false" customHeight="false" outlineLevel="0" collapsed="false">
      <c r="A66" s="11"/>
      <c r="B66" s="38"/>
      <c r="D66" s="10"/>
      <c r="G66" s="30" t="str">
        <f aca="false">IF($C66="","",IFERROR(IF(INDEX(links!$A$2:$A$501,MATCH($C66,links!$D$2:$D$501,0))="","",INDEX(links!$A$2:$A$501,MATCH($C66,links!$D$2:$D$501,0))),""))</f>
        <v/>
      </c>
      <c r="H66" s="30" t="str">
        <f aca="false">IF($C66="","",IFERROR(IF(INDEX(links!$B$2:$B$501,MATCH($C66,links!$D$2:$D$501,0))="","",INDEX(links!$B$2:$B$501,MATCH($C66,links!$D$2:$D$501,0))),""))</f>
        <v/>
      </c>
      <c r="I66" s="30" t="str">
        <f aca="false">IF($C66="","",IFERROR(IF(INDEX(links!$C$2:$C$501,MATCH($C66,links!$D$2:$D$501,0))="","",INDEX(links!$C$2:$C$501,MATCH($C66,links!$D$2:$D$501,0))),""))</f>
        <v/>
      </c>
      <c r="J66" s="30" t="str">
        <f aca="false">IF($C66="","",IF($G66="","slug not in links; ","")&amp;IF($D66="","reading type missing; ","")&amp;IF(COUNTIFS(scans!$C$2:$C$1601,$C66,scans!$D$2:$D$1601,$D66)&gt;1,"two readings of this type: keep one; ",""))</f>
        <v/>
      </c>
    </row>
    <row r="67" customFormat="false" ht="15" hidden="false" customHeight="false" outlineLevel="0" collapsed="false">
      <c r="A67" s="11"/>
      <c r="B67" s="38"/>
      <c r="D67" s="10"/>
      <c r="G67" s="30" t="str">
        <f aca="false">IF($C67="","",IFERROR(IF(INDEX(links!$A$2:$A$501,MATCH($C67,links!$D$2:$D$501,0))="","",INDEX(links!$A$2:$A$501,MATCH($C67,links!$D$2:$D$501,0))),""))</f>
        <v/>
      </c>
      <c r="H67" s="30" t="str">
        <f aca="false">IF($C67="","",IFERROR(IF(INDEX(links!$B$2:$B$501,MATCH($C67,links!$D$2:$D$501,0))="","",INDEX(links!$B$2:$B$501,MATCH($C67,links!$D$2:$D$501,0))),""))</f>
        <v/>
      </c>
      <c r="I67" s="30" t="str">
        <f aca="false">IF($C67="","",IFERROR(IF(INDEX(links!$C$2:$C$501,MATCH($C67,links!$D$2:$D$501,0))="","",INDEX(links!$C$2:$C$501,MATCH($C67,links!$D$2:$D$501,0))),""))</f>
        <v/>
      </c>
      <c r="J67" s="30" t="str">
        <f aca="false">IF($C67="","",IF($G67="","slug not in links; ","")&amp;IF($D67="","reading type missing; ","")&amp;IF(COUNTIFS(scans!$C$2:$C$1601,$C67,scans!$D$2:$D$1601,$D67)&gt;1,"two readings of this type: keep one; ",""))</f>
        <v/>
      </c>
    </row>
    <row r="68" customFormat="false" ht="15" hidden="false" customHeight="false" outlineLevel="0" collapsed="false">
      <c r="A68" s="11"/>
      <c r="B68" s="38"/>
      <c r="D68" s="10"/>
      <c r="G68" s="30" t="str">
        <f aca="false">IF($C68="","",IFERROR(IF(INDEX(links!$A$2:$A$501,MATCH($C68,links!$D$2:$D$501,0))="","",INDEX(links!$A$2:$A$501,MATCH($C68,links!$D$2:$D$501,0))),""))</f>
        <v/>
      </c>
      <c r="H68" s="30" t="str">
        <f aca="false">IF($C68="","",IFERROR(IF(INDEX(links!$B$2:$B$501,MATCH($C68,links!$D$2:$D$501,0))="","",INDEX(links!$B$2:$B$501,MATCH($C68,links!$D$2:$D$501,0))),""))</f>
        <v/>
      </c>
      <c r="I68" s="30" t="str">
        <f aca="false">IF($C68="","",IFERROR(IF(INDEX(links!$C$2:$C$501,MATCH($C68,links!$D$2:$D$501,0))="","",INDEX(links!$C$2:$C$501,MATCH($C68,links!$D$2:$D$501,0))),""))</f>
        <v/>
      </c>
      <c r="J68" s="30" t="str">
        <f aca="false">IF($C68="","",IF($G68="","slug not in links; ","")&amp;IF($D68="","reading type missing; ","")&amp;IF(COUNTIFS(scans!$C$2:$C$1601,$C68,scans!$D$2:$D$1601,$D68)&gt;1,"two readings of this type: keep one; ",""))</f>
        <v/>
      </c>
    </row>
    <row r="69" customFormat="false" ht="15" hidden="false" customHeight="false" outlineLevel="0" collapsed="false">
      <c r="A69" s="11"/>
      <c r="B69" s="38"/>
      <c r="D69" s="10"/>
      <c r="G69" s="30" t="str">
        <f aca="false">IF($C69="","",IFERROR(IF(INDEX(links!$A$2:$A$501,MATCH($C69,links!$D$2:$D$501,0))="","",INDEX(links!$A$2:$A$501,MATCH($C69,links!$D$2:$D$501,0))),""))</f>
        <v/>
      </c>
      <c r="H69" s="30" t="str">
        <f aca="false">IF($C69="","",IFERROR(IF(INDEX(links!$B$2:$B$501,MATCH($C69,links!$D$2:$D$501,0))="","",INDEX(links!$B$2:$B$501,MATCH($C69,links!$D$2:$D$501,0))),""))</f>
        <v/>
      </c>
      <c r="I69" s="30" t="str">
        <f aca="false">IF($C69="","",IFERROR(IF(INDEX(links!$C$2:$C$501,MATCH($C69,links!$D$2:$D$501,0))="","",INDEX(links!$C$2:$C$501,MATCH($C69,links!$D$2:$D$501,0))),""))</f>
        <v/>
      </c>
      <c r="J69" s="30" t="str">
        <f aca="false">IF($C69="","",IF($G69="","slug not in links; ","")&amp;IF($D69="","reading type missing; ","")&amp;IF(COUNTIFS(scans!$C$2:$C$1601,$C69,scans!$D$2:$D$1601,$D69)&gt;1,"two readings of this type: keep one; ",""))</f>
        <v/>
      </c>
    </row>
    <row r="70" customFormat="false" ht="15" hidden="false" customHeight="false" outlineLevel="0" collapsed="false">
      <c r="A70" s="11"/>
      <c r="B70" s="38"/>
      <c r="D70" s="10"/>
      <c r="G70" s="30" t="str">
        <f aca="false">IF($C70="","",IFERROR(IF(INDEX(links!$A$2:$A$501,MATCH($C70,links!$D$2:$D$501,0))="","",INDEX(links!$A$2:$A$501,MATCH($C70,links!$D$2:$D$501,0))),""))</f>
        <v/>
      </c>
      <c r="H70" s="30" t="str">
        <f aca="false">IF($C70="","",IFERROR(IF(INDEX(links!$B$2:$B$501,MATCH($C70,links!$D$2:$D$501,0))="","",INDEX(links!$B$2:$B$501,MATCH($C70,links!$D$2:$D$501,0))),""))</f>
        <v/>
      </c>
      <c r="I70" s="30" t="str">
        <f aca="false">IF($C70="","",IFERROR(IF(INDEX(links!$C$2:$C$501,MATCH($C70,links!$D$2:$D$501,0))="","",INDEX(links!$C$2:$C$501,MATCH($C70,links!$D$2:$D$501,0))),""))</f>
        <v/>
      </c>
      <c r="J70" s="30" t="str">
        <f aca="false">IF($C70="","",IF($G70="","slug not in links; ","")&amp;IF($D70="","reading type missing; ","")&amp;IF(COUNTIFS(scans!$C$2:$C$1601,$C70,scans!$D$2:$D$1601,$D70)&gt;1,"two readings of this type: keep one; ",""))</f>
        <v/>
      </c>
    </row>
    <row r="71" customFormat="false" ht="15" hidden="false" customHeight="false" outlineLevel="0" collapsed="false">
      <c r="A71" s="11"/>
      <c r="B71" s="38"/>
      <c r="D71" s="10"/>
      <c r="G71" s="30" t="str">
        <f aca="false">IF($C71="","",IFERROR(IF(INDEX(links!$A$2:$A$501,MATCH($C71,links!$D$2:$D$501,0))="","",INDEX(links!$A$2:$A$501,MATCH($C71,links!$D$2:$D$501,0))),""))</f>
        <v/>
      </c>
      <c r="H71" s="30" t="str">
        <f aca="false">IF($C71="","",IFERROR(IF(INDEX(links!$B$2:$B$501,MATCH($C71,links!$D$2:$D$501,0))="","",INDEX(links!$B$2:$B$501,MATCH($C71,links!$D$2:$D$501,0))),""))</f>
        <v/>
      </c>
      <c r="I71" s="30" t="str">
        <f aca="false">IF($C71="","",IFERROR(IF(INDEX(links!$C$2:$C$501,MATCH($C71,links!$D$2:$D$501,0))="","",INDEX(links!$C$2:$C$501,MATCH($C71,links!$D$2:$D$501,0))),""))</f>
        <v/>
      </c>
      <c r="J71" s="30" t="str">
        <f aca="false">IF($C71="","",IF($G71="","slug not in links; ","")&amp;IF($D71="","reading type missing; ","")&amp;IF(COUNTIFS(scans!$C$2:$C$1601,$C71,scans!$D$2:$D$1601,$D71)&gt;1,"two readings of this type: keep one; ",""))</f>
        <v/>
      </c>
    </row>
    <row r="72" customFormat="false" ht="15" hidden="false" customHeight="false" outlineLevel="0" collapsed="false">
      <c r="A72" s="11"/>
      <c r="B72" s="38"/>
      <c r="D72" s="10"/>
      <c r="G72" s="30" t="str">
        <f aca="false">IF($C72="","",IFERROR(IF(INDEX(links!$A$2:$A$501,MATCH($C72,links!$D$2:$D$501,0))="","",INDEX(links!$A$2:$A$501,MATCH($C72,links!$D$2:$D$501,0))),""))</f>
        <v/>
      </c>
      <c r="H72" s="30" t="str">
        <f aca="false">IF($C72="","",IFERROR(IF(INDEX(links!$B$2:$B$501,MATCH($C72,links!$D$2:$D$501,0))="","",INDEX(links!$B$2:$B$501,MATCH($C72,links!$D$2:$D$501,0))),""))</f>
        <v/>
      </c>
      <c r="I72" s="30" t="str">
        <f aca="false">IF($C72="","",IFERROR(IF(INDEX(links!$C$2:$C$501,MATCH($C72,links!$D$2:$D$501,0))="","",INDEX(links!$C$2:$C$501,MATCH($C72,links!$D$2:$D$501,0))),""))</f>
        <v/>
      </c>
      <c r="J72" s="30" t="str">
        <f aca="false">IF($C72="","",IF($G72="","slug not in links; ","")&amp;IF($D72="","reading type missing; ","")&amp;IF(COUNTIFS(scans!$C$2:$C$1601,$C72,scans!$D$2:$D$1601,$D72)&gt;1,"two readings of this type: keep one; ",""))</f>
        <v/>
      </c>
    </row>
    <row r="73" customFormat="false" ht="15" hidden="false" customHeight="false" outlineLevel="0" collapsed="false">
      <c r="A73" s="11"/>
      <c r="B73" s="38"/>
      <c r="D73" s="10"/>
      <c r="G73" s="30" t="str">
        <f aca="false">IF($C73="","",IFERROR(IF(INDEX(links!$A$2:$A$501,MATCH($C73,links!$D$2:$D$501,0))="","",INDEX(links!$A$2:$A$501,MATCH($C73,links!$D$2:$D$501,0))),""))</f>
        <v/>
      </c>
      <c r="H73" s="30" t="str">
        <f aca="false">IF($C73="","",IFERROR(IF(INDEX(links!$B$2:$B$501,MATCH($C73,links!$D$2:$D$501,0))="","",INDEX(links!$B$2:$B$501,MATCH($C73,links!$D$2:$D$501,0))),""))</f>
        <v/>
      </c>
      <c r="I73" s="30" t="str">
        <f aca="false">IF($C73="","",IFERROR(IF(INDEX(links!$C$2:$C$501,MATCH($C73,links!$D$2:$D$501,0))="","",INDEX(links!$C$2:$C$501,MATCH($C73,links!$D$2:$D$501,0))),""))</f>
        <v/>
      </c>
      <c r="J73" s="30" t="str">
        <f aca="false">IF($C73="","",IF($G73="","slug not in links; ","")&amp;IF($D73="","reading type missing; ","")&amp;IF(COUNTIFS(scans!$C$2:$C$1601,$C73,scans!$D$2:$D$1601,$D73)&gt;1,"two readings of this type: keep one; ",""))</f>
        <v/>
      </c>
    </row>
    <row r="74" customFormat="false" ht="15" hidden="false" customHeight="false" outlineLevel="0" collapsed="false">
      <c r="A74" s="11"/>
      <c r="B74" s="38"/>
      <c r="D74" s="10"/>
      <c r="G74" s="30" t="str">
        <f aca="false">IF($C74="","",IFERROR(IF(INDEX(links!$A$2:$A$501,MATCH($C74,links!$D$2:$D$501,0))="","",INDEX(links!$A$2:$A$501,MATCH($C74,links!$D$2:$D$501,0))),""))</f>
        <v/>
      </c>
      <c r="H74" s="30" t="str">
        <f aca="false">IF($C74="","",IFERROR(IF(INDEX(links!$B$2:$B$501,MATCH($C74,links!$D$2:$D$501,0))="","",INDEX(links!$B$2:$B$501,MATCH($C74,links!$D$2:$D$501,0))),""))</f>
        <v/>
      </c>
      <c r="I74" s="30" t="str">
        <f aca="false">IF($C74="","",IFERROR(IF(INDEX(links!$C$2:$C$501,MATCH($C74,links!$D$2:$D$501,0))="","",INDEX(links!$C$2:$C$501,MATCH($C74,links!$D$2:$D$501,0))),""))</f>
        <v/>
      </c>
      <c r="J74" s="30" t="str">
        <f aca="false">IF($C74="","",IF($G74="","slug not in links; ","")&amp;IF($D74="","reading type missing; ","")&amp;IF(COUNTIFS(scans!$C$2:$C$1601,$C74,scans!$D$2:$D$1601,$D74)&gt;1,"two readings of this type: keep one; ",""))</f>
        <v/>
      </c>
    </row>
    <row r="75" customFormat="false" ht="15" hidden="false" customHeight="false" outlineLevel="0" collapsed="false">
      <c r="A75" s="11"/>
      <c r="B75" s="38"/>
      <c r="D75" s="10"/>
      <c r="G75" s="30" t="str">
        <f aca="false">IF($C75="","",IFERROR(IF(INDEX(links!$A$2:$A$501,MATCH($C75,links!$D$2:$D$501,0))="","",INDEX(links!$A$2:$A$501,MATCH($C75,links!$D$2:$D$501,0))),""))</f>
        <v/>
      </c>
      <c r="H75" s="30" t="str">
        <f aca="false">IF($C75="","",IFERROR(IF(INDEX(links!$B$2:$B$501,MATCH($C75,links!$D$2:$D$501,0))="","",INDEX(links!$B$2:$B$501,MATCH($C75,links!$D$2:$D$501,0))),""))</f>
        <v/>
      </c>
      <c r="I75" s="30" t="str">
        <f aca="false">IF($C75="","",IFERROR(IF(INDEX(links!$C$2:$C$501,MATCH($C75,links!$D$2:$D$501,0))="","",INDEX(links!$C$2:$C$501,MATCH($C75,links!$D$2:$D$501,0))),""))</f>
        <v/>
      </c>
      <c r="J75" s="30" t="str">
        <f aca="false">IF($C75="","",IF($G75="","slug not in links; ","")&amp;IF($D75="","reading type missing; ","")&amp;IF(COUNTIFS(scans!$C$2:$C$1601,$C75,scans!$D$2:$D$1601,$D75)&gt;1,"two readings of this type: keep one; ",""))</f>
        <v/>
      </c>
    </row>
    <row r="76" customFormat="false" ht="15" hidden="false" customHeight="false" outlineLevel="0" collapsed="false">
      <c r="A76" s="11"/>
      <c r="B76" s="38"/>
      <c r="D76" s="10"/>
      <c r="G76" s="30" t="str">
        <f aca="false">IF($C76="","",IFERROR(IF(INDEX(links!$A$2:$A$501,MATCH($C76,links!$D$2:$D$501,0))="","",INDEX(links!$A$2:$A$501,MATCH($C76,links!$D$2:$D$501,0))),""))</f>
        <v/>
      </c>
      <c r="H76" s="30" t="str">
        <f aca="false">IF($C76="","",IFERROR(IF(INDEX(links!$B$2:$B$501,MATCH($C76,links!$D$2:$D$501,0))="","",INDEX(links!$B$2:$B$501,MATCH($C76,links!$D$2:$D$501,0))),""))</f>
        <v/>
      </c>
      <c r="I76" s="30" t="str">
        <f aca="false">IF($C76="","",IFERROR(IF(INDEX(links!$C$2:$C$501,MATCH($C76,links!$D$2:$D$501,0))="","",INDEX(links!$C$2:$C$501,MATCH($C76,links!$D$2:$D$501,0))),""))</f>
        <v/>
      </c>
      <c r="J76" s="30" t="str">
        <f aca="false">IF($C76="","",IF($G76="","slug not in links; ","")&amp;IF($D76="","reading type missing; ","")&amp;IF(COUNTIFS(scans!$C$2:$C$1601,$C76,scans!$D$2:$D$1601,$D76)&gt;1,"two readings of this type: keep one; ",""))</f>
        <v/>
      </c>
    </row>
    <row r="77" customFormat="false" ht="15" hidden="false" customHeight="false" outlineLevel="0" collapsed="false">
      <c r="A77" s="11"/>
      <c r="B77" s="38"/>
      <c r="D77" s="10"/>
      <c r="G77" s="30" t="str">
        <f aca="false">IF($C77="","",IFERROR(IF(INDEX(links!$A$2:$A$501,MATCH($C77,links!$D$2:$D$501,0))="","",INDEX(links!$A$2:$A$501,MATCH($C77,links!$D$2:$D$501,0))),""))</f>
        <v/>
      </c>
      <c r="H77" s="30" t="str">
        <f aca="false">IF($C77="","",IFERROR(IF(INDEX(links!$B$2:$B$501,MATCH($C77,links!$D$2:$D$501,0))="","",INDEX(links!$B$2:$B$501,MATCH($C77,links!$D$2:$D$501,0))),""))</f>
        <v/>
      </c>
      <c r="I77" s="30" t="str">
        <f aca="false">IF($C77="","",IFERROR(IF(INDEX(links!$C$2:$C$501,MATCH($C77,links!$D$2:$D$501,0))="","",INDEX(links!$C$2:$C$501,MATCH($C77,links!$D$2:$D$501,0))),""))</f>
        <v/>
      </c>
      <c r="J77" s="30" t="str">
        <f aca="false">IF($C77="","",IF($G77="","slug not in links; ","")&amp;IF($D77="","reading type missing; ","")&amp;IF(COUNTIFS(scans!$C$2:$C$1601,$C77,scans!$D$2:$D$1601,$D77)&gt;1,"two readings of this type: keep one; ",""))</f>
        <v/>
      </c>
    </row>
    <row r="78" customFormat="false" ht="15" hidden="false" customHeight="false" outlineLevel="0" collapsed="false">
      <c r="A78" s="11"/>
      <c r="B78" s="38"/>
      <c r="D78" s="10"/>
      <c r="G78" s="30" t="str">
        <f aca="false">IF($C78="","",IFERROR(IF(INDEX(links!$A$2:$A$501,MATCH($C78,links!$D$2:$D$501,0))="","",INDEX(links!$A$2:$A$501,MATCH($C78,links!$D$2:$D$501,0))),""))</f>
        <v/>
      </c>
      <c r="H78" s="30" t="str">
        <f aca="false">IF($C78="","",IFERROR(IF(INDEX(links!$B$2:$B$501,MATCH($C78,links!$D$2:$D$501,0))="","",INDEX(links!$B$2:$B$501,MATCH($C78,links!$D$2:$D$501,0))),""))</f>
        <v/>
      </c>
      <c r="I78" s="30" t="str">
        <f aca="false">IF($C78="","",IFERROR(IF(INDEX(links!$C$2:$C$501,MATCH($C78,links!$D$2:$D$501,0))="","",INDEX(links!$C$2:$C$501,MATCH($C78,links!$D$2:$D$501,0))),""))</f>
        <v/>
      </c>
      <c r="J78" s="30" t="str">
        <f aca="false">IF($C78="","",IF($G78="","slug not in links; ","")&amp;IF($D78="","reading type missing; ","")&amp;IF(COUNTIFS(scans!$C$2:$C$1601,$C78,scans!$D$2:$D$1601,$D78)&gt;1,"two readings of this type: keep one; ",""))</f>
        <v/>
      </c>
    </row>
    <row r="79" customFormat="false" ht="15" hidden="false" customHeight="false" outlineLevel="0" collapsed="false">
      <c r="A79" s="11"/>
      <c r="B79" s="38"/>
      <c r="D79" s="10"/>
      <c r="G79" s="30" t="str">
        <f aca="false">IF($C79="","",IFERROR(IF(INDEX(links!$A$2:$A$501,MATCH($C79,links!$D$2:$D$501,0))="","",INDEX(links!$A$2:$A$501,MATCH($C79,links!$D$2:$D$501,0))),""))</f>
        <v/>
      </c>
      <c r="H79" s="30" t="str">
        <f aca="false">IF($C79="","",IFERROR(IF(INDEX(links!$B$2:$B$501,MATCH($C79,links!$D$2:$D$501,0))="","",INDEX(links!$B$2:$B$501,MATCH($C79,links!$D$2:$D$501,0))),""))</f>
        <v/>
      </c>
      <c r="I79" s="30" t="str">
        <f aca="false">IF($C79="","",IFERROR(IF(INDEX(links!$C$2:$C$501,MATCH($C79,links!$D$2:$D$501,0))="","",INDEX(links!$C$2:$C$501,MATCH($C79,links!$D$2:$D$501,0))),""))</f>
        <v/>
      </c>
      <c r="J79" s="30" t="str">
        <f aca="false">IF($C79="","",IF($G79="","slug not in links; ","")&amp;IF($D79="","reading type missing; ","")&amp;IF(COUNTIFS(scans!$C$2:$C$1601,$C79,scans!$D$2:$D$1601,$D79)&gt;1,"two readings of this type: keep one; ",""))</f>
        <v/>
      </c>
    </row>
    <row r="80" customFormat="false" ht="15" hidden="false" customHeight="false" outlineLevel="0" collapsed="false">
      <c r="A80" s="11"/>
      <c r="B80" s="38"/>
      <c r="D80" s="10"/>
      <c r="G80" s="30" t="str">
        <f aca="false">IF($C80="","",IFERROR(IF(INDEX(links!$A$2:$A$501,MATCH($C80,links!$D$2:$D$501,0))="","",INDEX(links!$A$2:$A$501,MATCH($C80,links!$D$2:$D$501,0))),""))</f>
        <v/>
      </c>
      <c r="H80" s="30" t="str">
        <f aca="false">IF($C80="","",IFERROR(IF(INDEX(links!$B$2:$B$501,MATCH($C80,links!$D$2:$D$501,0))="","",INDEX(links!$B$2:$B$501,MATCH($C80,links!$D$2:$D$501,0))),""))</f>
        <v/>
      </c>
      <c r="I80" s="30" t="str">
        <f aca="false">IF($C80="","",IFERROR(IF(INDEX(links!$C$2:$C$501,MATCH($C80,links!$D$2:$D$501,0))="","",INDEX(links!$C$2:$C$501,MATCH($C80,links!$D$2:$D$501,0))),""))</f>
        <v/>
      </c>
      <c r="J80" s="30" t="str">
        <f aca="false">IF($C80="","",IF($G80="","slug not in links; ","")&amp;IF($D80="","reading type missing; ","")&amp;IF(COUNTIFS(scans!$C$2:$C$1601,$C80,scans!$D$2:$D$1601,$D80)&gt;1,"two readings of this type: keep one; ",""))</f>
        <v/>
      </c>
    </row>
    <row r="81" customFormat="false" ht="15" hidden="false" customHeight="false" outlineLevel="0" collapsed="false">
      <c r="A81" s="11"/>
      <c r="B81" s="38"/>
      <c r="D81" s="10"/>
      <c r="G81" s="30" t="str">
        <f aca="false">IF($C81="","",IFERROR(IF(INDEX(links!$A$2:$A$501,MATCH($C81,links!$D$2:$D$501,0))="","",INDEX(links!$A$2:$A$501,MATCH($C81,links!$D$2:$D$501,0))),""))</f>
        <v/>
      </c>
      <c r="H81" s="30" t="str">
        <f aca="false">IF($C81="","",IFERROR(IF(INDEX(links!$B$2:$B$501,MATCH($C81,links!$D$2:$D$501,0))="","",INDEX(links!$B$2:$B$501,MATCH($C81,links!$D$2:$D$501,0))),""))</f>
        <v/>
      </c>
      <c r="I81" s="30" t="str">
        <f aca="false">IF($C81="","",IFERROR(IF(INDEX(links!$C$2:$C$501,MATCH($C81,links!$D$2:$D$501,0))="","",INDEX(links!$C$2:$C$501,MATCH($C81,links!$D$2:$D$501,0))),""))</f>
        <v/>
      </c>
      <c r="J81" s="30" t="str">
        <f aca="false">IF($C81="","",IF($G81="","slug not in links; ","")&amp;IF($D81="","reading type missing; ","")&amp;IF(COUNTIFS(scans!$C$2:$C$1601,$C81,scans!$D$2:$D$1601,$D81)&gt;1,"two readings of this type: keep one; ",""))</f>
        <v/>
      </c>
    </row>
    <row r="82" customFormat="false" ht="15" hidden="false" customHeight="false" outlineLevel="0" collapsed="false">
      <c r="A82" s="11"/>
      <c r="B82" s="38"/>
      <c r="D82" s="10"/>
      <c r="G82" s="30" t="str">
        <f aca="false">IF($C82="","",IFERROR(IF(INDEX(links!$A$2:$A$501,MATCH($C82,links!$D$2:$D$501,0))="","",INDEX(links!$A$2:$A$501,MATCH($C82,links!$D$2:$D$501,0))),""))</f>
        <v/>
      </c>
      <c r="H82" s="30" t="str">
        <f aca="false">IF($C82="","",IFERROR(IF(INDEX(links!$B$2:$B$501,MATCH($C82,links!$D$2:$D$501,0))="","",INDEX(links!$B$2:$B$501,MATCH($C82,links!$D$2:$D$501,0))),""))</f>
        <v/>
      </c>
      <c r="I82" s="30" t="str">
        <f aca="false">IF($C82="","",IFERROR(IF(INDEX(links!$C$2:$C$501,MATCH($C82,links!$D$2:$D$501,0))="","",INDEX(links!$C$2:$C$501,MATCH($C82,links!$D$2:$D$501,0))),""))</f>
        <v/>
      </c>
      <c r="J82" s="30" t="str">
        <f aca="false">IF($C82="","",IF($G82="","slug not in links; ","")&amp;IF($D82="","reading type missing; ","")&amp;IF(COUNTIFS(scans!$C$2:$C$1601,$C82,scans!$D$2:$D$1601,$D82)&gt;1,"two readings of this type: keep one; ",""))</f>
        <v/>
      </c>
    </row>
    <row r="83" customFormat="false" ht="15" hidden="false" customHeight="false" outlineLevel="0" collapsed="false">
      <c r="A83" s="11"/>
      <c r="B83" s="38"/>
      <c r="D83" s="10"/>
      <c r="G83" s="30" t="str">
        <f aca="false">IF($C83="","",IFERROR(IF(INDEX(links!$A$2:$A$501,MATCH($C83,links!$D$2:$D$501,0))="","",INDEX(links!$A$2:$A$501,MATCH($C83,links!$D$2:$D$501,0))),""))</f>
        <v/>
      </c>
      <c r="H83" s="30" t="str">
        <f aca="false">IF($C83="","",IFERROR(IF(INDEX(links!$B$2:$B$501,MATCH($C83,links!$D$2:$D$501,0))="","",INDEX(links!$B$2:$B$501,MATCH($C83,links!$D$2:$D$501,0))),""))</f>
        <v/>
      </c>
      <c r="I83" s="30" t="str">
        <f aca="false">IF($C83="","",IFERROR(IF(INDEX(links!$C$2:$C$501,MATCH($C83,links!$D$2:$D$501,0))="","",INDEX(links!$C$2:$C$501,MATCH($C83,links!$D$2:$D$501,0))),""))</f>
        <v/>
      </c>
      <c r="J83" s="30" t="str">
        <f aca="false">IF($C83="","",IF($G83="","slug not in links; ","")&amp;IF($D83="","reading type missing; ","")&amp;IF(COUNTIFS(scans!$C$2:$C$1601,$C83,scans!$D$2:$D$1601,$D83)&gt;1,"two readings of this type: keep one; ",""))</f>
        <v/>
      </c>
    </row>
    <row r="84" customFormat="false" ht="15" hidden="false" customHeight="false" outlineLevel="0" collapsed="false">
      <c r="A84" s="11"/>
      <c r="B84" s="38"/>
      <c r="D84" s="10"/>
      <c r="G84" s="30" t="str">
        <f aca="false">IF($C84="","",IFERROR(IF(INDEX(links!$A$2:$A$501,MATCH($C84,links!$D$2:$D$501,0))="","",INDEX(links!$A$2:$A$501,MATCH($C84,links!$D$2:$D$501,0))),""))</f>
        <v/>
      </c>
      <c r="H84" s="30" t="str">
        <f aca="false">IF($C84="","",IFERROR(IF(INDEX(links!$B$2:$B$501,MATCH($C84,links!$D$2:$D$501,0))="","",INDEX(links!$B$2:$B$501,MATCH($C84,links!$D$2:$D$501,0))),""))</f>
        <v/>
      </c>
      <c r="I84" s="30" t="str">
        <f aca="false">IF($C84="","",IFERROR(IF(INDEX(links!$C$2:$C$501,MATCH($C84,links!$D$2:$D$501,0))="","",INDEX(links!$C$2:$C$501,MATCH($C84,links!$D$2:$D$501,0))),""))</f>
        <v/>
      </c>
      <c r="J84" s="30" t="str">
        <f aca="false">IF($C84="","",IF($G84="","slug not in links; ","")&amp;IF($D84="","reading type missing; ","")&amp;IF(COUNTIFS(scans!$C$2:$C$1601,$C84,scans!$D$2:$D$1601,$D84)&gt;1,"two readings of this type: keep one; ",""))</f>
        <v/>
      </c>
    </row>
    <row r="85" customFormat="false" ht="15" hidden="false" customHeight="false" outlineLevel="0" collapsed="false">
      <c r="A85" s="11"/>
      <c r="B85" s="38"/>
      <c r="D85" s="10"/>
      <c r="G85" s="30" t="str">
        <f aca="false">IF($C85="","",IFERROR(IF(INDEX(links!$A$2:$A$501,MATCH($C85,links!$D$2:$D$501,0))="","",INDEX(links!$A$2:$A$501,MATCH($C85,links!$D$2:$D$501,0))),""))</f>
        <v/>
      </c>
      <c r="H85" s="30" t="str">
        <f aca="false">IF($C85="","",IFERROR(IF(INDEX(links!$B$2:$B$501,MATCH($C85,links!$D$2:$D$501,0))="","",INDEX(links!$B$2:$B$501,MATCH($C85,links!$D$2:$D$501,0))),""))</f>
        <v/>
      </c>
      <c r="I85" s="30" t="str">
        <f aca="false">IF($C85="","",IFERROR(IF(INDEX(links!$C$2:$C$501,MATCH($C85,links!$D$2:$D$501,0))="","",INDEX(links!$C$2:$C$501,MATCH($C85,links!$D$2:$D$501,0))),""))</f>
        <v/>
      </c>
      <c r="J85" s="30" t="str">
        <f aca="false">IF($C85="","",IF($G85="","slug not in links; ","")&amp;IF($D85="","reading type missing; ","")&amp;IF(COUNTIFS(scans!$C$2:$C$1601,$C85,scans!$D$2:$D$1601,$D85)&gt;1,"two readings of this type: keep one; ",""))</f>
        <v/>
      </c>
    </row>
    <row r="86" customFormat="false" ht="15" hidden="false" customHeight="false" outlineLevel="0" collapsed="false">
      <c r="A86" s="11"/>
      <c r="B86" s="38"/>
      <c r="D86" s="10"/>
      <c r="G86" s="30" t="str">
        <f aca="false">IF($C86="","",IFERROR(IF(INDEX(links!$A$2:$A$501,MATCH($C86,links!$D$2:$D$501,0))="","",INDEX(links!$A$2:$A$501,MATCH($C86,links!$D$2:$D$501,0))),""))</f>
        <v/>
      </c>
      <c r="H86" s="30" t="str">
        <f aca="false">IF($C86="","",IFERROR(IF(INDEX(links!$B$2:$B$501,MATCH($C86,links!$D$2:$D$501,0))="","",INDEX(links!$B$2:$B$501,MATCH($C86,links!$D$2:$D$501,0))),""))</f>
        <v/>
      </c>
      <c r="I86" s="30" t="str">
        <f aca="false">IF($C86="","",IFERROR(IF(INDEX(links!$C$2:$C$501,MATCH($C86,links!$D$2:$D$501,0))="","",INDEX(links!$C$2:$C$501,MATCH($C86,links!$D$2:$D$501,0))),""))</f>
        <v/>
      </c>
      <c r="J86" s="30" t="str">
        <f aca="false">IF($C86="","",IF($G86="","slug not in links; ","")&amp;IF($D86="","reading type missing; ","")&amp;IF(COUNTIFS(scans!$C$2:$C$1601,$C86,scans!$D$2:$D$1601,$D86)&gt;1,"two readings of this type: keep one; ",""))</f>
        <v/>
      </c>
    </row>
    <row r="87" customFormat="false" ht="15" hidden="false" customHeight="false" outlineLevel="0" collapsed="false">
      <c r="A87" s="11"/>
      <c r="B87" s="38"/>
      <c r="D87" s="10"/>
      <c r="G87" s="30" t="str">
        <f aca="false">IF($C87="","",IFERROR(IF(INDEX(links!$A$2:$A$501,MATCH($C87,links!$D$2:$D$501,0))="","",INDEX(links!$A$2:$A$501,MATCH($C87,links!$D$2:$D$501,0))),""))</f>
        <v/>
      </c>
      <c r="H87" s="30" t="str">
        <f aca="false">IF($C87="","",IFERROR(IF(INDEX(links!$B$2:$B$501,MATCH($C87,links!$D$2:$D$501,0))="","",INDEX(links!$B$2:$B$501,MATCH($C87,links!$D$2:$D$501,0))),""))</f>
        <v/>
      </c>
      <c r="I87" s="30" t="str">
        <f aca="false">IF($C87="","",IFERROR(IF(INDEX(links!$C$2:$C$501,MATCH($C87,links!$D$2:$D$501,0))="","",INDEX(links!$C$2:$C$501,MATCH($C87,links!$D$2:$D$501,0))),""))</f>
        <v/>
      </c>
      <c r="J87" s="30" t="str">
        <f aca="false">IF($C87="","",IF($G87="","slug not in links; ","")&amp;IF($D87="","reading type missing; ","")&amp;IF(COUNTIFS(scans!$C$2:$C$1601,$C87,scans!$D$2:$D$1601,$D87)&gt;1,"two readings of this type: keep one; ",""))</f>
        <v/>
      </c>
    </row>
    <row r="88" customFormat="false" ht="15" hidden="false" customHeight="false" outlineLevel="0" collapsed="false">
      <c r="A88" s="11"/>
      <c r="B88" s="38"/>
      <c r="D88" s="10"/>
      <c r="G88" s="30" t="str">
        <f aca="false">IF($C88="","",IFERROR(IF(INDEX(links!$A$2:$A$501,MATCH($C88,links!$D$2:$D$501,0))="","",INDEX(links!$A$2:$A$501,MATCH($C88,links!$D$2:$D$501,0))),""))</f>
        <v/>
      </c>
      <c r="H88" s="30" t="str">
        <f aca="false">IF($C88="","",IFERROR(IF(INDEX(links!$B$2:$B$501,MATCH($C88,links!$D$2:$D$501,0))="","",INDEX(links!$B$2:$B$501,MATCH($C88,links!$D$2:$D$501,0))),""))</f>
        <v/>
      </c>
      <c r="I88" s="30" t="str">
        <f aca="false">IF($C88="","",IFERROR(IF(INDEX(links!$C$2:$C$501,MATCH($C88,links!$D$2:$D$501,0))="","",INDEX(links!$C$2:$C$501,MATCH($C88,links!$D$2:$D$501,0))),""))</f>
        <v/>
      </c>
      <c r="J88" s="30" t="str">
        <f aca="false">IF($C88="","",IF($G88="","slug not in links; ","")&amp;IF($D88="","reading type missing; ","")&amp;IF(COUNTIFS(scans!$C$2:$C$1601,$C88,scans!$D$2:$D$1601,$D88)&gt;1,"two readings of this type: keep one; ",""))</f>
        <v/>
      </c>
    </row>
    <row r="89" customFormat="false" ht="15" hidden="false" customHeight="false" outlineLevel="0" collapsed="false">
      <c r="A89" s="11"/>
      <c r="B89" s="38"/>
      <c r="D89" s="10"/>
      <c r="G89" s="30" t="str">
        <f aca="false">IF($C89="","",IFERROR(IF(INDEX(links!$A$2:$A$501,MATCH($C89,links!$D$2:$D$501,0))="","",INDEX(links!$A$2:$A$501,MATCH($C89,links!$D$2:$D$501,0))),""))</f>
        <v/>
      </c>
      <c r="H89" s="30" t="str">
        <f aca="false">IF($C89="","",IFERROR(IF(INDEX(links!$B$2:$B$501,MATCH($C89,links!$D$2:$D$501,0))="","",INDEX(links!$B$2:$B$501,MATCH($C89,links!$D$2:$D$501,0))),""))</f>
        <v/>
      </c>
      <c r="I89" s="30" t="str">
        <f aca="false">IF($C89="","",IFERROR(IF(INDEX(links!$C$2:$C$501,MATCH($C89,links!$D$2:$D$501,0))="","",INDEX(links!$C$2:$C$501,MATCH($C89,links!$D$2:$D$501,0))),""))</f>
        <v/>
      </c>
      <c r="J89" s="30" t="str">
        <f aca="false">IF($C89="","",IF($G89="","slug not in links; ","")&amp;IF($D89="","reading type missing; ","")&amp;IF(COUNTIFS(scans!$C$2:$C$1601,$C89,scans!$D$2:$D$1601,$D89)&gt;1,"two readings of this type: keep one; ",""))</f>
        <v/>
      </c>
    </row>
    <row r="90" customFormat="false" ht="15" hidden="false" customHeight="false" outlineLevel="0" collapsed="false">
      <c r="A90" s="11"/>
      <c r="B90" s="38"/>
      <c r="D90" s="10"/>
      <c r="G90" s="30" t="str">
        <f aca="false">IF($C90="","",IFERROR(IF(INDEX(links!$A$2:$A$501,MATCH($C90,links!$D$2:$D$501,0))="","",INDEX(links!$A$2:$A$501,MATCH($C90,links!$D$2:$D$501,0))),""))</f>
        <v/>
      </c>
      <c r="H90" s="30" t="str">
        <f aca="false">IF($C90="","",IFERROR(IF(INDEX(links!$B$2:$B$501,MATCH($C90,links!$D$2:$D$501,0))="","",INDEX(links!$B$2:$B$501,MATCH($C90,links!$D$2:$D$501,0))),""))</f>
        <v/>
      </c>
      <c r="I90" s="30" t="str">
        <f aca="false">IF($C90="","",IFERROR(IF(INDEX(links!$C$2:$C$501,MATCH($C90,links!$D$2:$D$501,0))="","",INDEX(links!$C$2:$C$501,MATCH($C90,links!$D$2:$D$501,0))),""))</f>
        <v/>
      </c>
      <c r="J90" s="30" t="str">
        <f aca="false">IF($C90="","",IF($G90="","slug not in links; ","")&amp;IF($D90="","reading type missing; ","")&amp;IF(COUNTIFS(scans!$C$2:$C$1601,$C90,scans!$D$2:$D$1601,$D90)&gt;1,"two readings of this type: keep one; ",""))</f>
        <v/>
      </c>
    </row>
    <row r="91" customFormat="false" ht="15" hidden="false" customHeight="false" outlineLevel="0" collapsed="false">
      <c r="A91" s="11"/>
      <c r="B91" s="38"/>
      <c r="D91" s="10"/>
      <c r="G91" s="30" t="str">
        <f aca="false">IF($C91="","",IFERROR(IF(INDEX(links!$A$2:$A$501,MATCH($C91,links!$D$2:$D$501,0))="","",INDEX(links!$A$2:$A$501,MATCH($C91,links!$D$2:$D$501,0))),""))</f>
        <v/>
      </c>
      <c r="H91" s="30" t="str">
        <f aca="false">IF($C91="","",IFERROR(IF(INDEX(links!$B$2:$B$501,MATCH($C91,links!$D$2:$D$501,0))="","",INDEX(links!$B$2:$B$501,MATCH($C91,links!$D$2:$D$501,0))),""))</f>
        <v/>
      </c>
      <c r="I91" s="30" t="str">
        <f aca="false">IF($C91="","",IFERROR(IF(INDEX(links!$C$2:$C$501,MATCH($C91,links!$D$2:$D$501,0))="","",INDEX(links!$C$2:$C$501,MATCH($C91,links!$D$2:$D$501,0))),""))</f>
        <v/>
      </c>
      <c r="J91" s="30" t="str">
        <f aca="false">IF($C91="","",IF($G91="","slug not in links; ","")&amp;IF($D91="","reading type missing; ","")&amp;IF(COUNTIFS(scans!$C$2:$C$1601,$C91,scans!$D$2:$D$1601,$D91)&gt;1,"two readings of this type: keep one; ",""))</f>
        <v/>
      </c>
    </row>
    <row r="92" customFormat="false" ht="15" hidden="false" customHeight="false" outlineLevel="0" collapsed="false">
      <c r="A92" s="11"/>
      <c r="B92" s="38"/>
      <c r="D92" s="10"/>
      <c r="G92" s="30" t="str">
        <f aca="false">IF($C92="","",IFERROR(IF(INDEX(links!$A$2:$A$501,MATCH($C92,links!$D$2:$D$501,0))="","",INDEX(links!$A$2:$A$501,MATCH($C92,links!$D$2:$D$501,0))),""))</f>
        <v/>
      </c>
      <c r="H92" s="30" t="str">
        <f aca="false">IF($C92="","",IFERROR(IF(INDEX(links!$B$2:$B$501,MATCH($C92,links!$D$2:$D$501,0))="","",INDEX(links!$B$2:$B$501,MATCH($C92,links!$D$2:$D$501,0))),""))</f>
        <v/>
      </c>
      <c r="I92" s="30" t="str">
        <f aca="false">IF($C92="","",IFERROR(IF(INDEX(links!$C$2:$C$501,MATCH($C92,links!$D$2:$D$501,0))="","",INDEX(links!$C$2:$C$501,MATCH($C92,links!$D$2:$D$501,0))),""))</f>
        <v/>
      </c>
      <c r="J92" s="30" t="str">
        <f aca="false">IF($C92="","",IF($G92="","slug not in links; ","")&amp;IF($D92="","reading type missing; ","")&amp;IF(COUNTIFS(scans!$C$2:$C$1601,$C92,scans!$D$2:$D$1601,$D92)&gt;1,"two readings of this type: keep one; ",""))</f>
        <v/>
      </c>
    </row>
    <row r="93" customFormat="false" ht="15" hidden="false" customHeight="false" outlineLevel="0" collapsed="false">
      <c r="A93" s="11"/>
      <c r="B93" s="38"/>
      <c r="D93" s="10"/>
      <c r="G93" s="30" t="str">
        <f aca="false">IF($C93="","",IFERROR(IF(INDEX(links!$A$2:$A$501,MATCH($C93,links!$D$2:$D$501,0))="","",INDEX(links!$A$2:$A$501,MATCH($C93,links!$D$2:$D$501,0))),""))</f>
        <v/>
      </c>
      <c r="H93" s="30" t="str">
        <f aca="false">IF($C93="","",IFERROR(IF(INDEX(links!$B$2:$B$501,MATCH($C93,links!$D$2:$D$501,0))="","",INDEX(links!$B$2:$B$501,MATCH($C93,links!$D$2:$D$501,0))),""))</f>
        <v/>
      </c>
      <c r="I93" s="30" t="str">
        <f aca="false">IF($C93="","",IFERROR(IF(INDEX(links!$C$2:$C$501,MATCH($C93,links!$D$2:$D$501,0))="","",INDEX(links!$C$2:$C$501,MATCH($C93,links!$D$2:$D$501,0))),""))</f>
        <v/>
      </c>
      <c r="J93" s="30" t="str">
        <f aca="false">IF($C93="","",IF($G93="","slug not in links; ","")&amp;IF($D93="","reading type missing; ","")&amp;IF(COUNTIFS(scans!$C$2:$C$1601,$C93,scans!$D$2:$D$1601,$D93)&gt;1,"two readings of this type: keep one; ",""))</f>
        <v/>
      </c>
    </row>
    <row r="94" customFormat="false" ht="15" hidden="false" customHeight="false" outlineLevel="0" collapsed="false">
      <c r="A94" s="11"/>
      <c r="B94" s="38"/>
      <c r="D94" s="10"/>
      <c r="G94" s="30" t="str">
        <f aca="false">IF($C94="","",IFERROR(IF(INDEX(links!$A$2:$A$501,MATCH($C94,links!$D$2:$D$501,0))="","",INDEX(links!$A$2:$A$501,MATCH($C94,links!$D$2:$D$501,0))),""))</f>
        <v/>
      </c>
      <c r="H94" s="30" t="str">
        <f aca="false">IF($C94="","",IFERROR(IF(INDEX(links!$B$2:$B$501,MATCH($C94,links!$D$2:$D$501,0))="","",INDEX(links!$B$2:$B$501,MATCH($C94,links!$D$2:$D$501,0))),""))</f>
        <v/>
      </c>
      <c r="I94" s="30" t="str">
        <f aca="false">IF($C94="","",IFERROR(IF(INDEX(links!$C$2:$C$501,MATCH($C94,links!$D$2:$D$501,0))="","",INDEX(links!$C$2:$C$501,MATCH($C94,links!$D$2:$D$501,0))),""))</f>
        <v/>
      </c>
      <c r="J94" s="30" t="str">
        <f aca="false">IF($C94="","",IF($G94="","slug not in links; ","")&amp;IF($D94="","reading type missing; ","")&amp;IF(COUNTIFS(scans!$C$2:$C$1601,$C94,scans!$D$2:$D$1601,$D94)&gt;1,"two readings of this type: keep one; ",""))</f>
        <v/>
      </c>
    </row>
    <row r="95" customFormat="false" ht="15" hidden="false" customHeight="false" outlineLevel="0" collapsed="false">
      <c r="A95" s="11"/>
      <c r="B95" s="38"/>
      <c r="D95" s="10"/>
      <c r="G95" s="30" t="str">
        <f aca="false">IF($C95="","",IFERROR(IF(INDEX(links!$A$2:$A$501,MATCH($C95,links!$D$2:$D$501,0))="","",INDEX(links!$A$2:$A$501,MATCH($C95,links!$D$2:$D$501,0))),""))</f>
        <v/>
      </c>
      <c r="H95" s="30" t="str">
        <f aca="false">IF($C95="","",IFERROR(IF(INDEX(links!$B$2:$B$501,MATCH($C95,links!$D$2:$D$501,0))="","",INDEX(links!$B$2:$B$501,MATCH($C95,links!$D$2:$D$501,0))),""))</f>
        <v/>
      </c>
      <c r="I95" s="30" t="str">
        <f aca="false">IF($C95="","",IFERROR(IF(INDEX(links!$C$2:$C$501,MATCH($C95,links!$D$2:$D$501,0))="","",INDEX(links!$C$2:$C$501,MATCH($C95,links!$D$2:$D$501,0))),""))</f>
        <v/>
      </c>
      <c r="J95" s="30" t="str">
        <f aca="false">IF($C95="","",IF($G95="","slug not in links; ","")&amp;IF($D95="","reading type missing; ","")&amp;IF(COUNTIFS(scans!$C$2:$C$1601,$C95,scans!$D$2:$D$1601,$D95)&gt;1,"two readings of this type: keep one; ",""))</f>
        <v/>
      </c>
    </row>
    <row r="96" customFormat="false" ht="15" hidden="false" customHeight="false" outlineLevel="0" collapsed="false">
      <c r="A96" s="11"/>
      <c r="B96" s="38"/>
      <c r="D96" s="10"/>
      <c r="G96" s="30" t="str">
        <f aca="false">IF($C96="","",IFERROR(IF(INDEX(links!$A$2:$A$501,MATCH($C96,links!$D$2:$D$501,0))="","",INDEX(links!$A$2:$A$501,MATCH($C96,links!$D$2:$D$501,0))),""))</f>
        <v/>
      </c>
      <c r="H96" s="30" t="str">
        <f aca="false">IF($C96="","",IFERROR(IF(INDEX(links!$B$2:$B$501,MATCH($C96,links!$D$2:$D$501,0))="","",INDEX(links!$B$2:$B$501,MATCH($C96,links!$D$2:$D$501,0))),""))</f>
        <v/>
      </c>
      <c r="I96" s="30" t="str">
        <f aca="false">IF($C96="","",IFERROR(IF(INDEX(links!$C$2:$C$501,MATCH($C96,links!$D$2:$D$501,0))="","",INDEX(links!$C$2:$C$501,MATCH($C96,links!$D$2:$D$501,0))),""))</f>
        <v/>
      </c>
      <c r="J96" s="30" t="str">
        <f aca="false">IF($C96="","",IF($G96="","slug not in links; ","")&amp;IF($D96="","reading type missing; ","")&amp;IF(COUNTIFS(scans!$C$2:$C$1601,$C96,scans!$D$2:$D$1601,$D96)&gt;1,"two readings of this type: keep one; ",""))</f>
        <v/>
      </c>
    </row>
    <row r="97" customFormat="false" ht="15" hidden="false" customHeight="false" outlineLevel="0" collapsed="false">
      <c r="A97" s="11"/>
      <c r="B97" s="38"/>
      <c r="D97" s="10"/>
      <c r="G97" s="30" t="str">
        <f aca="false">IF($C97="","",IFERROR(IF(INDEX(links!$A$2:$A$501,MATCH($C97,links!$D$2:$D$501,0))="","",INDEX(links!$A$2:$A$501,MATCH($C97,links!$D$2:$D$501,0))),""))</f>
        <v/>
      </c>
      <c r="H97" s="30" t="str">
        <f aca="false">IF($C97="","",IFERROR(IF(INDEX(links!$B$2:$B$501,MATCH($C97,links!$D$2:$D$501,0))="","",INDEX(links!$B$2:$B$501,MATCH($C97,links!$D$2:$D$501,0))),""))</f>
        <v/>
      </c>
      <c r="I97" s="30" t="str">
        <f aca="false">IF($C97="","",IFERROR(IF(INDEX(links!$C$2:$C$501,MATCH($C97,links!$D$2:$D$501,0))="","",INDEX(links!$C$2:$C$501,MATCH($C97,links!$D$2:$D$501,0))),""))</f>
        <v/>
      </c>
      <c r="J97" s="30" t="str">
        <f aca="false">IF($C97="","",IF($G97="","slug not in links; ","")&amp;IF($D97="","reading type missing; ","")&amp;IF(COUNTIFS(scans!$C$2:$C$1601,$C97,scans!$D$2:$D$1601,$D97)&gt;1,"two readings of this type: keep one; ",""))</f>
        <v/>
      </c>
    </row>
    <row r="98" customFormat="false" ht="15" hidden="false" customHeight="false" outlineLevel="0" collapsed="false">
      <c r="A98" s="11"/>
      <c r="B98" s="38"/>
      <c r="D98" s="10"/>
      <c r="G98" s="30" t="str">
        <f aca="false">IF($C98="","",IFERROR(IF(INDEX(links!$A$2:$A$501,MATCH($C98,links!$D$2:$D$501,0))="","",INDEX(links!$A$2:$A$501,MATCH($C98,links!$D$2:$D$501,0))),""))</f>
        <v/>
      </c>
      <c r="H98" s="30" t="str">
        <f aca="false">IF($C98="","",IFERROR(IF(INDEX(links!$B$2:$B$501,MATCH($C98,links!$D$2:$D$501,0))="","",INDEX(links!$B$2:$B$501,MATCH($C98,links!$D$2:$D$501,0))),""))</f>
        <v/>
      </c>
      <c r="I98" s="30" t="str">
        <f aca="false">IF($C98="","",IFERROR(IF(INDEX(links!$C$2:$C$501,MATCH($C98,links!$D$2:$D$501,0))="","",INDEX(links!$C$2:$C$501,MATCH($C98,links!$D$2:$D$501,0))),""))</f>
        <v/>
      </c>
      <c r="J98" s="30" t="str">
        <f aca="false">IF($C98="","",IF($G98="","slug not in links; ","")&amp;IF($D98="","reading type missing; ","")&amp;IF(COUNTIFS(scans!$C$2:$C$1601,$C98,scans!$D$2:$D$1601,$D98)&gt;1,"two readings of this type: keep one; ",""))</f>
        <v/>
      </c>
    </row>
    <row r="99" customFormat="false" ht="15" hidden="false" customHeight="false" outlineLevel="0" collapsed="false">
      <c r="A99" s="11"/>
      <c r="B99" s="38"/>
      <c r="D99" s="10"/>
      <c r="G99" s="30" t="str">
        <f aca="false">IF($C99="","",IFERROR(IF(INDEX(links!$A$2:$A$501,MATCH($C99,links!$D$2:$D$501,0))="","",INDEX(links!$A$2:$A$501,MATCH($C99,links!$D$2:$D$501,0))),""))</f>
        <v/>
      </c>
      <c r="H99" s="30" t="str">
        <f aca="false">IF($C99="","",IFERROR(IF(INDEX(links!$B$2:$B$501,MATCH($C99,links!$D$2:$D$501,0))="","",INDEX(links!$B$2:$B$501,MATCH($C99,links!$D$2:$D$501,0))),""))</f>
        <v/>
      </c>
      <c r="I99" s="30" t="str">
        <f aca="false">IF($C99="","",IFERROR(IF(INDEX(links!$C$2:$C$501,MATCH($C99,links!$D$2:$D$501,0))="","",INDEX(links!$C$2:$C$501,MATCH($C99,links!$D$2:$D$501,0))),""))</f>
        <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c r="B100" s="38"/>
      <c r="D100" s="10"/>
      <c r="G100" s="30" t="str">
        <f aca="false">IF($C100="","",IFERROR(IF(INDEX(links!$A$2:$A$501,MATCH($C100,links!$D$2:$D$501,0))="","",INDEX(links!$A$2:$A$501,MATCH($C100,links!$D$2:$D$501,0))),""))</f>
        <v/>
      </c>
      <c r="H100" s="30" t="str">
        <f aca="false">IF($C100="","",IFERROR(IF(INDEX(links!$B$2:$B$501,MATCH($C100,links!$D$2:$D$501,0))="","",INDEX(links!$B$2:$B$501,MATCH($C100,links!$D$2:$D$501,0))),""))</f>
        <v/>
      </c>
      <c r="I100" s="30" t="str">
        <f aca="false">IF($C100="","",IFERROR(IF(INDEX(links!$C$2:$C$501,MATCH($C100,links!$D$2:$D$501,0))="","",INDEX(links!$C$2:$C$501,MATCH($C100,links!$D$2:$D$501,0))),""))</f>
        <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c r="B101" s="38"/>
      <c r="D101" s="10"/>
      <c r="G101" s="30" t="str">
        <f aca="false">IF($C101="","",IFERROR(IF(INDEX(links!$A$2:$A$501,MATCH($C101,links!$D$2:$D$501,0))="","",INDEX(links!$A$2:$A$501,MATCH($C101,links!$D$2:$D$501,0))),""))</f>
        <v/>
      </c>
      <c r="H101" s="30" t="str">
        <f aca="false">IF($C101="","",IFERROR(IF(INDEX(links!$B$2:$B$501,MATCH($C101,links!$D$2:$D$501,0))="","",INDEX(links!$B$2:$B$501,MATCH($C101,links!$D$2:$D$501,0))),""))</f>
        <v/>
      </c>
      <c r="I101" s="30" t="str">
        <f aca="false">IF($C101="","",IFERROR(IF(INDEX(links!$C$2:$C$501,MATCH($C101,links!$D$2:$D$501,0))="","",INDEX(links!$C$2:$C$501,MATCH($C101,links!$D$2:$D$501,0))),""))</f>
        <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c r="B102" s="38"/>
      <c r="D102" s="10"/>
      <c r="G102" s="30" t="str">
        <f aca="false">IF($C102="","",IFERROR(IF(INDEX(links!$A$2:$A$501,MATCH($C102,links!$D$2:$D$501,0))="","",INDEX(links!$A$2:$A$501,MATCH($C102,links!$D$2:$D$501,0))),""))</f>
        <v/>
      </c>
      <c r="H102" s="30" t="str">
        <f aca="false">IF($C102="","",IFERROR(IF(INDEX(links!$B$2:$B$501,MATCH($C102,links!$D$2:$D$501,0))="","",INDEX(links!$B$2:$B$501,MATCH($C102,links!$D$2:$D$501,0))),""))</f>
        <v/>
      </c>
      <c r="I102" s="30" t="str">
        <f aca="false">IF($C102="","",IFERROR(IF(INDEX(links!$C$2:$C$501,MATCH($C102,links!$D$2:$D$501,0))="","",INDEX(links!$C$2:$C$501,MATCH($C102,links!$D$2:$D$501,0))),""))</f>
        <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c r="B103" s="38"/>
      <c r="D103" s="10"/>
      <c r="G103" s="30" t="str">
        <f aca="false">IF($C103="","",IFERROR(IF(INDEX(links!$A$2:$A$501,MATCH($C103,links!$D$2:$D$501,0))="","",INDEX(links!$A$2:$A$501,MATCH($C103,links!$D$2:$D$501,0))),""))</f>
        <v/>
      </c>
      <c r="H103" s="30" t="str">
        <f aca="false">IF($C103="","",IFERROR(IF(INDEX(links!$B$2:$B$501,MATCH($C103,links!$D$2:$D$501,0))="","",INDEX(links!$B$2:$B$501,MATCH($C103,links!$D$2:$D$501,0))),""))</f>
        <v/>
      </c>
      <c r="I103" s="30" t="str">
        <f aca="false">IF($C103="","",IFERROR(IF(INDEX(links!$C$2:$C$501,MATCH($C103,links!$D$2:$D$501,0))="","",INDEX(links!$C$2:$C$501,MATCH($C103,links!$D$2:$D$501,0))),""))</f>
        <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c r="B104" s="38"/>
      <c r="D104" s="10"/>
      <c r="G104" s="30" t="str">
        <f aca="false">IF($C104="","",IFERROR(IF(INDEX(links!$A$2:$A$501,MATCH($C104,links!$D$2:$D$501,0))="","",INDEX(links!$A$2:$A$501,MATCH($C104,links!$D$2:$D$501,0))),""))</f>
        <v/>
      </c>
      <c r="H104" s="30" t="str">
        <f aca="false">IF($C104="","",IFERROR(IF(INDEX(links!$B$2:$B$501,MATCH($C104,links!$D$2:$D$501,0))="","",INDEX(links!$B$2:$B$501,MATCH($C104,links!$D$2:$D$501,0))),""))</f>
        <v/>
      </c>
      <c r="I104" s="30" t="str">
        <f aca="false">IF($C104="","",IFERROR(IF(INDEX(links!$C$2:$C$501,MATCH($C104,links!$D$2:$D$501,0))="","",INDEX(links!$C$2:$C$501,MATCH($C104,links!$D$2:$D$501,0))),""))</f>
        <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c r="B105" s="38"/>
      <c r="D105" s="10"/>
      <c r="G105" s="30" t="str">
        <f aca="false">IF($C105="","",IFERROR(IF(INDEX(links!$A$2:$A$501,MATCH($C105,links!$D$2:$D$501,0))="","",INDEX(links!$A$2:$A$501,MATCH($C105,links!$D$2:$D$501,0))),""))</f>
        <v/>
      </c>
      <c r="H105" s="30" t="str">
        <f aca="false">IF($C105="","",IFERROR(IF(INDEX(links!$B$2:$B$501,MATCH($C105,links!$D$2:$D$501,0))="","",INDEX(links!$B$2:$B$501,MATCH($C105,links!$D$2:$D$501,0))),""))</f>
        <v/>
      </c>
      <c r="I105" s="30" t="str">
        <f aca="false">IF($C105="","",IFERROR(IF(INDEX(links!$C$2:$C$501,MATCH($C105,links!$D$2:$D$501,0))="","",INDEX(links!$C$2:$C$501,MATCH($C105,links!$D$2:$D$501,0))),""))</f>
        <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c r="B106" s="38"/>
      <c r="D106" s="10"/>
      <c r="G106" s="30" t="str">
        <f aca="false">IF($C106="","",IFERROR(IF(INDEX(links!$A$2:$A$501,MATCH($C106,links!$D$2:$D$501,0))="","",INDEX(links!$A$2:$A$501,MATCH($C106,links!$D$2:$D$501,0))),""))</f>
        <v/>
      </c>
      <c r="H106" s="30" t="str">
        <f aca="false">IF($C106="","",IFERROR(IF(INDEX(links!$B$2:$B$501,MATCH($C106,links!$D$2:$D$501,0))="","",INDEX(links!$B$2:$B$501,MATCH($C106,links!$D$2:$D$501,0))),""))</f>
        <v/>
      </c>
      <c r="I106" s="30" t="str">
        <f aca="false">IF($C106="","",IFERROR(IF(INDEX(links!$C$2:$C$501,MATCH($C106,links!$D$2:$D$501,0))="","",INDEX(links!$C$2:$C$501,MATCH($C106,links!$D$2:$D$501,0))),""))</f>
        <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c r="B107" s="38"/>
      <c r="D107" s="10"/>
      <c r="G107" s="30" t="str">
        <f aca="false">IF($C107="","",IFERROR(IF(INDEX(links!$A$2:$A$501,MATCH($C107,links!$D$2:$D$501,0))="","",INDEX(links!$A$2:$A$501,MATCH($C107,links!$D$2:$D$501,0))),""))</f>
        <v/>
      </c>
      <c r="H107" s="30" t="str">
        <f aca="false">IF($C107="","",IFERROR(IF(INDEX(links!$B$2:$B$501,MATCH($C107,links!$D$2:$D$501,0))="","",INDEX(links!$B$2:$B$501,MATCH($C107,links!$D$2:$D$501,0))),""))</f>
        <v/>
      </c>
      <c r="I107" s="30" t="str">
        <f aca="false">IF($C107="","",IFERROR(IF(INDEX(links!$C$2:$C$501,MATCH($C107,links!$D$2:$D$501,0))="","",INDEX(links!$C$2:$C$501,MATCH($C107,links!$D$2:$D$501,0))),""))</f>
        <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c r="B108" s="38"/>
      <c r="D108" s="10"/>
      <c r="G108" s="30" t="str">
        <f aca="false">IF($C108="","",IFERROR(IF(INDEX(links!$A$2:$A$501,MATCH($C108,links!$D$2:$D$501,0))="","",INDEX(links!$A$2:$A$501,MATCH($C108,links!$D$2:$D$501,0))),""))</f>
        <v/>
      </c>
      <c r="H108" s="30" t="str">
        <f aca="false">IF($C108="","",IFERROR(IF(INDEX(links!$B$2:$B$501,MATCH($C108,links!$D$2:$D$501,0))="","",INDEX(links!$B$2:$B$501,MATCH($C108,links!$D$2:$D$501,0))),""))</f>
        <v/>
      </c>
      <c r="I108" s="30" t="str">
        <f aca="false">IF($C108="","",IFERROR(IF(INDEX(links!$C$2:$C$501,MATCH($C108,links!$D$2:$D$501,0))="","",INDEX(links!$C$2:$C$501,MATCH($C108,links!$D$2:$D$501,0))),""))</f>
        <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c r="B109" s="38"/>
      <c r="D109" s="10"/>
      <c r="G109" s="30" t="str">
        <f aca="false">IF($C109="","",IFERROR(IF(INDEX(links!$A$2:$A$501,MATCH($C109,links!$D$2:$D$501,0))="","",INDEX(links!$A$2:$A$501,MATCH($C109,links!$D$2:$D$501,0))),""))</f>
        <v/>
      </c>
      <c r="H109" s="30" t="str">
        <f aca="false">IF($C109="","",IFERROR(IF(INDEX(links!$B$2:$B$501,MATCH($C109,links!$D$2:$D$501,0))="","",INDEX(links!$B$2:$B$501,MATCH($C109,links!$D$2:$D$501,0))),""))</f>
        <v/>
      </c>
      <c r="I109" s="30" t="str">
        <f aca="false">IF($C109="","",IFERROR(IF(INDEX(links!$C$2:$C$501,MATCH($C109,links!$D$2:$D$501,0))="","",INDEX(links!$C$2:$C$501,MATCH($C109,links!$D$2:$D$501,0))),""))</f>
        <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c r="B110" s="38"/>
      <c r="D110" s="10"/>
      <c r="G110" s="30" t="str">
        <f aca="false">IF($C110="","",IFERROR(IF(INDEX(links!$A$2:$A$501,MATCH($C110,links!$D$2:$D$501,0))="","",INDEX(links!$A$2:$A$501,MATCH($C110,links!$D$2:$D$501,0))),""))</f>
        <v/>
      </c>
      <c r="H110" s="30" t="str">
        <f aca="false">IF($C110="","",IFERROR(IF(INDEX(links!$B$2:$B$501,MATCH($C110,links!$D$2:$D$501,0))="","",INDEX(links!$B$2:$B$501,MATCH($C110,links!$D$2:$D$501,0))),""))</f>
        <v/>
      </c>
      <c r="I110" s="30" t="str">
        <f aca="false">IF($C110="","",IFERROR(IF(INDEX(links!$C$2:$C$501,MATCH($C110,links!$D$2:$D$501,0))="","",INDEX(links!$C$2:$C$501,MATCH($C110,links!$D$2:$D$501,0))),""))</f>
        <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c r="B111" s="38"/>
      <c r="D111" s="10"/>
      <c r="G111" s="30" t="str">
        <f aca="false">IF($C111="","",IFERROR(IF(INDEX(links!$A$2:$A$501,MATCH($C111,links!$D$2:$D$501,0))="","",INDEX(links!$A$2:$A$501,MATCH($C111,links!$D$2:$D$501,0))),""))</f>
        <v/>
      </c>
      <c r="H111" s="30" t="str">
        <f aca="false">IF($C111="","",IFERROR(IF(INDEX(links!$B$2:$B$501,MATCH($C111,links!$D$2:$D$501,0))="","",INDEX(links!$B$2:$B$501,MATCH($C111,links!$D$2:$D$501,0))),""))</f>
        <v/>
      </c>
      <c r="I111" s="30" t="str">
        <f aca="false">IF($C111="","",IFERROR(IF(INDEX(links!$C$2:$C$501,MATCH($C111,links!$D$2:$D$501,0))="","",INDEX(links!$C$2:$C$501,MATCH($C111,links!$D$2:$D$501,0))),""))</f>
        <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c r="B112" s="38"/>
      <c r="D112" s="10"/>
      <c r="G112" s="30" t="str">
        <f aca="false">IF($C112="","",IFERROR(IF(INDEX(links!$A$2:$A$501,MATCH($C112,links!$D$2:$D$501,0))="","",INDEX(links!$A$2:$A$501,MATCH($C112,links!$D$2:$D$501,0))),""))</f>
        <v/>
      </c>
      <c r="H112" s="30" t="str">
        <f aca="false">IF($C112="","",IFERROR(IF(INDEX(links!$B$2:$B$501,MATCH($C112,links!$D$2:$D$501,0))="","",INDEX(links!$B$2:$B$501,MATCH($C112,links!$D$2:$D$501,0))),""))</f>
        <v/>
      </c>
      <c r="I112" s="30" t="str">
        <f aca="false">IF($C112="","",IFERROR(IF(INDEX(links!$C$2:$C$501,MATCH($C112,links!$D$2:$D$501,0))="","",INDEX(links!$C$2:$C$501,MATCH($C112,links!$D$2:$D$501,0))),""))</f>
        <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c r="B113" s="38"/>
      <c r="D113" s="10"/>
      <c r="G113" s="30" t="str">
        <f aca="false">IF($C113="","",IFERROR(IF(INDEX(links!$A$2:$A$501,MATCH($C113,links!$D$2:$D$501,0))="","",INDEX(links!$A$2:$A$501,MATCH($C113,links!$D$2:$D$501,0))),""))</f>
        <v/>
      </c>
      <c r="H113" s="30" t="str">
        <f aca="false">IF($C113="","",IFERROR(IF(INDEX(links!$B$2:$B$501,MATCH($C113,links!$D$2:$D$501,0))="","",INDEX(links!$B$2:$B$501,MATCH($C113,links!$D$2:$D$501,0))),""))</f>
        <v/>
      </c>
      <c r="I113" s="30" t="str">
        <f aca="false">IF($C113="","",IFERROR(IF(INDEX(links!$C$2:$C$501,MATCH($C113,links!$D$2:$D$501,0))="","",INDEX(links!$C$2:$C$501,MATCH($C113,links!$D$2:$D$501,0))),""))</f>
        <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c r="B114" s="38"/>
      <c r="D114" s="10"/>
      <c r="G114" s="30" t="str">
        <f aca="false">IF($C114="","",IFERROR(IF(INDEX(links!$A$2:$A$501,MATCH($C114,links!$D$2:$D$501,0))="","",INDEX(links!$A$2:$A$501,MATCH($C114,links!$D$2:$D$501,0))),""))</f>
        <v/>
      </c>
      <c r="H114" s="30" t="str">
        <f aca="false">IF($C114="","",IFERROR(IF(INDEX(links!$B$2:$B$501,MATCH($C114,links!$D$2:$D$501,0))="","",INDEX(links!$B$2:$B$501,MATCH($C114,links!$D$2:$D$501,0))),""))</f>
        <v/>
      </c>
      <c r="I114" s="30" t="str">
        <f aca="false">IF($C114="","",IFERROR(IF(INDEX(links!$C$2:$C$501,MATCH($C114,links!$D$2:$D$501,0))="","",INDEX(links!$C$2:$C$501,MATCH($C114,links!$D$2:$D$501,0))),""))</f>
        <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c r="B115" s="38"/>
      <c r="D115" s="10"/>
      <c r="G115" s="30" t="str">
        <f aca="false">IF($C115="","",IFERROR(IF(INDEX(links!$A$2:$A$501,MATCH($C115,links!$D$2:$D$501,0))="","",INDEX(links!$A$2:$A$501,MATCH($C115,links!$D$2:$D$501,0))),""))</f>
        <v/>
      </c>
      <c r="H115" s="30" t="str">
        <f aca="false">IF($C115="","",IFERROR(IF(INDEX(links!$B$2:$B$501,MATCH($C115,links!$D$2:$D$501,0))="","",INDEX(links!$B$2:$B$501,MATCH($C115,links!$D$2:$D$501,0))),""))</f>
        <v/>
      </c>
      <c r="I115" s="30" t="str">
        <f aca="false">IF($C115="","",IFERROR(IF(INDEX(links!$C$2:$C$501,MATCH($C115,links!$D$2:$D$501,0))="","",INDEX(links!$C$2:$C$501,MATCH($C115,links!$D$2:$D$501,0))),""))</f>
        <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c r="B116" s="38"/>
      <c r="D116" s="10"/>
      <c r="G116" s="30" t="str">
        <f aca="false">IF($C116="","",IFERROR(IF(INDEX(links!$A$2:$A$501,MATCH($C116,links!$D$2:$D$501,0))="","",INDEX(links!$A$2:$A$501,MATCH($C116,links!$D$2:$D$501,0))),""))</f>
        <v/>
      </c>
      <c r="H116" s="30" t="str">
        <f aca="false">IF($C116="","",IFERROR(IF(INDEX(links!$B$2:$B$501,MATCH($C116,links!$D$2:$D$501,0))="","",INDEX(links!$B$2:$B$501,MATCH($C116,links!$D$2:$D$501,0))),""))</f>
        <v/>
      </c>
      <c r="I116" s="30" t="str">
        <f aca="false">IF($C116="","",IFERROR(IF(INDEX(links!$C$2:$C$501,MATCH($C116,links!$D$2:$D$501,0))="","",INDEX(links!$C$2:$C$501,MATCH($C116,links!$D$2:$D$501,0))),""))</f>
        <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c r="B117" s="38"/>
      <c r="D117" s="10"/>
      <c r="G117" s="30" t="str">
        <f aca="false">IF($C117="","",IFERROR(IF(INDEX(links!$A$2:$A$501,MATCH($C117,links!$D$2:$D$501,0))="","",INDEX(links!$A$2:$A$501,MATCH($C117,links!$D$2:$D$501,0))),""))</f>
        <v/>
      </c>
      <c r="H117" s="30" t="str">
        <f aca="false">IF($C117="","",IFERROR(IF(INDEX(links!$B$2:$B$501,MATCH($C117,links!$D$2:$D$501,0))="","",INDEX(links!$B$2:$B$501,MATCH($C117,links!$D$2:$D$501,0))),""))</f>
        <v/>
      </c>
      <c r="I117" s="30" t="str">
        <f aca="false">IF($C117="","",IFERROR(IF(INDEX(links!$C$2:$C$501,MATCH($C117,links!$D$2:$D$501,0))="","",INDEX(links!$C$2:$C$501,MATCH($C117,links!$D$2:$D$501,0))),""))</f>
        <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c r="B118" s="38"/>
      <c r="D118" s="10"/>
      <c r="G118" s="30" t="str">
        <f aca="false">IF($C118="","",IFERROR(IF(INDEX(links!$A$2:$A$501,MATCH($C118,links!$D$2:$D$501,0))="","",INDEX(links!$A$2:$A$501,MATCH($C118,links!$D$2:$D$501,0))),""))</f>
        <v/>
      </c>
      <c r="H118" s="30" t="str">
        <f aca="false">IF($C118="","",IFERROR(IF(INDEX(links!$B$2:$B$501,MATCH($C118,links!$D$2:$D$501,0))="","",INDEX(links!$B$2:$B$501,MATCH($C118,links!$D$2:$D$501,0))),""))</f>
        <v/>
      </c>
      <c r="I118" s="30" t="str">
        <f aca="false">IF($C118="","",IFERROR(IF(INDEX(links!$C$2:$C$501,MATCH($C118,links!$D$2:$D$501,0))="","",INDEX(links!$C$2:$C$501,MATCH($C118,links!$D$2:$D$501,0))),""))</f>
        <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c r="B119" s="38"/>
      <c r="D119" s="10"/>
      <c r="G119" s="30" t="str">
        <f aca="false">IF($C119="","",IFERROR(IF(INDEX(links!$A$2:$A$501,MATCH($C119,links!$D$2:$D$501,0))="","",INDEX(links!$A$2:$A$501,MATCH($C119,links!$D$2:$D$501,0))),""))</f>
        <v/>
      </c>
      <c r="H119" s="30" t="str">
        <f aca="false">IF($C119="","",IFERROR(IF(INDEX(links!$B$2:$B$501,MATCH($C119,links!$D$2:$D$501,0))="","",INDEX(links!$B$2:$B$501,MATCH($C119,links!$D$2:$D$501,0))),""))</f>
        <v/>
      </c>
      <c r="I119" s="30" t="str">
        <f aca="false">IF($C119="","",IFERROR(IF(INDEX(links!$C$2:$C$501,MATCH($C119,links!$D$2:$D$501,0))="","",INDEX(links!$C$2:$C$501,MATCH($C119,links!$D$2:$D$501,0))),""))</f>
        <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c r="B120" s="38"/>
      <c r="D120" s="10"/>
      <c r="G120" s="30" t="str">
        <f aca="false">IF($C120="","",IFERROR(IF(INDEX(links!$A$2:$A$501,MATCH($C120,links!$D$2:$D$501,0))="","",INDEX(links!$A$2:$A$501,MATCH($C120,links!$D$2:$D$501,0))),""))</f>
        <v/>
      </c>
      <c r="H120" s="30" t="str">
        <f aca="false">IF($C120="","",IFERROR(IF(INDEX(links!$B$2:$B$501,MATCH($C120,links!$D$2:$D$501,0))="","",INDEX(links!$B$2:$B$501,MATCH($C120,links!$D$2:$D$501,0))),""))</f>
        <v/>
      </c>
      <c r="I120" s="30" t="str">
        <f aca="false">IF($C120="","",IFERROR(IF(INDEX(links!$C$2:$C$501,MATCH($C120,links!$D$2:$D$501,0))="","",INDEX(links!$C$2:$C$501,MATCH($C120,links!$D$2:$D$501,0))),""))</f>
        <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c r="B121" s="38"/>
      <c r="D121" s="10"/>
      <c r="G121" s="30" t="str">
        <f aca="false">IF($C121="","",IFERROR(IF(INDEX(links!$A$2:$A$501,MATCH($C121,links!$D$2:$D$501,0))="","",INDEX(links!$A$2:$A$501,MATCH($C121,links!$D$2:$D$501,0))),""))</f>
        <v/>
      </c>
      <c r="H121" s="30" t="str">
        <f aca="false">IF($C121="","",IFERROR(IF(INDEX(links!$B$2:$B$501,MATCH($C121,links!$D$2:$D$501,0))="","",INDEX(links!$B$2:$B$501,MATCH($C121,links!$D$2:$D$501,0))),""))</f>
        <v/>
      </c>
      <c r="I121" s="30" t="str">
        <f aca="false">IF($C121="","",IFERROR(IF(INDEX(links!$C$2:$C$501,MATCH($C121,links!$D$2:$D$501,0))="","",INDEX(links!$C$2:$C$501,MATCH($C121,links!$D$2:$D$501,0))),""))</f>
        <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c r="B122" s="38"/>
      <c r="D122" s="10"/>
      <c r="G122" s="30" t="str">
        <f aca="false">IF($C122="","",IFERROR(IF(INDEX(links!$A$2:$A$501,MATCH($C122,links!$D$2:$D$501,0))="","",INDEX(links!$A$2:$A$501,MATCH($C122,links!$D$2:$D$501,0))),""))</f>
        <v/>
      </c>
      <c r="H122" s="30" t="str">
        <f aca="false">IF($C122="","",IFERROR(IF(INDEX(links!$B$2:$B$501,MATCH($C122,links!$D$2:$D$501,0))="","",INDEX(links!$B$2:$B$501,MATCH($C122,links!$D$2:$D$501,0))),""))</f>
        <v/>
      </c>
      <c r="I122" s="30" t="str">
        <f aca="false">IF($C122="","",IFERROR(IF(INDEX(links!$C$2:$C$501,MATCH($C122,links!$D$2:$D$501,0))="","",INDEX(links!$C$2:$C$501,MATCH($C122,links!$D$2:$D$501,0))),""))</f>
        <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c r="B123" s="38"/>
      <c r="D123" s="10"/>
      <c r="G123" s="30" t="str">
        <f aca="false">IF($C123="","",IFERROR(IF(INDEX(links!$A$2:$A$501,MATCH($C123,links!$D$2:$D$501,0))="","",INDEX(links!$A$2:$A$501,MATCH($C123,links!$D$2:$D$501,0))),""))</f>
        <v/>
      </c>
      <c r="H123" s="30" t="str">
        <f aca="false">IF($C123="","",IFERROR(IF(INDEX(links!$B$2:$B$501,MATCH($C123,links!$D$2:$D$501,0))="","",INDEX(links!$B$2:$B$501,MATCH($C123,links!$D$2:$D$501,0))),""))</f>
        <v/>
      </c>
      <c r="I123" s="30" t="str">
        <f aca="false">IF($C123="","",IFERROR(IF(INDEX(links!$C$2:$C$501,MATCH($C123,links!$D$2:$D$501,0))="","",INDEX(links!$C$2:$C$501,MATCH($C123,links!$D$2:$D$501,0))),""))</f>
        <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c r="B124" s="38"/>
      <c r="D124" s="10"/>
      <c r="G124" s="30" t="str">
        <f aca="false">IF($C124="","",IFERROR(IF(INDEX(links!$A$2:$A$501,MATCH($C124,links!$D$2:$D$501,0))="","",INDEX(links!$A$2:$A$501,MATCH($C124,links!$D$2:$D$501,0))),""))</f>
        <v/>
      </c>
      <c r="H124" s="30" t="str">
        <f aca="false">IF($C124="","",IFERROR(IF(INDEX(links!$B$2:$B$501,MATCH($C124,links!$D$2:$D$501,0))="","",INDEX(links!$B$2:$B$501,MATCH($C124,links!$D$2:$D$501,0))),""))</f>
        <v/>
      </c>
      <c r="I124" s="30" t="str">
        <f aca="false">IF($C124="","",IFERROR(IF(INDEX(links!$C$2:$C$501,MATCH($C124,links!$D$2:$D$501,0))="","",INDEX(links!$C$2:$C$501,MATCH($C124,links!$D$2:$D$501,0))),""))</f>
        <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c r="B125" s="38"/>
      <c r="D125" s="10"/>
      <c r="G125" s="30" t="str">
        <f aca="false">IF($C125="","",IFERROR(IF(INDEX(links!$A$2:$A$501,MATCH($C125,links!$D$2:$D$501,0))="","",INDEX(links!$A$2:$A$501,MATCH($C125,links!$D$2:$D$501,0))),""))</f>
        <v/>
      </c>
      <c r="H125" s="30" t="str">
        <f aca="false">IF($C125="","",IFERROR(IF(INDEX(links!$B$2:$B$501,MATCH($C125,links!$D$2:$D$501,0))="","",INDEX(links!$B$2:$B$501,MATCH($C125,links!$D$2:$D$501,0))),""))</f>
        <v/>
      </c>
      <c r="I125" s="30" t="str">
        <f aca="false">IF($C125="","",IFERROR(IF(INDEX(links!$C$2:$C$501,MATCH($C125,links!$D$2:$D$501,0))="","",INDEX(links!$C$2:$C$501,MATCH($C125,links!$D$2:$D$501,0))),""))</f>
        <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c r="B126" s="38"/>
      <c r="D126" s="10"/>
      <c r="G126" s="30" t="str">
        <f aca="false">IF($C126="","",IFERROR(IF(INDEX(links!$A$2:$A$501,MATCH($C126,links!$D$2:$D$501,0))="","",INDEX(links!$A$2:$A$501,MATCH($C126,links!$D$2:$D$501,0))),""))</f>
        <v/>
      </c>
      <c r="H126" s="30" t="str">
        <f aca="false">IF($C126="","",IFERROR(IF(INDEX(links!$B$2:$B$501,MATCH($C126,links!$D$2:$D$501,0))="","",INDEX(links!$B$2:$B$501,MATCH($C126,links!$D$2:$D$501,0))),""))</f>
        <v/>
      </c>
      <c r="I126" s="30" t="str">
        <f aca="false">IF($C126="","",IFERROR(IF(INDEX(links!$C$2:$C$501,MATCH($C126,links!$D$2:$D$501,0))="","",INDEX(links!$C$2:$C$501,MATCH($C126,links!$D$2:$D$501,0))),""))</f>
        <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c r="B127" s="38"/>
      <c r="D127" s="10"/>
      <c r="G127" s="30" t="str">
        <f aca="false">IF($C127="","",IFERROR(IF(INDEX(links!$A$2:$A$501,MATCH($C127,links!$D$2:$D$501,0))="","",INDEX(links!$A$2:$A$501,MATCH($C127,links!$D$2:$D$501,0))),""))</f>
        <v/>
      </c>
      <c r="H127" s="30" t="str">
        <f aca="false">IF($C127="","",IFERROR(IF(INDEX(links!$B$2:$B$501,MATCH($C127,links!$D$2:$D$501,0))="","",INDEX(links!$B$2:$B$501,MATCH($C127,links!$D$2:$D$501,0))),""))</f>
        <v/>
      </c>
      <c r="I127" s="30" t="str">
        <f aca="false">IF($C127="","",IFERROR(IF(INDEX(links!$C$2:$C$501,MATCH($C127,links!$D$2:$D$501,0))="","",INDEX(links!$C$2:$C$501,MATCH($C127,links!$D$2:$D$501,0))),""))</f>
        <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c r="B128" s="38"/>
      <c r="D128" s="10"/>
      <c r="G128" s="30" t="str">
        <f aca="false">IF($C128="","",IFERROR(IF(INDEX(links!$A$2:$A$501,MATCH($C128,links!$D$2:$D$501,0))="","",INDEX(links!$A$2:$A$501,MATCH($C128,links!$D$2:$D$501,0))),""))</f>
        <v/>
      </c>
      <c r="H128" s="30" t="str">
        <f aca="false">IF($C128="","",IFERROR(IF(INDEX(links!$B$2:$B$501,MATCH($C128,links!$D$2:$D$501,0))="","",INDEX(links!$B$2:$B$501,MATCH($C128,links!$D$2:$D$501,0))),""))</f>
        <v/>
      </c>
      <c r="I128" s="30" t="str">
        <f aca="false">IF($C128="","",IFERROR(IF(INDEX(links!$C$2:$C$501,MATCH($C128,links!$D$2:$D$501,0))="","",INDEX(links!$C$2:$C$501,MATCH($C128,links!$D$2:$D$501,0))),""))</f>
        <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c r="B129" s="38"/>
      <c r="D129" s="10"/>
      <c r="G129" s="30" t="str">
        <f aca="false">IF($C129="","",IFERROR(IF(INDEX(links!$A$2:$A$501,MATCH($C129,links!$D$2:$D$501,0))="","",INDEX(links!$A$2:$A$501,MATCH($C129,links!$D$2:$D$501,0))),""))</f>
        <v/>
      </c>
      <c r="H129" s="30" t="str">
        <f aca="false">IF($C129="","",IFERROR(IF(INDEX(links!$B$2:$B$501,MATCH($C129,links!$D$2:$D$501,0))="","",INDEX(links!$B$2:$B$501,MATCH($C129,links!$D$2:$D$501,0))),""))</f>
        <v/>
      </c>
      <c r="I129" s="30" t="str">
        <f aca="false">IF($C129="","",IFERROR(IF(INDEX(links!$C$2:$C$501,MATCH($C129,links!$D$2:$D$501,0))="","",INDEX(links!$C$2:$C$501,MATCH($C129,links!$D$2:$D$501,0))),""))</f>
        <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c r="B130" s="38"/>
      <c r="D130" s="10"/>
      <c r="G130" s="30" t="str">
        <f aca="false">IF($C130="","",IFERROR(IF(INDEX(links!$A$2:$A$501,MATCH($C130,links!$D$2:$D$501,0))="","",INDEX(links!$A$2:$A$501,MATCH($C130,links!$D$2:$D$501,0))),""))</f>
        <v/>
      </c>
      <c r="H130" s="30" t="str">
        <f aca="false">IF($C130="","",IFERROR(IF(INDEX(links!$B$2:$B$501,MATCH($C130,links!$D$2:$D$501,0))="","",INDEX(links!$B$2:$B$501,MATCH($C130,links!$D$2:$D$501,0))),""))</f>
        <v/>
      </c>
      <c r="I130" s="30" t="str">
        <f aca="false">IF($C130="","",IFERROR(IF(INDEX(links!$C$2:$C$501,MATCH($C130,links!$D$2:$D$501,0))="","",INDEX(links!$C$2:$C$501,MATCH($C130,links!$D$2:$D$501,0))),""))</f>
        <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c r="B131" s="38"/>
      <c r="D131" s="10"/>
      <c r="G131" s="30" t="str">
        <f aca="false">IF($C131="","",IFERROR(IF(INDEX(links!$A$2:$A$501,MATCH($C131,links!$D$2:$D$501,0))="","",INDEX(links!$A$2:$A$501,MATCH($C131,links!$D$2:$D$501,0))),""))</f>
        <v/>
      </c>
      <c r="H131" s="30" t="str">
        <f aca="false">IF($C131="","",IFERROR(IF(INDEX(links!$B$2:$B$501,MATCH($C131,links!$D$2:$D$501,0))="","",INDEX(links!$B$2:$B$501,MATCH($C131,links!$D$2:$D$501,0))),""))</f>
        <v/>
      </c>
      <c r="I131" s="30" t="str">
        <f aca="false">IF($C131="","",IFERROR(IF(INDEX(links!$C$2:$C$501,MATCH($C131,links!$D$2:$D$501,0))="","",INDEX(links!$C$2:$C$501,MATCH($C131,links!$D$2:$D$501,0))),""))</f>
        <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c r="B132" s="38"/>
      <c r="D132" s="10"/>
      <c r="G132" s="30" t="str">
        <f aca="false">IF($C132="","",IFERROR(IF(INDEX(links!$A$2:$A$501,MATCH($C132,links!$D$2:$D$501,0))="","",INDEX(links!$A$2:$A$501,MATCH($C132,links!$D$2:$D$501,0))),""))</f>
        <v/>
      </c>
      <c r="H132" s="30" t="str">
        <f aca="false">IF($C132="","",IFERROR(IF(INDEX(links!$B$2:$B$501,MATCH($C132,links!$D$2:$D$501,0))="","",INDEX(links!$B$2:$B$501,MATCH($C132,links!$D$2:$D$501,0))),""))</f>
        <v/>
      </c>
      <c r="I132" s="30" t="str">
        <f aca="false">IF($C132="","",IFERROR(IF(INDEX(links!$C$2:$C$501,MATCH($C132,links!$D$2:$D$501,0))="","",INDEX(links!$C$2:$C$501,MATCH($C132,links!$D$2:$D$501,0))),""))</f>
        <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c r="B133" s="38"/>
      <c r="D133" s="10"/>
      <c r="G133" s="30" t="str">
        <f aca="false">IF($C133="","",IFERROR(IF(INDEX(links!$A$2:$A$501,MATCH($C133,links!$D$2:$D$501,0))="","",INDEX(links!$A$2:$A$501,MATCH($C133,links!$D$2:$D$501,0))),""))</f>
        <v/>
      </c>
      <c r="H133" s="30" t="str">
        <f aca="false">IF($C133="","",IFERROR(IF(INDEX(links!$B$2:$B$501,MATCH($C133,links!$D$2:$D$501,0))="","",INDEX(links!$B$2:$B$501,MATCH($C133,links!$D$2:$D$501,0))),""))</f>
        <v/>
      </c>
      <c r="I133" s="30" t="str">
        <f aca="false">IF($C133="","",IFERROR(IF(INDEX(links!$C$2:$C$501,MATCH($C133,links!$D$2:$D$501,0))="","",INDEX(links!$C$2:$C$501,MATCH($C133,links!$D$2:$D$501,0))),""))</f>
        <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c r="B134" s="38"/>
      <c r="D134" s="10"/>
      <c r="G134" s="30" t="str">
        <f aca="false">IF($C134="","",IFERROR(IF(INDEX(links!$A$2:$A$501,MATCH($C134,links!$D$2:$D$501,0))="","",INDEX(links!$A$2:$A$501,MATCH($C134,links!$D$2:$D$501,0))),""))</f>
        <v/>
      </c>
      <c r="H134" s="30" t="str">
        <f aca="false">IF($C134="","",IFERROR(IF(INDEX(links!$B$2:$B$501,MATCH($C134,links!$D$2:$D$501,0))="","",INDEX(links!$B$2:$B$501,MATCH($C134,links!$D$2:$D$501,0))),""))</f>
        <v/>
      </c>
      <c r="I134" s="30" t="str">
        <f aca="false">IF($C134="","",IFERROR(IF(INDEX(links!$C$2:$C$501,MATCH($C134,links!$D$2:$D$501,0))="","",INDEX(links!$C$2:$C$501,MATCH($C134,links!$D$2:$D$501,0))),""))</f>
        <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c r="B135" s="38"/>
      <c r="D135" s="10"/>
      <c r="G135" s="30" t="str">
        <f aca="false">IF($C135="","",IFERROR(IF(INDEX(links!$A$2:$A$501,MATCH($C135,links!$D$2:$D$501,0))="","",INDEX(links!$A$2:$A$501,MATCH($C135,links!$D$2:$D$501,0))),""))</f>
        <v/>
      </c>
      <c r="H135" s="30" t="str">
        <f aca="false">IF($C135="","",IFERROR(IF(INDEX(links!$B$2:$B$501,MATCH($C135,links!$D$2:$D$501,0))="","",INDEX(links!$B$2:$B$501,MATCH($C135,links!$D$2:$D$501,0))),""))</f>
        <v/>
      </c>
      <c r="I135" s="30" t="str">
        <f aca="false">IF($C135="","",IFERROR(IF(INDEX(links!$C$2:$C$501,MATCH($C135,links!$D$2:$D$501,0))="","",INDEX(links!$C$2:$C$501,MATCH($C135,links!$D$2:$D$501,0))),""))</f>
        <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c r="B136" s="38"/>
      <c r="D136" s="10"/>
      <c r="G136" s="30" t="str">
        <f aca="false">IF($C136="","",IFERROR(IF(INDEX(links!$A$2:$A$501,MATCH($C136,links!$D$2:$D$501,0))="","",INDEX(links!$A$2:$A$501,MATCH($C136,links!$D$2:$D$501,0))),""))</f>
        <v/>
      </c>
      <c r="H136" s="30" t="str">
        <f aca="false">IF($C136="","",IFERROR(IF(INDEX(links!$B$2:$B$501,MATCH($C136,links!$D$2:$D$501,0))="","",INDEX(links!$B$2:$B$501,MATCH($C136,links!$D$2:$D$501,0))),""))</f>
        <v/>
      </c>
      <c r="I136" s="30" t="str">
        <f aca="false">IF($C136="","",IFERROR(IF(INDEX(links!$C$2:$C$501,MATCH($C136,links!$D$2:$D$501,0))="","",INDEX(links!$C$2:$C$501,MATCH($C136,links!$D$2:$D$501,0))),""))</f>
        <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c r="B137" s="38"/>
      <c r="D137" s="10"/>
      <c r="G137" s="30" t="str">
        <f aca="false">IF($C137="","",IFERROR(IF(INDEX(links!$A$2:$A$501,MATCH($C137,links!$D$2:$D$501,0))="","",INDEX(links!$A$2:$A$501,MATCH($C137,links!$D$2:$D$501,0))),""))</f>
        <v/>
      </c>
      <c r="H137" s="30" t="str">
        <f aca="false">IF($C137="","",IFERROR(IF(INDEX(links!$B$2:$B$501,MATCH($C137,links!$D$2:$D$501,0))="","",INDEX(links!$B$2:$B$501,MATCH($C137,links!$D$2:$D$501,0))),""))</f>
        <v/>
      </c>
      <c r="I137" s="30" t="str">
        <f aca="false">IF($C137="","",IFERROR(IF(INDEX(links!$C$2:$C$501,MATCH($C137,links!$D$2:$D$501,0))="","",INDEX(links!$C$2:$C$501,MATCH($C137,links!$D$2:$D$501,0))),""))</f>
        <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c r="B138" s="38"/>
      <c r="D138" s="10"/>
      <c r="G138" s="30" t="str">
        <f aca="false">IF($C138="","",IFERROR(IF(INDEX(links!$A$2:$A$501,MATCH($C138,links!$D$2:$D$501,0))="","",INDEX(links!$A$2:$A$501,MATCH($C138,links!$D$2:$D$501,0))),""))</f>
        <v/>
      </c>
      <c r="H138" s="30" t="str">
        <f aca="false">IF($C138="","",IFERROR(IF(INDEX(links!$B$2:$B$501,MATCH($C138,links!$D$2:$D$501,0))="","",INDEX(links!$B$2:$B$501,MATCH($C138,links!$D$2:$D$501,0))),""))</f>
        <v/>
      </c>
      <c r="I138" s="30" t="str">
        <f aca="false">IF($C138="","",IFERROR(IF(INDEX(links!$C$2:$C$501,MATCH($C138,links!$D$2:$D$501,0))="","",INDEX(links!$C$2:$C$501,MATCH($C138,links!$D$2:$D$501,0))),""))</f>
        <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c r="B139" s="38"/>
      <c r="D139" s="10"/>
      <c r="G139" s="30" t="str">
        <f aca="false">IF($C139="","",IFERROR(IF(INDEX(links!$A$2:$A$501,MATCH($C139,links!$D$2:$D$501,0))="","",INDEX(links!$A$2:$A$501,MATCH($C139,links!$D$2:$D$501,0))),""))</f>
        <v/>
      </c>
      <c r="H139" s="30" t="str">
        <f aca="false">IF($C139="","",IFERROR(IF(INDEX(links!$B$2:$B$501,MATCH($C139,links!$D$2:$D$501,0))="","",INDEX(links!$B$2:$B$501,MATCH($C139,links!$D$2:$D$501,0))),""))</f>
        <v/>
      </c>
      <c r="I139" s="30" t="str">
        <f aca="false">IF($C139="","",IFERROR(IF(INDEX(links!$C$2:$C$501,MATCH($C139,links!$D$2:$D$501,0))="","",INDEX(links!$C$2:$C$501,MATCH($C139,links!$D$2:$D$501,0))),""))</f>
        <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346</v>
      </c>
      <c r="B1" s="28" t="s">
        <v>769</v>
      </c>
      <c r="C1" s="28" t="s">
        <v>770</v>
      </c>
      <c r="D1" s="28" t="s">
        <v>771</v>
      </c>
      <c r="E1" s="28" t="s">
        <v>772</v>
      </c>
      <c r="F1" s="28" t="s">
        <v>175</v>
      </c>
      <c r="G1" s="29" t="s">
        <v>773</v>
      </c>
      <c r="H1" s="29" t="s">
        <v>774</v>
      </c>
    </row>
    <row r="2" customFormat="false" ht="15" hidden="false" customHeight="false" outlineLevel="0" collapsed="false">
      <c r="B2" s="11"/>
      <c r="D2" s="11"/>
      <c r="G2" s="30" t="str">
        <f aca="false">IF(OR($A2="",$B2="",IFERROR(IF(INDEX(campaigns!$BG$2:$BG$51,MATCH($A2,campaigns!$A$2:$A$51,0))="","",INDEX(campaigns!$BG$2:$BG$51,MATCH($A2,campaigns!$A$2:$A$51,0))),"")=""),"",$B2-N(IFERROR(IF(INDEX(campaigns!$BG$2:$BG$51,MATCH($A2,campaigns!$A$2:$A$51,0))="","",INDEX(campaigns!$BG$2:$BG$51,MATCH($A2,campaigns!$A$2:$A$51,0))),"")))</f>
        <v/>
      </c>
      <c r="H2" s="30" t="str">
        <f aca="false">IF($G2="","",IF($G2&gt;=30,"Y","N"))</f>
        <v/>
      </c>
    </row>
    <row r="3" customFormat="false" ht="15" hidden="false" customHeight="false" outlineLevel="0" collapsed="false">
      <c r="B3" s="11"/>
      <c r="D3" s="11"/>
      <c r="G3" s="30" t="str">
        <f aca="false">IF(OR($A3="",$B3="",IFERROR(IF(INDEX(campaigns!$BG$2:$BG$51,MATCH($A3,campaigns!$A$2:$A$51,0))="","",INDEX(campaigns!$BG$2:$BG$51,MATCH($A3,campaigns!$A$2:$A$51,0))),"")=""),"",$B3-N(IFERROR(IF(INDEX(campaigns!$BG$2:$BG$51,MATCH($A3,campaigns!$A$2:$A$51,0))="","",INDEX(campaigns!$BG$2:$BG$51,MATCH($A3,campaigns!$A$2:$A$51,0))),"")))</f>
        <v/>
      </c>
      <c r="H3" s="30" t="str">
        <f aca="false">IF($G3="","",IF($G3&gt;=30,"Y","N"))</f>
        <v/>
      </c>
    </row>
    <row r="4" customFormat="false" ht="15" hidden="false" customHeight="false" outlineLevel="0" collapsed="false">
      <c r="B4" s="11"/>
      <c r="D4" s="11"/>
      <c r="G4" s="30" t="str">
        <f aca="false">IF(OR($A4="",$B4="",IFERROR(IF(INDEX(campaigns!$BG$2:$BG$51,MATCH($A4,campaigns!$A$2:$A$51,0))="","",INDEX(campaigns!$BG$2:$BG$51,MATCH($A4,campaigns!$A$2:$A$51,0))),"")=""),"",$B4-N(IFERROR(IF(INDEX(campaigns!$BG$2:$BG$51,MATCH($A4,campaigns!$A$2:$A$51,0))="","",INDEX(campaigns!$BG$2:$BG$51,MATCH($A4,campaigns!$A$2:$A$51,0))),"")))</f>
        <v/>
      </c>
      <c r="H4" s="30" t="str">
        <f aca="false">IF($G4="","",IF($G4&gt;=30,"Y","N"))</f>
        <v/>
      </c>
    </row>
    <row r="5" customFormat="false" ht="15" hidden="false" customHeight="false" outlineLevel="0" collapsed="false">
      <c r="B5" s="11"/>
      <c r="D5" s="11"/>
      <c r="G5" s="30" t="str">
        <f aca="false">IF(OR($A5="",$B5="",IFERROR(IF(INDEX(campaigns!$BG$2:$BG$51,MATCH($A5,campaigns!$A$2:$A$51,0))="","",INDEX(campaigns!$BG$2:$BG$51,MATCH($A5,campaigns!$A$2:$A$51,0))),"")=""),"",$B5-N(IFERROR(IF(INDEX(campaigns!$BG$2:$BG$51,MATCH($A5,campaigns!$A$2:$A$51,0))="","",INDEX(campaigns!$BG$2:$BG$51,MATCH($A5,campaigns!$A$2:$A$51,0))),"")))</f>
        <v/>
      </c>
      <c r="H5" s="30" t="str">
        <f aca="false">IF($G5="","",IF($G5&gt;=30,"Y","N"))</f>
        <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775</v>
      </c>
      <c r="B1" s="28" t="s">
        <v>75</v>
      </c>
      <c r="C1" s="28" t="s">
        <v>676</v>
      </c>
      <c r="D1" s="28" t="s">
        <v>296</v>
      </c>
      <c r="E1" s="28" t="s">
        <v>346</v>
      </c>
      <c r="F1" s="28" t="s">
        <v>561</v>
      </c>
      <c r="G1" s="28" t="s">
        <v>776</v>
      </c>
      <c r="H1" s="28" t="s">
        <v>777</v>
      </c>
      <c r="I1" s="28" t="s">
        <v>778</v>
      </c>
      <c r="J1" s="28" t="s">
        <v>779</v>
      </c>
      <c r="K1" s="28" t="s">
        <v>780</v>
      </c>
      <c r="L1" s="28" t="s">
        <v>781</v>
      </c>
      <c r="M1" s="28" t="s">
        <v>175</v>
      </c>
      <c r="N1" s="29" t="s">
        <v>782</v>
      </c>
      <c r="O1" s="29" t="s">
        <v>118</v>
      </c>
    </row>
    <row r="2" customFormat="false" ht="15" hidden="false" customHeight="false" outlineLevel="0" collapsed="false">
      <c r="A2" s="0" t="s">
        <v>783</v>
      </c>
      <c r="B2" s="11" t="n">
        <v>46386</v>
      </c>
      <c r="C2" s="38" t="n">
        <v>0.479166666666667</v>
      </c>
      <c r="D2" s="10" t="s">
        <v>334</v>
      </c>
      <c r="E2" s="10" t="s">
        <v>478</v>
      </c>
      <c r="G2" s="10" t="s">
        <v>784</v>
      </c>
      <c r="H2" s="10" t="s">
        <v>785</v>
      </c>
      <c r="I2" s="10" t="s">
        <v>786</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787</v>
      </c>
      <c r="B3" s="11" t="n">
        <v>46399</v>
      </c>
      <c r="C3" s="38" t="n">
        <v>0.452777777777778</v>
      </c>
      <c r="D3" s="10" t="s">
        <v>334</v>
      </c>
      <c r="F3" s="10" t="s">
        <v>602</v>
      </c>
      <c r="G3" s="10" t="s">
        <v>788</v>
      </c>
      <c r="H3" s="10" t="s">
        <v>789</v>
      </c>
      <c r="I3" s="10" t="s">
        <v>790</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791</v>
      </c>
      <c r="B4" s="11" t="n">
        <v>46400</v>
      </c>
      <c r="C4" s="38" t="n">
        <v>0.708333333333333</v>
      </c>
      <c r="D4" s="10" t="s">
        <v>334</v>
      </c>
      <c r="E4" s="10" t="s">
        <v>459</v>
      </c>
      <c r="F4" s="10" t="s">
        <v>602</v>
      </c>
      <c r="G4" s="10" t="s">
        <v>792</v>
      </c>
      <c r="H4" s="10" t="s">
        <v>793</v>
      </c>
      <c r="I4" s="10" t="s">
        <v>794</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795</v>
      </c>
      <c r="B5" s="11" t="n">
        <v>46395</v>
      </c>
      <c r="C5" s="38" t="n">
        <v>0.416666666666667</v>
      </c>
      <c r="D5" s="10" t="s">
        <v>341</v>
      </c>
      <c r="E5" s="10" t="s">
        <v>498</v>
      </c>
      <c r="F5" s="10" t="s">
        <v>608</v>
      </c>
      <c r="G5" s="10" t="s">
        <v>796</v>
      </c>
      <c r="H5" s="10" t="s">
        <v>797</v>
      </c>
      <c r="I5" s="10" t="s">
        <v>798</v>
      </c>
      <c r="J5" s="11" t="n">
        <v>46395</v>
      </c>
      <c r="K5" s="11" t="n">
        <v>46395</v>
      </c>
      <c r="L5" s="11" t="n">
        <v>46428</v>
      </c>
      <c r="N5" s="30" t="n">
        <f aca="true">IF($B5="","",IF($L5="",IF(config!$B$37&lt;&gt;"",config!$B$37,TODAY())-$B5,$L5-$B5))</f>
        <v>33</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B6" s="11"/>
      <c r="C6" s="38"/>
      <c r="G6" s="10"/>
      <c r="J6" s="11"/>
      <c r="K6" s="11"/>
      <c r="L6" s="11"/>
      <c r="N6" s="30" t="str">
        <f aca="true">IF($B6="","",IF($L6="",IF(config!$B$37&lt;&gt;"",config!$B$37,TODAY())-$B6,$L6-$B6))</f>
        <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8"/>
      <c r="G7" s="10"/>
      <c r="J7" s="11"/>
      <c r="K7" s="11"/>
      <c r="L7" s="11"/>
      <c r="N7" s="30" t="str">
        <f aca="true">IF($B7="","",IF($L7="",IF(config!$B$37&lt;&gt;"",config!$B$37,TODAY())-$B7,$L7-$B7))</f>
        <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75</v>
      </c>
      <c r="B1" s="28" t="s">
        <v>296</v>
      </c>
      <c r="C1" s="28" t="s">
        <v>346</v>
      </c>
      <c r="D1" s="28" t="s">
        <v>121</v>
      </c>
      <c r="E1" s="28" t="s">
        <v>328</v>
      </c>
      <c r="F1" s="28" t="s">
        <v>175</v>
      </c>
      <c r="G1" s="29" t="s">
        <v>118</v>
      </c>
    </row>
    <row r="2" customFormat="false" ht="15" hidden="false" customHeight="false" outlineLevel="0" collapsed="false">
      <c r="A2" s="11" t="n">
        <v>46322</v>
      </c>
      <c r="D2" s="10" t="s">
        <v>125</v>
      </c>
      <c r="E2" s="12" t="n">
        <v>1.5</v>
      </c>
      <c r="F2" s="10" t="s">
        <v>799</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124</v>
      </c>
      <c r="E3" s="12" t="n">
        <v>1.5</v>
      </c>
      <c r="F3" s="10" t="s">
        <v>799</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125</v>
      </c>
      <c r="E4" s="12" t="n">
        <v>1.5</v>
      </c>
      <c r="F4" s="10" t="s">
        <v>799</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124</v>
      </c>
      <c r="E5" s="12" t="n">
        <v>1.5</v>
      </c>
      <c r="F5" s="10" t="s">
        <v>799</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125</v>
      </c>
      <c r="E6" s="12" t="n">
        <v>1.5</v>
      </c>
      <c r="F6" s="10" t="s">
        <v>799</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124</v>
      </c>
      <c r="E7" s="12" t="n">
        <v>1.5</v>
      </c>
      <c r="F7" s="10" t="s">
        <v>799</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125</v>
      </c>
      <c r="E8" s="12" t="n">
        <v>1.5</v>
      </c>
      <c r="F8" s="10" t="s">
        <v>799</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124</v>
      </c>
      <c r="E9" s="12" t="n">
        <v>1.5</v>
      </c>
      <c r="F9" s="10" t="s">
        <v>799</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125</v>
      </c>
      <c r="E10" s="12" t="n">
        <v>1.5</v>
      </c>
      <c r="F10" s="10" t="s">
        <v>799</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124</v>
      </c>
      <c r="E11" s="12" t="n">
        <v>1.5</v>
      </c>
      <c r="F11" s="10" t="s">
        <v>799</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334</v>
      </c>
      <c r="C12" s="10" t="s">
        <v>459</v>
      </c>
      <c r="D12" s="10" t="s">
        <v>124</v>
      </c>
      <c r="E12" s="12" t="n">
        <v>2</v>
      </c>
      <c r="F12" s="10" t="s">
        <v>800</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334</v>
      </c>
      <c r="C13" s="10" t="s">
        <v>478</v>
      </c>
      <c r="D13" s="10" t="s">
        <v>124</v>
      </c>
      <c r="E13" s="12" t="n">
        <v>2</v>
      </c>
      <c r="F13" s="10" t="s">
        <v>800</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334</v>
      </c>
      <c r="C14" s="10" t="s">
        <v>459</v>
      </c>
      <c r="D14" s="10" t="s">
        <v>124</v>
      </c>
      <c r="E14" s="12" t="n">
        <v>2</v>
      </c>
      <c r="F14" s="10" t="s">
        <v>800</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334</v>
      </c>
      <c r="C15" s="10" t="s">
        <v>478</v>
      </c>
      <c r="D15" s="10" t="s">
        <v>124</v>
      </c>
      <c r="E15" s="12" t="n">
        <v>2</v>
      </c>
      <c r="F15" s="10" t="s">
        <v>800</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334</v>
      </c>
      <c r="C16" s="10" t="s">
        <v>459</v>
      </c>
      <c r="D16" s="10" t="s">
        <v>124</v>
      </c>
      <c r="E16" s="12" t="n">
        <v>2</v>
      </c>
      <c r="F16" s="10" t="s">
        <v>800</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334</v>
      </c>
      <c r="C17" s="10" t="s">
        <v>478</v>
      </c>
      <c r="D17" s="10" t="s">
        <v>124</v>
      </c>
      <c r="E17" s="12" t="n">
        <v>2</v>
      </c>
      <c r="F17" s="10" t="s">
        <v>800</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334</v>
      </c>
      <c r="C18" s="10" t="s">
        <v>459</v>
      </c>
      <c r="D18" s="10" t="s">
        <v>124</v>
      </c>
      <c r="E18" s="12" t="n">
        <v>2</v>
      </c>
      <c r="F18" s="10" t="s">
        <v>800</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334</v>
      </c>
      <c r="C19" s="10" t="s">
        <v>478</v>
      </c>
      <c r="D19" s="10" t="s">
        <v>124</v>
      </c>
      <c r="E19" s="12" t="n">
        <v>2</v>
      </c>
      <c r="F19" s="10" t="s">
        <v>800</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334</v>
      </c>
      <c r="C20" s="10" t="s">
        <v>459</v>
      </c>
      <c r="D20" s="10" t="s">
        <v>124</v>
      </c>
      <c r="E20" s="12" t="n">
        <v>2</v>
      </c>
      <c r="F20" s="10" t="s">
        <v>800</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334</v>
      </c>
      <c r="C21" s="10" t="s">
        <v>478</v>
      </c>
      <c r="D21" s="10" t="s">
        <v>124</v>
      </c>
      <c r="E21" s="12" t="n">
        <v>2</v>
      </c>
      <c r="F21" s="10" t="s">
        <v>800</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334</v>
      </c>
      <c r="D22" s="10" t="s">
        <v>125</v>
      </c>
      <c r="E22" s="12" t="n">
        <v>4</v>
      </c>
      <c r="F22" s="10" t="s">
        <v>801</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334</v>
      </c>
      <c r="D23" s="10" t="s">
        <v>125</v>
      </c>
      <c r="E23" s="12" t="n">
        <v>4</v>
      </c>
      <c r="F23" s="10" t="s">
        <v>801</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334</v>
      </c>
      <c r="D24" s="10" t="s">
        <v>125</v>
      </c>
      <c r="E24" s="12" t="n">
        <v>4</v>
      </c>
      <c r="F24" s="10" t="s">
        <v>801</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334</v>
      </c>
      <c r="D25" s="10" t="s">
        <v>125</v>
      </c>
      <c r="E25" s="12" t="n">
        <v>4</v>
      </c>
      <c r="F25" s="10" t="s">
        <v>801</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334</v>
      </c>
      <c r="D26" s="10" t="s">
        <v>125</v>
      </c>
      <c r="E26" s="12" t="n">
        <v>4</v>
      </c>
      <c r="F26" s="10" t="s">
        <v>801</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334</v>
      </c>
      <c r="D27" s="10" t="s">
        <v>126</v>
      </c>
      <c r="E27" s="12" t="n">
        <v>1</v>
      </c>
      <c r="F27" s="10" t="s">
        <v>802</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334</v>
      </c>
      <c r="D28" s="10" t="s">
        <v>126</v>
      </c>
      <c r="E28" s="12" t="n">
        <v>1</v>
      </c>
      <c r="F28" s="10" t="s">
        <v>803</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334</v>
      </c>
      <c r="D29" s="10" t="s">
        <v>126</v>
      </c>
      <c r="E29" s="12" t="n">
        <v>1</v>
      </c>
      <c r="F29" s="10" t="s">
        <v>804</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334</v>
      </c>
      <c r="D30" s="10" t="s">
        <v>127</v>
      </c>
      <c r="E30" s="12" t="n">
        <v>5</v>
      </c>
      <c r="F30" s="10" t="s">
        <v>805</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334</v>
      </c>
      <c r="D31" s="10" t="s">
        <v>128</v>
      </c>
      <c r="E31" s="12" t="n">
        <v>1.5</v>
      </c>
      <c r="F31" s="10" t="s">
        <v>806</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46363</v>
      </c>
      <c r="B32" s="10" t="s">
        <v>334</v>
      </c>
      <c r="D32" s="10" t="s">
        <v>130</v>
      </c>
      <c r="E32" s="12" t="n">
        <v>1</v>
      </c>
      <c r="F32" s="10" t="s">
        <v>807</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46391</v>
      </c>
      <c r="B33" s="10" t="s">
        <v>341</v>
      </c>
      <c r="C33" s="10" t="s">
        <v>490</v>
      </c>
      <c r="D33" s="10" t="s">
        <v>124</v>
      </c>
      <c r="E33" s="12" t="n">
        <v>2</v>
      </c>
      <c r="F33" s="10" t="s">
        <v>808</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46380</v>
      </c>
      <c r="B34" s="10" t="s">
        <v>341</v>
      </c>
      <c r="C34" s="10" t="s">
        <v>490</v>
      </c>
      <c r="D34" s="10" t="s">
        <v>124</v>
      </c>
      <c r="E34" s="12" t="n">
        <v>2</v>
      </c>
      <c r="F34" s="10" t="s">
        <v>808</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46373</v>
      </c>
      <c r="B35" s="10" t="s">
        <v>341</v>
      </c>
      <c r="C35" s="10" t="s">
        <v>490</v>
      </c>
      <c r="D35" s="10" t="s">
        <v>124</v>
      </c>
      <c r="E35" s="12" t="n">
        <v>2</v>
      </c>
      <c r="F35" s="10" t="s">
        <v>808</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46393</v>
      </c>
      <c r="B36" s="10" t="s">
        <v>341</v>
      </c>
      <c r="C36" s="10" t="s">
        <v>498</v>
      </c>
      <c r="D36" s="10" t="s">
        <v>124</v>
      </c>
      <c r="E36" s="12" t="n">
        <v>2</v>
      </c>
      <c r="F36" s="10" t="s">
        <v>808</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46385</v>
      </c>
      <c r="B37" s="10" t="s">
        <v>341</v>
      </c>
      <c r="C37" s="10" t="s">
        <v>498</v>
      </c>
      <c r="D37" s="10" t="s">
        <v>124</v>
      </c>
      <c r="E37" s="12" t="n">
        <v>2</v>
      </c>
      <c r="F37" s="10" t="s">
        <v>808</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46377</v>
      </c>
      <c r="B38" s="10" t="s">
        <v>341</v>
      </c>
      <c r="C38" s="10" t="s">
        <v>498</v>
      </c>
      <c r="D38" s="10" t="s">
        <v>124</v>
      </c>
      <c r="E38" s="12" t="n">
        <v>2</v>
      </c>
      <c r="F38" s="10" t="s">
        <v>808</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46395</v>
      </c>
      <c r="B39" s="10" t="s">
        <v>341</v>
      </c>
      <c r="C39" s="10" t="s">
        <v>507</v>
      </c>
      <c r="D39" s="10" t="s">
        <v>124</v>
      </c>
      <c r="E39" s="12" t="n">
        <v>2</v>
      </c>
      <c r="F39" s="10" t="s">
        <v>808</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46387</v>
      </c>
      <c r="B40" s="10" t="s">
        <v>341</v>
      </c>
      <c r="C40" s="10" t="s">
        <v>507</v>
      </c>
      <c r="D40" s="10" t="s">
        <v>124</v>
      </c>
      <c r="E40" s="12" t="n">
        <v>2</v>
      </c>
      <c r="F40" s="10" t="s">
        <v>808</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46379</v>
      </c>
      <c r="B41" s="10" t="s">
        <v>341</v>
      </c>
      <c r="C41" s="10" t="s">
        <v>507</v>
      </c>
      <c r="D41" s="10" t="s">
        <v>124</v>
      </c>
      <c r="E41" s="12" t="n">
        <v>2</v>
      </c>
      <c r="F41" s="10" t="s">
        <v>808</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46392</v>
      </c>
      <c r="B42" s="10" t="s">
        <v>341</v>
      </c>
      <c r="D42" s="10" t="s">
        <v>125</v>
      </c>
      <c r="E42" s="12" t="n">
        <v>1.5</v>
      </c>
      <c r="F42" s="10" t="s">
        <v>809</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46393</v>
      </c>
      <c r="B43" s="10" t="s">
        <v>341</v>
      </c>
      <c r="D43" s="10" t="s">
        <v>125</v>
      </c>
      <c r="E43" s="12" t="n">
        <v>1.5</v>
      </c>
      <c r="F43" s="10" t="s">
        <v>809</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46394</v>
      </c>
      <c r="B44" s="10" t="s">
        <v>341</v>
      </c>
      <c r="D44" s="10" t="s">
        <v>125</v>
      </c>
      <c r="E44" s="12" t="n">
        <v>1.5</v>
      </c>
      <c r="F44" s="10" t="s">
        <v>809</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46395</v>
      </c>
      <c r="B45" s="10" t="s">
        <v>341</v>
      </c>
      <c r="D45" s="10" t="s">
        <v>125</v>
      </c>
      <c r="E45" s="12" t="n">
        <v>1.5</v>
      </c>
      <c r="F45" s="10" t="s">
        <v>809</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46400</v>
      </c>
      <c r="B46" s="10" t="s">
        <v>341</v>
      </c>
      <c r="D46" s="10" t="s">
        <v>125</v>
      </c>
      <c r="E46" s="12" t="n">
        <v>1.5</v>
      </c>
      <c r="F46" s="10" t="s">
        <v>809</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46391</v>
      </c>
      <c r="B47" s="10" t="s">
        <v>341</v>
      </c>
      <c r="D47" s="10" t="s">
        <v>130</v>
      </c>
      <c r="E47" s="12" t="n">
        <v>1</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c r="D48" s="10"/>
      <c r="E48" s="12"/>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c r="D49" s="10"/>
      <c r="E49" s="12"/>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c r="D50" s="10"/>
      <c r="E50" s="12"/>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c r="D51" s="10"/>
      <c r="E51" s="12"/>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c r="D52" s="10"/>
      <c r="E52" s="12"/>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c r="D53" s="10"/>
      <c r="E53" s="12"/>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c r="D54" s="10"/>
      <c r="E54" s="12"/>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c r="D55" s="10"/>
      <c r="E55" s="12"/>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c r="D56" s="10"/>
      <c r="E56" s="12"/>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c r="D57" s="10"/>
      <c r="E57" s="12"/>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c r="D58" s="10"/>
      <c r="E58" s="12"/>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75</v>
      </c>
      <c r="B1" s="28" t="s">
        <v>296</v>
      </c>
      <c r="C1" s="28" t="s">
        <v>346</v>
      </c>
      <c r="D1" s="28" t="s">
        <v>810</v>
      </c>
      <c r="E1" s="28" t="s">
        <v>811</v>
      </c>
      <c r="F1" s="28" t="s">
        <v>812</v>
      </c>
      <c r="G1" s="28" t="s">
        <v>813</v>
      </c>
      <c r="H1" s="28" t="s">
        <v>175</v>
      </c>
      <c r="I1" s="29" t="s">
        <v>118</v>
      </c>
    </row>
    <row r="2" customFormat="false" ht="15" hidden="false" customHeight="false" outlineLevel="0" collapsed="false">
      <c r="A2" s="11" t="n">
        <v>46394</v>
      </c>
      <c r="B2" s="10" t="s">
        <v>334</v>
      </c>
      <c r="C2" s="10" t="s">
        <v>459</v>
      </c>
      <c r="D2" s="10" t="s">
        <v>814</v>
      </c>
      <c r="E2" s="12" t="n">
        <v>40</v>
      </c>
      <c r="F2" s="10" t="s">
        <v>815</v>
      </c>
      <c r="H2" s="10" t="s">
        <v>816</v>
      </c>
      <c r="I2" s="30" t="str">
        <f aca="false">IF($A2="","",IF(COUNTIF(drops!$A$2:$A$21,$B2)=0,"drop_id not on drops; ","")&amp;IF(N($E2)&lt;=0,"amount?; ","")&amp;IF($D2="","cost type?; ",""))</f>
        <v/>
      </c>
    </row>
    <row r="3" customFormat="false" ht="15" hidden="false" customHeight="false" outlineLevel="0" collapsed="false">
      <c r="A3" s="11" t="n">
        <v>46394</v>
      </c>
      <c r="B3" s="10" t="s">
        <v>334</v>
      </c>
      <c r="C3" s="10" t="s">
        <v>478</v>
      </c>
      <c r="D3" s="10" t="s">
        <v>814</v>
      </c>
      <c r="E3" s="12" t="n">
        <v>40</v>
      </c>
      <c r="F3" s="10" t="s">
        <v>815</v>
      </c>
      <c r="H3" s="10" t="s">
        <v>816</v>
      </c>
      <c r="I3" s="30" t="str">
        <f aca="false">IF($A3="","",IF(COUNTIF(drops!$A$2:$A$21,$B3)=0,"drop_id not on drops; ","")&amp;IF(N($E3)&lt;=0,"amount?; ","")&amp;IF($D3="","cost type?; ",""))</f>
        <v/>
      </c>
    </row>
    <row r="4" customFormat="false" ht="15" hidden="false" customHeight="false" outlineLevel="0" collapsed="false">
      <c r="A4" s="11" t="n">
        <v>46399</v>
      </c>
      <c r="B4" s="10" t="s">
        <v>334</v>
      </c>
      <c r="D4" s="10" t="s">
        <v>817</v>
      </c>
      <c r="E4" s="12" t="n">
        <v>34</v>
      </c>
      <c r="F4" s="10" t="s">
        <v>818</v>
      </c>
      <c r="H4" s="10" t="s">
        <v>819</v>
      </c>
      <c r="I4" s="30" t="str">
        <f aca="false">IF($A4="","",IF(COUNTIF(drops!$A$2:$A$21,$B4)=0,"drop_id not on drops; ","")&amp;IF(N($E4)&lt;=0,"amount?; ","")&amp;IF($D4="","cost type?; ",""))</f>
        <v/>
      </c>
    </row>
    <row r="5" customFormat="false" ht="15" hidden="false" customHeight="false" outlineLevel="0" collapsed="false">
      <c r="A5" s="11" t="n">
        <v>46399</v>
      </c>
      <c r="B5" s="10" t="s">
        <v>334</v>
      </c>
      <c r="D5" s="10" t="s">
        <v>817</v>
      </c>
      <c r="E5" s="12" t="n">
        <v>29</v>
      </c>
      <c r="F5" s="10" t="s">
        <v>818</v>
      </c>
      <c r="H5" s="10" t="s">
        <v>820</v>
      </c>
      <c r="I5" s="30" t="str">
        <f aca="false">IF($A5="","",IF(COUNTIF(drops!$A$2:$A$21,$B5)=0,"drop_id not on drops; ","")&amp;IF(N($E5)&lt;=0,"amount?; ","")&amp;IF($D5="","cost type?; ",""))</f>
        <v/>
      </c>
    </row>
    <row r="6" customFormat="false" ht="15" hidden="false" customHeight="false" outlineLevel="0" collapsed="false">
      <c r="A6" s="11" t="n">
        <v>46394</v>
      </c>
      <c r="B6" s="10" t="s">
        <v>334</v>
      </c>
      <c r="D6" s="10" t="s">
        <v>821</v>
      </c>
      <c r="E6" s="12" t="n">
        <v>9</v>
      </c>
      <c r="F6" s="10" t="s">
        <v>822</v>
      </c>
      <c r="H6" s="10" t="s">
        <v>823</v>
      </c>
      <c r="I6" s="30" t="str">
        <f aca="false">IF($A6="","",IF(COUNTIF(drops!$A$2:$A$21,$B6)=0,"drop_id not on drops; ","")&amp;IF(N($E6)&lt;=0,"amount?; ","")&amp;IF($D6="","cost type?; ",""))</f>
        <v/>
      </c>
    </row>
    <row r="7" customFormat="false" ht="15" hidden="false" customHeight="false" outlineLevel="0" collapsed="false">
      <c r="A7" s="11"/>
      <c r="D7" s="10"/>
      <c r="E7" s="12"/>
      <c r="I7" s="30" t="str">
        <f aca="false">IF($A7="","",IF(COUNTIF(drops!$A$2:$A$21,$B7)=0,"drop_id not on drops; ","")&amp;IF(N($E7)&lt;=0,"amount?; ","")&amp;IF($D7="","cost type?; ",""))</f>
        <v/>
      </c>
    </row>
    <row r="8" customFormat="false" ht="15" hidden="false" customHeight="false" outlineLevel="0" collapsed="false">
      <c r="A8" s="11"/>
      <c r="D8" s="10"/>
      <c r="E8" s="12"/>
      <c r="I8" s="30" t="str">
        <f aca="false">IF($A8="","",IF(COUNTIF(drops!$A$2:$A$21,$B8)=0,"drop_id not on drops; ","")&amp;IF(N($E8)&lt;=0,"amount?; ","")&amp;IF($D8="","cost type?; ",""))</f>
        <v/>
      </c>
    </row>
    <row r="9" customFormat="false" ht="15" hidden="false" customHeight="false" outlineLevel="0" collapsed="false">
      <c r="A9" s="11"/>
      <c r="D9" s="10"/>
      <c r="E9" s="12"/>
      <c r="I9" s="30" t="str">
        <f aca="false">IF($A9="","",IF(COUNTIF(drops!$A$2:$A$21,$B9)=0,"drop_id not on drops; ","")&amp;IF(N($E9)&lt;=0,"amount?; ","")&amp;IF($D9="","cost type?; ",""))</f>
        <v/>
      </c>
    </row>
    <row r="10" customFormat="false" ht="15" hidden="false" customHeight="false" outlineLevel="0" collapsed="false">
      <c r="A10" s="11"/>
      <c r="D10" s="10"/>
      <c r="E10" s="12"/>
      <c r="I10" s="30" t="str">
        <f aca="false">IF($A10="","",IF(COUNTIF(drops!$A$2:$A$21,$B10)=0,"drop_id not on drops; ","")&amp;IF(N($E10)&lt;=0,"amount?; ","")&amp;IF($D10="","cost type?; ",""))</f>
        <v/>
      </c>
    </row>
    <row r="11" customFormat="false" ht="15" hidden="false" customHeight="false" outlineLevel="0" collapsed="false">
      <c r="A11" s="11"/>
      <c r="D11" s="10"/>
      <c r="E11" s="12"/>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824</v>
      </c>
      <c r="B1" s="28" t="s">
        <v>346</v>
      </c>
      <c r="C1" s="28" t="s">
        <v>825</v>
      </c>
      <c r="D1" s="28" t="s">
        <v>826</v>
      </c>
      <c r="E1" s="28" t="s">
        <v>811</v>
      </c>
      <c r="F1" s="28" t="s">
        <v>827</v>
      </c>
      <c r="G1" s="28" t="s">
        <v>828</v>
      </c>
      <c r="H1" s="28" t="s">
        <v>829</v>
      </c>
      <c r="I1" s="28" t="s">
        <v>830</v>
      </c>
      <c r="J1" s="28" t="s">
        <v>831</v>
      </c>
      <c r="K1" s="28" t="s">
        <v>832</v>
      </c>
      <c r="L1" s="28" t="s">
        <v>447</v>
      </c>
      <c r="M1" s="28" t="s">
        <v>175</v>
      </c>
      <c r="N1" s="29" t="s">
        <v>399</v>
      </c>
      <c r="O1" s="29" t="s">
        <v>833</v>
      </c>
      <c r="P1" s="29" t="s">
        <v>834</v>
      </c>
      <c r="Q1" s="29" t="s">
        <v>77</v>
      </c>
      <c r="R1" s="29" t="s">
        <v>835</v>
      </c>
      <c r="S1" s="29" t="s">
        <v>118</v>
      </c>
    </row>
    <row r="2" customFormat="false" ht="15" hidden="false" customHeight="false" outlineLevel="0" collapsed="false">
      <c r="A2" s="0" t="s">
        <v>836</v>
      </c>
      <c r="B2" s="0" t="s">
        <v>459</v>
      </c>
      <c r="C2" s="10" t="s">
        <v>837</v>
      </c>
      <c r="D2" s="11" t="n">
        <v>46363</v>
      </c>
      <c r="E2" s="12" t="n">
        <v>600</v>
      </c>
      <c r="F2" s="12" t="n">
        <v>0</v>
      </c>
      <c r="G2" s="10" t="s">
        <v>546</v>
      </c>
      <c r="H2" s="11" t="n">
        <v>46366</v>
      </c>
      <c r="I2" s="12" t="n">
        <v>600</v>
      </c>
      <c r="J2" s="10" t="s">
        <v>838</v>
      </c>
      <c r="K2" s="10" t="s">
        <v>839</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840</v>
      </c>
      <c r="B3" s="0" t="s">
        <v>478</v>
      </c>
      <c r="C3" s="10" t="s">
        <v>837</v>
      </c>
      <c r="D3" s="11" t="n">
        <v>46364</v>
      </c>
      <c r="E3" s="12" t="n">
        <v>600</v>
      </c>
      <c r="F3" s="12" t="n">
        <v>0</v>
      </c>
      <c r="G3" s="10" t="s">
        <v>551</v>
      </c>
      <c r="H3" s="11" t="n">
        <v>46367</v>
      </c>
      <c r="I3" s="12" t="n">
        <v>600</v>
      </c>
      <c r="J3" s="10" t="s">
        <v>838</v>
      </c>
      <c r="K3" s="10" t="s">
        <v>841</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842</v>
      </c>
      <c r="B4" s="0" t="s">
        <v>459</v>
      </c>
      <c r="C4" s="10" t="s">
        <v>843</v>
      </c>
      <c r="D4" s="11" t="n">
        <v>46400</v>
      </c>
      <c r="E4" s="12" t="n">
        <v>-120</v>
      </c>
      <c r="F4" s="12" t="n">
        <v>0</v>
      </c>
      <c r="G4" s="10" t="s">
        <v>546</v>
      </c>
      <c r="H4" s="11"/>
      <c r="I4" s="12"/>
      <c r="J4" s="10"/>
      <c r="L4" s="12" t="n">
        <v>0</v>
      </c>
      <c r="M4" s="10" t="s">
        <v>844</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credit applied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845</v>
      </c>
      <c r="B5" s="0" t="s">
        <v>490</v>
      </c>
      <c r="C5" s="10" t="s">
        <v>846</v>
      </c>
      <c r="D5" s="11" t="n">
        <v>46391</v>
      </c>
      <c r="E5" s="12" t="n">
        <v>750</v>
      </c>
      <c r="F5" s="12" t="n">
        <v>0</v>
      </c>
      <c r="G5" s="10" t="s">
        <v>847</v>
      </c>
      <c r="H5" s="11" t="n">
        <v>46394</v>
      </c>
      <c r="I5" s="12" t="n">
        <v>750</v>
      </c>
      <c r="J5" s="10" t="s">
        <v>838</v>
      </c>
      <c r="K5" s="10" t="s">
        <v>848</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849</v>
      </c>
      <c r="B6" s="0" t="s">
        <v>498</v>
      </c>
      <c r="C6" s="10" t="s">
        <v>846</v>
      </c>
      <c r="D6" s="11" t="n">
        <v>46393</v>
      </c>
      <c r="E6" s="12" t="n">
        <v>750</v>
      </c>
      <c r="F6" s="12" t="n">
        <v>0</v>
      </c>
      <c r="G6" s="10" t="s">
        <v>847</v>
      </c>
      <c r="H6" s="11" t="n">
        <v>46398</v>
      </c>
      <c r="I6" s="12" t="n">
        <v>750</v>
      </c>
      <c r="J6" s="10" t="s">
        <v>838</v>
      </c>
      <c r="K6" s="10" t="s">
        <v>850</v>
      </c>
      <c r="L6" s="12" t="n">
        <v>0</v>
      </c>
      <c r="N6" s="30" t="str">
        <f aca="false">IF($B6="","",IFERROR(IF(INDEX(campaigns!$BE$2:$BE$51,MATCH($B6,campaigns!$A$2:$A$51,0))="","",INDEX(campaigns!$BE$2:$BE$51,MATCH($B6,campaigns!$A$2:$A$51,0))),""))</f>
        <v>SAMPLE Orchard Row</v>
      </c>
      <c r="O6" s="31" t="n">
        <f aca="false">IF(OR($A6="",$D6=""),"",IF($C6="founding_full",WORKDAY($D6,config!$B$27,calendar!$A$2:$A$80),$D6))</f>
        <v>46393</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Y</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851</v>
      </c>
      <c r="B7" s="0" t="s">
        <v>507</v>
      </c>
      <c r="C7" s="10" t="s">
        <v>846</v>
      </c>
      <c r="D7" s="11" t="n">
        <v>46395</v>
      </c>
      <c r="E7" s="12" t="n">
        <v>750</v>
      </c>
      <c r="F7" s="12" t="n">
        <v>0</v>
      </c>
      <c r="G7" s="10" t="s">
        <v>847</v>
      </c>
      <c r="H7" s="11" t="n">
        <v>46399</v>
      </c>
      <c r="I7" s="12" t="n">
        <v>750</v>
      </c>
      <c r="J7" s="10" t="s">
        <v>838</v>
      </c>
      <c r="K7" s="10" t="s">
        <v>852</v>
      </c>
      <c r="L7" s="12" t="n">
        <v>0</v>
      </c>
      <c r="N7" s="30" t="str">
        <f aca="false">IF($B7="","",IFERROR(IF(INDEX(campaigns!$BE$2:$BE$51,MATCH($B7,campaigns!$A$2:$A$51,0))="","",INDEX(campaigns!$BE$2:$BE$51,MATCH($B7,campaigns!$A$2:$A$51,0))),""))</f>
        <v>SAMPLE Kettle Ridge</v>
      </c>
      <c r="O7" s="31" t="n">
        <f aca="false">IF(OR($A7="",$D7=""),"",IF($C7="founding_full",WORKDAY($D7,config!$B$27,calendar!$A$2:$A$80),$D7))</f>
        <v>46395</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30" t="str">
        <f aca="false">IF($B8="","",IFERROR(IF(INDEX(campaigns!$BE$2:$BE$51,MATCH($B8,campaigns!$A$2:$A$51,0))="","",INDEX(campaigns!$BE$2:$BE$51,MATCH($B8,campaigns!$A$2:$A$51,0))),""))</f>
        <v/>
      </c>
      <c r="O8" s="31" t="str">
        <f aca="false">IF(OR($A8="",$D8=""),"",IF($C8="founding_full",WORKDAY($D8,config!$B$27,calendar!$A$2:$A$80),$D8))</f>
        <v/>
      </c>
      <c r="P8" s="32" t="str">
        <f aca="false">IF($A8="","",N($E8)+N($F8))</f>
        <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30" t="str">
        <f aca="false">IF($A8="","",IF(OR($C8="founding_full",$C8="standard_deposit"),"Y","N"))</f>
        <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30" t="str">
        <f aca="false">IF($B9="","",IFERROR(IF(INDEX(campaigns!$BE$2:$BE$51,MATCH($B9,campaigns!$A$2:$A$51,0))="","",INDEX(campaigns!$BE$2:$BE$51,MATCH($B9,campaigns!$A$2:$A$51,0))),""))</f>
        <v/>
      </c>
      <c r="O9" s="31" t="str">
        <f aca="false">IF(OR($A9="",$D9=""),"",IF($C9="founding_full",WORKDAY($D9,config!$B$27,calendar!$A$2:$A$80),$D9))</f>
        <v/>
      </c>
      <c r="P9" s="32" t="str">
        <f aca="false">IF($A9="","",N($E9)+N($F9))</f>
        <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30" t="str">
        <f aca="false">IF($A9="","",IF(OR($C9="founding_full",$C9="standard_deposit"),"Y","N"))</f>
        <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30" t="str">
        <f aca="false">IF($B10="","",IFERROR(IF(INDEX(campaigns!$BE$2:$BE$51,MATCH($B10,campaigns!$A$2:$A$51,0))="","",INDEX(campaigns!$BE$2:$BE$51,MATCH($B10,campaigns!$A$2:$A$51,0))),""))</f>
        <v/>
      </c>
      <c r="O10" s="31" t="str">
        <f aca="false">IF(OR($A10="",$D10=""),"",IF($C10="founding_full",WORKDAY($D10,config!$B$27,calendar!$A$2:$A$80),$D10))</f>
        <v/>
      </c>
      <c r="P10" s="32" t="str">
        <f aca="false">IF($A10="","",N($E10)+N($F10))</f>
        <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30" t="str">
        <f aca="false">IF($A10="","",IF(OR($C10="founding_full",$C10="standard_deposit"),"Y","N"))</f>
        <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30" t="str">
        <f aca="false">IF($B11="","",IFERROR(IF(INDEX(campaigns!$BE$2:$BE$51,MATCH($B11,campaigns!$A$2:$A$51,0))="","",INDEX(campaigns!$BE$2:$BE$51,MATCH($B11,campaigns!$A$2:$A$51,0))),""))</f>
        <v/>
      </c>
      <c r="O11" s="31" t="str">
        <f aca="false">IF(OR($A11="",$D11=""),"",IF($C11="founding_full",WORKDAY($D11,config!$B$27,calendar!$A$2:$A$80),$D11))</f>
        <v/>
      </c>
      <c r="P11" s="32" t="str">
        <f aca="false">IF($A11="","",N($E11)+N($F11))</f>
        <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30" t="str">
        <f aca="false">IF($A11="","",IF(OR($C11="founding_full",$C11="standard_deposit"),"Y","N"))</f>
        <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39" t="s">
        <v>853</v>
      </c>
      <c r="B1" s="39" t="s">
        <v>854</v>
      </c>
      <c r="C1" s="39" t="s">
        <v>136</v>
      </c>
      <c r="D1" s="39" t="s">
        <v>523</v>
      </c>
      <c r="E1" s="39" t="s">
        <v>524</v>
      </c>
      <c r="F1" s="39" t="s">
        <v>525</v>
      </c>
      <c r="G1" s="39" t="s">
        <v>526</v>
      </c>
      <c r="H1" s="39" t="s">
        <v>572</v>
      </c>
      <c r="I1" s="39" t="s">
        <v>573</v>
      </c>
      <c r="J1" s="39" t="s">
        <v>574</v>
      </c>
      <c r="K1" s="39" t="s">
        <v>575</v>
      </c>
      <c r="L1" s="39" t="s">
        <v>576</v>
      </c>
      <c r="M1" s="39" t="s">
        <v>577</v>
      </c>
      <c r="N1" s="39" t="s">
        <v>578</v>
      </c>
      <c r="O1" s="39" t="s">
        <v>579</v>
      </c>
      <c r="P1" s="39" t="s">
        <v>580</v>
      </c>
      <c r="Q1" s="39" t="s">
        <v>581</v>
      </c>
      <c r="R1" s="39" t="s">
        <v>582</v>
      </c>
      <c r="S1" s="39" t="s">
        <v>583</v>
      </c>
      <c r="T1" s="39" t="s">
        <v>302</v>
      </c>
      <c r="U1" s="39" t="s">
        <v>698</v>
      </c>
    </row>
    <row r="2" customFormat="false" ht="15" hidden="false" customHeight="false" outlineLevel="0" collapsed="false">
      <c r="A2" s="0" t="s">
        <v>855</v>
      </c>
      <c r="B2" s="0" t="s">
        <v>856</v>
      </c>
      <c r="C2" s="0" t="s">
        <v>857</v>
      </c>
      <c r="D2" s="0" t="s">
        <v>858</v>
      </c>
      <c r="E2" s="0" t="s">
        <v>859</v>
      </c>
      <c r="F2" s="0" t="s">
        <v>860</v>
      </c>
      <c r="G2" s="0" t="s">
        <v>861</v>
      </c>
      <c r="H2" s="0" t="s">
        <v>862</v>
      </c>
      <c r="I2" s="0" t="s">
        <v>863</v>
      </c>
      <c r="J2" s="0" t="n">
        <v>52</v>
      </c>
      <c r="K2" s="0" t="s">
        <v>858</v>
      </c>
      <c r="L2" s="0" t="s">
        <v>859</v>
      </c>
      <c r="M2" s="0" t="s">
        <v>473</v>
      </c>
      <c r="N2" s="0" t="s">
        <v>864</v>
      </c>
      <c r="O2" s="0" t="s">
        <v>865</v>
      </c>
      <c r="P2" s="0" t="s">
        <v>144</v>
      </c>
      <c r="Q2" s="0" t="s">
        <v>866</v>
      </c>
      <c r="R2" s="0" t="s">
        <v>867</v>
      </c>
      <c r="T2" s="0" t="s">
        <v>868</v>
      </c>
      <c r="U2" s="0" t="s">
        <v>521</v>
      </c>
    </row>
    <row r="3" customFormat="false" ht="15" hidden="false" customHeight="false" outlineLevel="0" collapsed="false">
      <c r="A3" s="0" t="s">
        <v>869</v>
      </c>
      <c r="B3" s="0" t="s">
        <v>856</v>
      </c>
      <c r="C3" s="0" t="s">
        <v>870</v>
      </c>
      <c r="D3" s="0" t="s">
        <v>871</v>
      </c>
      <c r="E3" s="0" t="s">
        <v>859</v>
      </c>
      <c r="F3" s="0" t="s">
        <v>872</v>
      </c>
      <c r="G3" s="0" t="s">
        <v>873</v>
      </c>
      <c r="H3" s="0" t="s">
        <v>874</v>
      </c>
      <c r="I3" s="0" t="s">
        <v>875</v>
      </c>
      <c r="J3" s="0" t="n">
        <v>95</v>
      </c>
      <c r="K3" s="0" t="s">
        <v>871</v>
      </c>
      <c r="L3" s="0" t="s">
        <v>859</v>
      </c>
      <c r="M3" s="0" t="s">
        <v>473</v>
      </c>
      <c r="N3" s="0" t="s">
        <v>864</v>
      </c>
      <c r="O3" s="0" t="s">
        <v>876</v>
      </c>
      <c r="P3" s="0" t="s">
        <v>877</v>
      </c>
      <c r="Q3" s="0" t="s">
        <v>866</v>
      </c>
      <c r="R3" s="0" t="s">
        <v>878</v>
      </c>
      <c r="T3" s="0" t="s">
        <v>868</v>
      </c>
      <c r="U3" s="0" t="s">
        <v>521</v>
      </c>
    </row>
    <row r="4" customFormat="false" ht="15" hidden="false" customHeight="false" outlineLevel="0" collapsed="false">
      <c r="A4" s="0" t="s">
        <v>879</v>
      </c>
      <c r="B4" s="0" t="s">
        <v>856</v>
      </c>
      <c r="C4" s="0" t="s">
        <v>880</v>
      </c>
      <c r="D4" s="0" t="s">
        <v>881</v>
      </c>
      <c r="E4" s="0" t="s">
        <v>859</v>
      </c>
      <c r="F4" s="0" t="s">
        <v>882</v>
      </c>
      <c r="G4" s="0" t="s">
        <v>883</v>
      </c>
      <c r="H4" s="0" t="s">
        <v>884</v>
      </c>
      <c r="I4" s="0" t="s">
        <v>885</v>
      </c>
      <c r="J4" s="0" t="n">
        <v>190</v>
      </c>
      <c r="K4" s="0" t="s">
        <v>881</v>
      </c>
      <c r="L4" s="0" t="s">
        <v>859</v>
      </c>
      <c r="M4" s="0" t="s">
        <v>473</v>
      </c>
      <c r="N4" s="0" t="s">
        <v>673</v>
      </c>
      <c r="O4" s="0" t="s">
        <v>886</v>
      </c>
      <c r="P4" s="0" t="s">
        <v>652</v>
      </c>
      <c r="Q4" s="0" t="s">
        <v>866</v>
      </c>
      <c r="R4" s="0" t="s">
        <v>887</v>
      </c>
      <c r="T4" s="0" t="s">
        <v>868</v>
      </c>
      <c r="U4" s="0" t="s">
        <v>521</v>
      </c>
    </row>
    <row r="5" customFormat="false" ht="15" hidden="false" customHeight="false" outlineLevel="0" collapsed="false">
      <c r="A5" s="0" t="s">
        <v>888</v>
      </c>
      <c r="B5" s="0" t="s">
        <v>856</v>
      </c>
      <c r="C5" s="0" t="s">
        <v>889</v>
      </c>
      <c r="D5" s="0" t="s">
        <v>890</v>
      </c>
      <c r="E5" s="0" t="s">
        <v>859</v>
      </c>
      <c r="F5" s="0" t="s">
        <v>891</v>
      </c>
      <c r="G5" s="0" t="s">
        <v>892</v>
      </c>
      <c r="H5" s="0" t="s">
        <v>893</v>
      </c>
      <c r="I5" s="0" t="s">
        <v>894</v>
      </c>
      <c r="J5" s="0" t="n">
        <v>65</v>
      </c>
      <c r="K5" s="0" t="s">
        <v>890</v>
      </c>
      <c r="L5" s="0" t="s">
        <v>859</v>
      </c>
      <c r="M5" s="0" t="s">
        <v>473</v>
      </c>
      <c r="N5" s="0" t="s">
        <v>864</v>
      </c>
      <c r="O5" s="0" t="s">
        <v>865</v>
      </c>
      <c r="P5" s="0" t="s">
        <v>144</v>
      </c>
      <c r="Q5" s="0" t="s">
        <v>866</v>
      </c>
      <c r="R5" s="0" t="s">
        <v>895</v>
      </c>
      <c r="T5" s="0" t="s">
        <v>868</v>
      </c>
      <c r="U5" s="0" t="s">
        <v>521</v>
      </c>
    </row>
    <row r="6" customFormat="false" ht="15" hidden="false" customHeight="false" outlineLevel="0" collapsed="false">
      <c r="A6" s="0" t="s">
        <v>896</v>
      </c>
      <c r="B6" s="0" t="s">
        <v>856</v>
      </c>
      <c r="C6" s="0" t="s">
        <v>897</v>
      </c>
      <c r="D6" s="0" t="s">
        <v>898</v>
      </c>
      <c r="E6" s="0" t="s">
        <v>859</v>
      </c>
      <c r="F6" s="0" t="s">
        <v>899</v>
      </c>
      <c r="G6" s="0" t="s">
        <v>900</v>
      </c>
      <c r="H6" s="0" t="s">
        <v>901</v>
      </c>
      <c r="I6" s="0" t="s">
        <v>902</v>
      </c>
      <c r="J6" s="0" t="n">
        <v>140</v>
      </c>
      <c r="K6" s="0" t="s">
        <v>898</v>
      </c>
      <c r="L6" s="0" t="s">
        <v>859</v>
      </c>
      <c r="M6" s="0" t="s">
        <v>473</v>
      </c>
      <c r="N6" s="0" t="s">
        <v>673</v>
      </c>
      <c r="O6" s="0" t="s">
        <v>876</v>
      </c>
      <c r="P6" s="0" t="s">
        <v>144</v>
      </c>
      <c r="Q6" s="0" t="s">
        <v>866</v>
      </c>
      <c r="R6" s="0" t="s">
        <v>903</v>
      </c>
      <c r="S6" s="0" t="s">
        <v>904</v>
      </c>
      <c r="T6" s="0" t="s">
        <v>868</v>
      </c>
      <c r="U6" s="0" t="s">
        <v>521</v>
      </c>
    </row>
    <row r="7" customFormat="false" ht="15" hidden="false" customHeight="false" outlineLevel="0" collapsed="false">
      <c r="A7" s="0" t="s">
        <v>905</v>
      </c>
      <c r="B7" s="0" t="s">
        <v>856</v>
      </c>
      <c r="C7" s="0" t="s">
        <v>906</v>
      </c>
      <c r="D7" s="0" t="s">
        <v>907</v>
      </c>
      <c r="E7" s="0" t="s">
        <v>859</v>
      </c>
      <c r="F7" s="0" t="s">
        <v>908</v>
      </c>
      <c r="G7" s="0" t="s">
        <v>909</v>
      </c>
      <c r="H7" s="0" t="s">
        <v>910</v>
      </c>
      <c r="I7" s="0" t="s">
        <v>911</v>
      </c>
      <c r="J7" s="0" t="n">
        <v>220</v>
      </c>
      <c r="K7" s="0" t="s">
        <v>907</v>
      </c>
      <c r="L7" s="0" t="s">
        <v>859</v>
      </c>
      <c r="M7" s="0" t="s">
        <v>473</v>
      </c>
      <c r="N7" s="0" t="s">
        <v>673</v>
      </c>
      <c r="O7" s="0" t="s">
        <v>886</v>
      </c>
      <c r="P7" s="0" t="s">
        <v>144</v>
      </c>
      <c r="Q7" s="0" t="s">
        <v>866</v>
      </c>
      <c r="R7" s="0" t="s">
        <v>912</v>
      </c>
      <c r="T7" s="0" t="s">
        <v>868</v>
      </c>
      <c r="U7" s="0"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39" t="s">
        <v>853</v>
      </c>
      <c r="B1" s="39" t="s">
        <v>854</v>
      </c>
      <c r="C1" s="39" t="s">
        <v>399</v>
      </c>
      <c r="D1" s="39" t="s">
        <v>521</v>
      </c>
      <c r="E1" s="39" t="s">
        <v>523</v>
      </c>
      <c r="F1" s="39" t="s">
        <v>524</v>
      </c>
      <c r="G1" s="39" t="s">
        <v>525</v>
      </c>
      <c r="H1" s="39" t="s">
        <v>526</v>
      </c>
      <c r="I1" s="39" t="s">
        <v>353</v>
      </c>
      <c r="J1" s="39" t="s">
        <v>400</v>
      </c>
      <c r="K1" s="39" t="s">
        <v>522</v>
      </c>
      <c r="L1" s="39" t="s">
        <v>528</v>
      </c>
      <c r="M1" s="39" t="s">
        <v>527</v>
      </c>
      <c r="N1" s="39" t="s">
        <v>529</v>
      </c>
      <c r="O1" s="39" t="s">
        <v>913</v>
      </c>
      <c r="P1" s="39" t="s">
        <v>914</v>
      </c>
      <c r="Q1" s="39" t="s">
        <v>530</v>
      </c>
      <c r="R1" s="39" t="s">
        <v>531</v>
      </c>
      <c r="S1" s="39" t="s">
        <v>532</v>
      </c>
      <c r="T1" s="39" t="s">
        <v>533</v>
      </c>
      <c r="U1" s="39" t="s">
        <v>534</v>
      </c>
      <c r="V1" s="39" t="s">
        <v>535</v>
      </c>
      <c r="W1" s="39" t="s">
        <v>536</v>
      </c>
      <c r="X1" s="39" t="s">
        <v>537</v>
      </c>
      <c r="Y1" s="39" t="s">
        <v>538</v>
      </c>
      <c r="Z1" s="39" t="s">
        <v>302</v>
      </c>
      <c r="AA1" s="39" t="s">
        <v>698</v>
      </c>
    </row>
    <row r="2" customFormat="false" ht="15" hidden="false" customHeight="false" outlineLevel="0" collapsed="false">
      <c r="A2" s="0" t="s">
        <v>543</v>
      </c>
      <c r="B2" s="0" t="s">
        <v>915</v>
      </c>
      <c r="C2" s="0" t="s">
        <v>916</v>
      </c>
      <c r="D2" s="0" t="s">
        <v>917</v>
      </c>
      <c r="E2" s="0" t="s">
        <v>918</v>
      </c>
      <c r="F2" s="0" t="s">
        <v>919</v>
      </c>
      <c r="G2" s="0" t="s">
        <v>920</v>
      </c>
      <c r="H2" s="0" t="s">
        <v>921</v>
      </c>
      <c r="I2" s="0" t="s">
        <v>463</v>
      </c>
      <c r="J2" s="0" t="s">
        <v>922</v>
      </c>
      <c r="K2" s="0" t="s">
        <v>923</v>
      </c>
      <c r="L2" s="0" t="s">
        <v>468</v>
      </c>
      <c r="M2" s="0" t="s">
        <v>924</v>
      </c>
      <c r="N2" s="0" t="s">
        <v>473</v>
      </c>
      <c r="O2" s="0" t="s">
        <v>925</v>
      </c>
      <c r="P2" s="0" t="s">
        <v>473</v>
      </c>
      <c r="Q2" s="0" t="s">
        <v>926</v>
      </c>
      <c r="R2" s="0" t="s">
        <v>473</v>
      </c>
      <c r="S2" s="0" t="s">
        <v>473</v>
      </c>
      <c r="T2" s="0" t="s">
        <v>473</v>
      </c>
      <c r="U2" s="0" t="s">
        <v>473</v>
      </c>
      <c r="V2" s="0" t="s">
        <v>473</v>
      </c>
      <c r="W2" s="0" t="s">
        <v>473</v>
      </c>
      <c r="X2" s="0" t="s">
        <v>927</v>
      </c>
      <c r="Y2" s="0" t="s">
        <v>473</v>
      </c>
      <c r="AA2" s="0" t="s">
        <v>521</v>
      </c>
    </row>
    <row r="3" customFormat="false" ht="15" hidden="false" customHeight="false" outlineLevel="0" collapsed="false">
      <c r="A3" s="0" t="s">
        <v>552</v>
      </c>
      <c r="B3" s="0" t="s">
        <v>928</v>
      </c>
      <c r="C3" s="0" t="s">
        <v>929</v>
      </c>
      <c r="D3" s="0" t="s">
        <v>930</v>
      </c>
      <c r="E3" s="0" t="s">
        <v>931</v>
      </c>
      <c r="F3" s="0" t="s">
        <v>919</v>
      </c>
      <c r="G3" s="0" t="s">
        <v>932</v>
      </c>
      <c r="H3" s="0" t="s">
        <v>933</v>
      </c>
      <c r="I3" s="0" t="s">
        <v>493</v>
      </c>
      <c r="J3" s="0" t="s">
        <v>934</v>
      </c>
      <c r="K3" s="0" t="s">
        <v>935</v>
      </c>
      <c r="L3" s="0" t="s">
        <v>468</v>
      </c>
      <c r="M3" s="0" t="s">
        <v>936</v>
      </c>
      <c r="N3" s="0" t="s">
        <v>473</v>
      </c>
      <c r="O3" s="0" t="s">
        <v>925</v>
      </c>
      <c r="P3" s="0" t="s">
        <v>473</v>
      </c>
      <c r="Q3" s="0" t="s">
        <v>937</v>
      </c>
      <c r="R3" s="0" t="s">
        <v>473</v>
      </c>
      <c r="S3" s="0" t="s">
        <v>473</v>
      </c>
      <c r="T3" s="0" t="s">
        <v>473</v>
      </c>
      <c r="U3" s="0" t="s">
        <v>473</v>
      </c>
      <c r="V3" s="0" t="s">
        <v>473</v>
      </c>
      <c r="W3" s="0" t="s">
        <v>473</v>
      </c>
      <c r="X3" s="0" t="s">
        <v>927</v>
      </c>
      <c r="Y3" s="0" t="s">
        <v>473</v>
      </c>
      <c r="AA3" s="0" t="s">
        <v>521</v>
      </c>
    </row>
    <row r="4" customFormat="false" ht="15" hidden="false" customHeight="false" outlineLevel="0" collapsed="false">
      <c r="A4" s="0" t="s">
        <v>555</v>
      </c>
      <c r="B4" s="0" t="s">
        <v>928</v>
      </c>
      <c r="C4" s="0" t="s">
        <v>938</v>
      </c>
      <c r="D4" s="0" t="s">
        <v>939</v>
      </c>
      <c r="E4" s="0" t="s">
        <v>940</v>
      </c>
      <c r="F4" s="0" t="s">
        <v>919</v>
      </c>
      <c r="G4" s="0" t="s">
        <v>941</v>
      </c>
      <c r="H4" s="0" t="s">
        <v>942</v>
      </c>
      <c r="I4" s="0" t="s">
        <v>500</v>
      </c>
      <c r="J4" s="0" t="s">
        <v>943</v>
      </c>
      <c r="K4" s="0" t="s">
        <v>944</v>
      </c>
      <c r="L4" s="0" t="s">
        <v>468</v>
      </c>
      <c r="M4" s="0" t="s">
        <v>945</v>
      </c>
      <c r="N4" s="0" t="s">
        <v>473</v>
      </c>
      <c r="O4" s="0" t="s">
        <v>925</v>
      </c>
      <c r="P4" s="0" t="s">
        <v>473</v>
      </c>
      <c r="Q4" s="0" t="s">
        <v>946</v>
      </c>
      <c r="R4" s="0" t="s">
        <v>473</v>
      </c>
      <c r="S4" s="0" t="s">
        <v>473</v>
      </c>
      <c r="T4" s="0" t="s">
        <v>473</v>
      </c>
      <c r="U4" s="0" t="s">
        <v>473</v>
      </c>
      <c r="V4" s="0" t="s">
        <v>473</v>
      </c>
      <c r="W4" s="0" t="s">
        <v>473</v>
      </c>
      <c r="X4" s="0" t="s">
        <v>927</v>
      </c>
      <c r="Y4" s="0" t="s">
        <v>473</v>
      </c>
      <c r="AA4" s="0" t="s">
        <v>521</v>
      </c>
    </row>
    <row r="5" customFormat="false" ht="15" hidden="false" customHeight="false" outlineLevel="0" collapsed="false">
      <c r="A5" s="0" t="s">
        <v>558</v>
      </c>
      <c r="B5" s="0" t="s">
        <v>928</v>
      </c>
      <c r="C5" s="0" t="s">
        <v>947</v>
      </c>
      <c r="D5" s="0" t="s">
        <v>948</v>
      </c>
      <c r="E5" s="0" t="s">
        <v>949</v>
      </c>
      <c r="F5" s="0" t="s">
        <v>919</v>
      </c>
      <c r="G5" s="0" t="s">
        <v>950</v>
      </c>
      <c r="H5" s="0" t="s">
        <v>951</v>
      </c>
      <c r="I5" s="0" t="s">
        <v>509</v>
      </c>
      <c r="J5" s="0" t="s">
        <v>922</v>
      </c>
      <c r="K5" s="0" t="s">
        <v>952</v>
      </c>
      <c r="L5" s="0" t="s">
        <v>468</v>
      </c>
      <c r="M5" s="0" t="s">
        <v>953</v>
      </c>
      <c r="N5" s="0" t="s">
        <v>473</v>
      </c>
      <c r="O5" s="0" t="s">
        <v>925</v>
      </c>
      <c r="P5" s="0" t="s">
        <v>473</v>
      </c>
      <c r="Q5" s="0" t="s">
        <v>954</v>
      </c>
      <c r="R5" s="0" t="s">
        <v>473</v>
      </c>
      <c r="S5" s="0" t="s">
        <v>473</v>
      </c>
      <c r="T5" s="0" t="s">
        <v>473</v>
      </c>
      <c r="U5" s="0" t="s">
        <v>473</v>
      </c>
      <c r="V5" s="0" t="s">
        <v>473</v>
      </c>
      <c r="W5" s="0" t="s">
        <v>473</v>
      </c>
      <c r="X5" s="0" t="s">
        <v>927</v>
      </c>
      <c r="Y5" s="0" t="s">
        <v>473</v>
      </c>
      <c r="AA5" s="0"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0" t="s">
        <v>955</v>
      </c>
      <c r="B1" s="40" t="s">
        <v>956</v>
      </c>
      <c r="C1" s="40" t="s">
        <v>957</v>
      </c>
      <c r="D1" s="40" t="s">
        <v>958</v>
      </c>
      <c r="E1" s="40" t="s">
        <v>959</v>
      </c>
      <c r="F1" s="40" t="s">
        <v>960</v>
      </c>
      <c r="G1" s="40" t="s">
        <v>961</v>
      </c>
      <c r="H1" s="40" t="s">
        <v>962</v>
      </c>
      <c r="I1" s="40" t="s">
        <v>963</v>
      </c>
      <c r="J1" s="40" t="s">
        <v>964</v>
      </c>
      <c r="K1" s="40" t="s">
        <v>965</v>
      </c>
      <c r="L1" s="40" t="s">
        <v>966</v>
      </c>
      <c r="M1" s="40" t="s">
        <v>967</v>
      </c>
      <c r="N1" s="40" t="s">
        <v>968</v>
      </c>
      <c r="O1" s="40" t="s">
        <v>969</v>
      </c>
      <c r="P1" s="40" t="s">
        <v>970</v>
      </c>
      <c r="Q1" s="40" t="s">
        <v>971</v>
      </c>
      <c r="R1" s="40" t="s">
        <v>972</v>
      </c>
      <c r="S1" s="40" t="s">
        <v>973</v>
      </c>
      <c r="U1" s="23" t="s">
        <v>974</v>
      </c>
    </row>
    <row r="2" customFormat="false" ht="15" hidden="false" customHeight="false" outlineLevel="0" collapsed="false">
      <c r="A2" s="41" t="n">
        <v>46338.5847222222</v>
      </c>
      <c r="B2" s="10" t="s">
        <v>975</v>
      </c>
      <c r="C2" s="10" t="s">
        <v>976</v>
      </c>
      <c r="D2" s="10" t="s">
        <v>859</v>
      </c>
      <c r="E2" s="10" t="s">
        <v>977</v>
      </c>
      <c r="F2" s="10" t="s">
        <v>978</v>
      </c>
      <c r="G2" s="10" t="s">
        <v>979</v>
      </c>
      <c r="H2" s="10" t="s">
        <v>980</v>
      </c>
      <c r="I2" s="0" t="n">
        <v>48</v>
      </c>
      <c r="J2" s="10" t="s">
        <v>981</v>
      </c>
      <c r="M2" s="10" t="s">
        <v>982</v>
      </c>
      <c r="N2" s="10" t="s">
        <v>876</v>
      </c>
      <c r="O2" s="10" t="s">
        <v>983</v>
      </c>
      <c r="P2" s="10" t="s">
        <v>984</v>
      </c>
      <c r="Q2" s="10" t="s">
        <v>985</v>
      </c>
      <c r="S2" s="10" t="s">
        <v>868</v>
      </c>
    </row>
    <row r="3" customFormat="false" ht="15" hidden="false" customHeight="false" outlineLevel="0" collapsed="false">
      <c r="A3" s="41" t="n">
        <v>46351.5861111111</v>
      </c>
      <c r="B3" s="10" t="s">
        <v>986</v>
      </c>
      <c r="C3" s="10" t="s">
        <v>987</v>
      </c>
      <c r="D3" s="10" t="s">
        <v>859</v>
      </c>
      <c r="E3" s="10" t="s">
        <v>988</v>
      </c>
      <c r="F3" s="10" t="s">
        <v>989</v>
      </c>
      <c r="G3" s="10" t="s">
        <v>990</v>
      </c>
      <c r="H3" s="10" t="s">
        <v>991</v>
      </c>
      <c r="I3" s="0" t="n">
        <v>110</v>
      </c>
      <c r="J3" s="10" t="s">
        <v>981</v>
      </c>
      <c r="M3" s="10" t="s">
        <v>992</v>
      </c>
      <c r="N3" s="10" t="s">
        <v>886</v>
      </c>
      <c r="O3" s="10" t="s">
        <v>983</v>
      </c>
      <c r="P3" s="10" t="s">
        <v>984</v>
      </c>
      <c r="Q3" s="10" t="s">
        <v>993</v>
      </c>
      <c r="S3" s="10" t="s">
        <v>868</v>
      </c>
    </row>
    <row r="4" customFormat="false" ht="15" hidden="false" customHeight="false" outlineLevel="0" collapsed="false">
      <c r="A4" s="41" t="n">
        <v>46388.5888888889</v>
      </c>
      <c r="B4" s="10" t="s">
        <v>994</v>
      </c>
      <c r="C4" s="10" t="s">
        <v>995</v>
      </c>
      <c r="D4" s="10" t="s">
        <v>859</v>
      </c>
      <c r="E4" s="10" t="s">
        <v>996</v>
      </c>
      <c r="F4" s="10" t="s">
        <v>997</v>
      </c>
      <c r="G4" s="10" t="s">
        <v>998</v>
      </c>
      <c r="H4" s="10" t="s">
        <v>999</v>
      </c>
      <c r="I4" s="0" t="n">
        <v>80</v>
      </c>
      <c r="J4" s="10" t="s">
        <v>981</v>
      </c>
      <c r="M4" s="10" t="s">
        <v>982</v>
      </c>
      <c r="N4" s="10" t="s">
        <v>876</v>
      </c>
      <c r="O4" s="10" t="s">
        <v>1000</v>
      </c>
      <c r="P4" s="10" t="s">
        <v>984</v>
      </c>
      <c r="Q4" s="10" t="s">
        <v>1001</v>
      </c>
      <c r="S4" s="10" t="s">
        <v>868</v>
      </c>
    </row>
    <row r="5" customFormat="false" ht="15" hidden="false" customHeight="false" outlineLevel="0" collapsed="false">
      <c r="A5" s="41" t="n">
        <v>46394.5902777778</v>
      </c>
      <c r="B5" s="10" t="s">
        <v>1002</v>
      </c>
      <c r="C5" s="10" t="s">
        <v>1003</v>
      </c>
      <c r="D5" s="10" t="s">
        <v>859</v>
      </c>
      <c r="E5" s="10" t="s">
        <v>1004</v>
      </c>
      <c r="F5" s="10" t="s">
        <v>1005</v>
      </c>
      <c r="G5" s="10" t="s">
        <v>1006</v>
      </c>
      <c r="H5" s="10" t="s">
        <v>863</v>
      </c>
      <c r="I5" s="0" t="n">
        <v>45</v>
      </c>
      <c r="J5" s="10" t="s">
        <v>981</v>
      </c>
      <c r="M5" s="10" t="s">
        <v>1007</v>
      </c>
      <c r="N5" s="10" t="s">
        <v>865</v>
      </c>
      <c r="O5" s="10" t="s">
        <v>983</v>
      </c>
      <c r="P5" s="10" t="s">
        <v>984</v>
      </c>
      <c r="Q5" s="10" t="s">
        <v>1008</v>
      </c>
      <c r="S5" s="10" t="s">
        <v>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0" t="s">
        <v>955</v>
      </c>
      <c r="B1" s="40" t="s">
        <v>1009</v>
      </c>
      <c r="C1" s="40" t="s">
        <v>1010</v>
      </c>
      <c r="D1" s="40" t="s">
        <v>1011</v>
      </c>
      <c r="E1" s="40" t="s">
        <v>1012</v>
      </c>
      <c r="F1" s="40" t="s">
        <v>1013</v>
      </c>
      <c r="G1" s="40" t="s">
        <v>957</v>
      </c>
      <c r="H1" s="40" t="s">
        <v>1014</v>
      </c>
      <c r="I1" s="40" t="s">
        <v>959</v>
      </c>
      <c r="J1" s="40" t="s">
        <v>960</v>
      </c>
      <c r="K1" s="40" t="s">
        <v>1015</v>
      </c>
      <c r="L1" s="40" t="s">
        <v>1016</v>
      </c>
      <c r="M1" s="40" t="s">
        <v>1017</v>
      </c>
      <c r="N1" s="40" t="s">
        <v>1018</v>
      </c>
      <c r="O1" s="40" t="s">
        <v>1019</v>
      </c>
      <c r="P1" s="40" t="s">
        <v>1020</v>
      </c>
      <c r="Q1" s="40" t="s">
        <v>1021</v>
      </c>
      <c r="R1" s="40" t="s">
        <v>1022</v>
      </c>
      <c r="S1" s="40" t="s">
        <v>1023</v>
      </c>
      <c r="T1" s="40" t="s">
        <v>1024</v>
      </c>
      <c r="U1" s="40" t="s">
        <v>1025</v>
      </c>
      <c r="V1" s="40" t="s">
        <v>1026</v>
      </c>
      <c r="W1" s="40" t="s">
        <v>1027</v>
      </c>
      <c r="X1" s="40" t="s">
        <v>1028</v>
      </c>
      <c r="Y1" s="40" t="s">
        <v>1029</v>
      </c>
      <c r="AA1" s="23" t="s">
        <v>1030</v>
      </c>
    </row>
    <row r="2" customFormat="false" ht="15" hidden="false" customHeight="false" outlineLevel="0" collapsed="false">
      <c r="A2" s="41" t="n">
        <v>46345.5868055556</v>
      </c>
      <c r="B2" s="10" t="s">
        <v>1031</v>
      </c>
      <c r="C2" s="10" t="s">
        <v>1032</v>
      </c>
      <c r="D2" s="10" t="s">
        <v>480</v>
      </c>
      <c r="E2" s="10" t="s">
        <v>1033</v>
      </c>
      <c r="F2" s="10" t="s">
        <v>1034</v>
      </c>
      <c r="G2" s="10" t="s">
        <v>1035</v>
      </c>
      <c r="H2" s="10" t="s">
        <v>919</v>
      </c>
      <c r="I2" s="10" t="s">
        <v>1036</v>
      </c>
      <c r="J2" s="10" t="s">
        <v>1037</v>
      </c>
      <c r="K2" s="10" t="s">
        <v>1038</v>
      </c>
      <c r="M2" s="10" t="s">
        <v>468</v>
      </c>
      <c r="N2" s="10" t="s">
        <v>1039</v>
      </c>
      <c r="O2" s="10" t="s">
        <v>1000</v>
      </c>
      <c r="P2" s="10" t="s">
        <v>925</v>
      </c>
      <c r="Q2" s="10" t="s">
        <v>1000</v>
      </c>
      <c r="R2" s="10" t="s">
        <v>1000</v>
      </c>
      <c r="S2" s="10" t="s">
        <v>1000</v>
      </c>
      <c r="T2" s="10" t="s">
        <v>1000</v>
      </c>
      <c r="U2" s="10" t="s">
        <v>1000</v>
      </c>
      <c r="V2" s="10" t="s">
        <v>1000</v>
      </c>
      <c r="W2" s="10" t="s">
        <v>927</v>
      </c>
      <c r="X2" s="10" t="s">
        <v>1040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853</v>
      </c>
      <c r="B1" s="29" t="s">
        <v>854</v>
      </c>
      <c r="C1" s="29" t="s">
        <v>136</v>
      </c>
      <c r="D1" s="29" t="s">
        <v>523</v>
      </c>
      <c r="E1" s="29" t="s">
        <v>524</v>
      </c>
      <c r="F1" s="29" t="s">
        <v>525</v>
      </c>
      <c r="G1" s="29" t="s">
        <v>526</v>
      </c>
      <c r="H1" s="29" t="s">
        <v>572</v>
      </c>
      <c r="I1" s="29" t="s">
        <v>573</v>
      </c>
      <c r="J1" s="29" t="s">
        <v>574</v>
      </c>
      <c r="K1" s="29" t="s">
        <v>575</v>
      </c>
      <c r="L1" s="29" t="s">
        <v>576</v>
      </c>
      <c r="M1" s="29" t="s">
        <v>577</v>
      </c>
      <c r="N1" s="29" t="s">
        <v>578</v>
      </c>
      <c r="O1" s="29" t="s">
        <v>579</v>
      </c>
      <c r="P1" s="29" t="s">
        <v>580</v>
      </c>
      <c r="Q1" s="29" t="s">
        <v>581</v>
      </c>
      <c r="R1" s="29" t="s">
        <v>582</v>
      </c>
      <c r="S1" s="29" t="s">
        <v>583</v>
      </c>
      <c r="T1" s="29" t="s">
        <v>302</v>
      </c>
      <c r="U1" s="29" t="s">
        <v>698</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853</v>
      </c>
      <c r="B1" s="29" t="s">
        <v>854</v>
      </c>
      <c r="C1" s="29" t="s">
        <v>399</v>
      </c>
      <c r="D1" s="29" t="s">
        <v>521</v>
      </c>
      <c r="E1" s="29" t="s">
        <v>523</v>
      </c>
      <c r="F1" s="29" t="s">
        <v>524</v>
      </c>
      <c r="G1" s="29" t="s">
        <v>525</v>
      </c>
      <c r="H1" s="29" t="s">
        <v>526</v>
      </c>
      <c r="I1" s="29" t="s">
        <v>353</v>
      </c>
      <c r="J1" s="29" t="s">
        <v>400</v>
      </c>
      <c r="K1" s="29" t="s">
        <v>522</v>
      </c>
      <c r="L1" s="29" t="s">
        <v>528</v>
      </c>
      <c r="M1" s="29" t="s">
        <v>527</v>
      </c>
      <c r="N1" s="29" t="s">
        <v>529</v>
      </c>
      <c r="O1" s="29" t="s">
        <v>913</v>
      </c>
      <c r="P1" s="29" t="s">
        <v>914</v>
      </c>
      <c r="Q1" s="29" t="s">
        <v>530</v>
      </c>
      <c r="R1" s="29" t="s">
        <v>531</v>
      </c>
      <c r="S1" s="29" t="s">
        <v>532</v>
      </c>
      <c r="T1" s="29" t="s">
        <v>533</v>
      </c>
      <c r="U1" s="29" t="s">
        <v>534</v>
      </c>
      <c r="V1" s="29" t="s">
        <v>535</v>
      </c>
      <c r="W1" s="29" t="s">
        <v>536</v>
      </c>
      <c r="X1" s="29" t="s">
        <v>537</v>
      </c>
      <c r="Y1" s="29" t="s">
        <v>538</v>
      </c>
      <c r="Z1" s="29" t="s">
        <v>302</v>
      </c>
      <c r="AA1" s="29" t="s">
        <v>698</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5" min="1" style="0" width="14"/>
  </cols>
  <sheetData>
    <row r="1" customFormat="false" ht="15" hidden="false" customHeight="false" outlineLevel="0" collapsed="false">
      <c r="A1" s="39" t="s">
        <v>853</v>
      </c>
      <c r="B1" s="39" t="s">
        <v>854</v>
      </c>
      <c r="C1" s="39" t="s">
        <v>136</v>
      </c>
      <c r="D1" s="39" t="s">
        <v>523</v>
      </c>
      <c r="E1" s="39" t="s">
        <v>524</v>
      </c>
      <c r="F1" s="39" t="s">
        <v>525</v>
      </c>
      <c r="G1" s="39" t="s">
        <v>526</v>
      </c>
      <c r="H1" s="39" t="s">
        <v>572</v>
      </c>
      <c r="I1" s="39" t="s">
        <v>573</v>
      </c>
      <c r="J1" s="39" t="s">
        <v>574</v>
      </c>
      <c r="K1" s="39" t="s">
        <v>575</v>
      </c>
      <c r="L1" s="39" t="s">
        <v>576</v>
      </c>
      <c r="M1" s="39" t="s">
        <v>577</v>
      </c>
      <c r="N1" s="39" t="s">
        <v>578</v>
      </c>
      <c r="O1" s="39" t="s">
        <v>579</v>
      </c>
      <c r="P1" s="39" t="s">
        <v>580</v>
      </c>
      <c r="Q1" s="39" t="s">
        <v>581</v>
      </c>
      <c r="R1" s="39" t="s">
        <v>582</v>
      </c>
      <c r="S1" s="39" t="s">
        <v>583</v>
      </c>
      <c r="T1" s="39" t="s">
        <v>302</v>
      </c>
      <c r="U1" s="39" t="s">
        <v>698</v>
      </c>
      <c r="V1" s="39" t="s">
        <v>561</v>
      </c>
      <c r="W1" s="39" t="s">
        <v>586</v>
      </c>
      <c r="X1" s="39" t="s">
        <v>351</v>
      </c>
      <c r="Y1" s="39" t="s">
        <v>1041</v>
      </c>
      <c r="Z1" s="39" t="s">
        <v>584</v>
      </c>
      <c r="AA1" s="39" t="s">
        <v>1042</v>
      </c>
      <c r="AB1" s="39" t="s">
        <v>1043</v>
      </c>
      <c r="AC1" s="39" t="s">
        <v>1044</v>
      </c>
      <c r="AD1" s="39" t="s">
        <v>587</v>
      </c>
      <c r="AE1" s="39" t="s">
        <v>1045</v>
      </c>
      <c r="AF1" s="39" t="s">
        <v>1046</v>
      </c>
      <c r="AG1" s="39" t="s">
        <v>585</v>
      </c>
      <c r="AH1" s="39" t="s">
        <v>352</v>
      </c>
      <c r="AI1" s="39" t="s">
        <v>562</v>
      </c>
    </row>
    <row r="2" customFormat="false" ht="15" hidden="false" customHeight="false" outlineLevel="0" collapsed="false">
      <c r="A2" s="0" t="s">
        <v>855</v>
      </c>
      <c r="B2" s="0" t="s">
        <v>856</v>
      </c>
      <c r="C2" s="0" t="s">
        <v>857</v>
      </c>
      <c r="D2" s="0" t="s">
        <v>858</v>
      </c>
      <c r="E2" s="0" t="s">
        <v>859</v>
      </c>
      <c r="F2" s="0" t="s">
        <v>860</v>
      </c>
      <c r="G2" s="0" t="s">
        <v>861</v>
      </c>
      <c r="H2" s="0" t="s">
        <v>862</v>
      </c>
      <c r="I2" s="0" t="s">
        <v>863</v>
      </c>
      <c r="J2" s="0" t="n">
        <v>52</v>
      </c>
      <c r="K2" s="0" t="s">
        <v>858</v>
      </c>
      <c r="L2" s="0" t="s">
        <v>859</v>
      </c>
      <c r="M2" s="0" t="s">
        <v>473</v>
      </c>
      <c r="N2" s="0" t="s">
        <v>864</v>
      </c>
      <c r="O2" s="0" t="s">
        <v>865</v>
      </c>
      <c r="P2" s="0" t="s">
        <v>144</v>
      </c>
      <c r="Q2" s="0" t="s">
        <v>866</v>
      </c>
      <c r="R2" s="0" t="s">
        <v>867</v>
      </c>
      <c r="T2" s="0" t="s">
        <v>868</v>
      </c>
      <c r="U2" s="0" t="s">
        <v>521</v>
      </c>
      <c r="V2" s="0" t="s">
        <v>594</v>
      </c>
      <c r="W2" s="0" t="s">
        <v>1047</v>
      </c>
      <c r="X2" s="11" t="n">
        <v>46342</v>
      </c>
      <c r="Y2" s="10" t="s">
        <v>1048</v>
      </c>
      <c r="Z2" s="10" t="s">
        <v>473</v>
      </c>
      <c r="AA2" s="10" t="s">
        <v>1049</v>
      </c>
      <c r="AB2" s="11" t="n">
        <v>46336</v>
      </c>
      <c r="AD2" s="10" t="s">
        <v>1050</v>
      </c>
      <c r="AE2" s="10" t="s">
        <v>861</v>
      </c>
      <c r="AF2" s="10" t="s">
        <v>860</v>
      </c>
      <c r="AG2" s="10" t="s">
        <v>487</v>
      </c>
      <c r="AH2" s="10" t="s">
        <v>462</v>
      </c>
    </row>
    <row r="3" customFormat="false" ht="15" hidden="false" customHeight="false" outlineLevel="0" collapsed="false">
      <c r="A3" s="0" t="s">
        <v>1051</v>
      </c>
      <c r="B3" s="0" t="s">
        <v>251</v>
      </c>
      <c r="C3" s="0" t="s">
        <v>975</v>
      </c>
      <c r="D3" s="0" t="s">
        <v>976</v>
      </c>
      <c r="E3" s="0" t="s">
        <v>859</v>
      </c>
      <c r="F3" s="0" t="s">
        <v>977</v>
      </c>
      <c r="G3" s="0" t="s">
        <v>978</v>
      </c>
      <c r="H3" s="0" t="s">
        <v>979</v>
      </c>
      <c r="I3" s="0" t="s">
        <v>980</v>
      </c>
      <c r="J3" s="0" t="n">
        <v>48</v>
      </c>
      <c r="K3" s="0" t="s">
        <v>976</v>
      </c>
      <c r="L3" s="0" t="s">
        <v>859</v>
      </c>
      <c r="M3" s="0" t="s">
        <v>473</v>
      </c>
      <c r="N3" s="0" t="s">
        <v>673</v>
      </c>
      <c r="O3" s="0" t="s">
        <v>876</v>
      </c>
      <c r="P3" s="0" t="s">
        <v>144</v>
      </c>
      <c r="Q3" s="0" t="s">
        <v>1052</v>
      </c>
      <c r="R3" s="0" t="s">
        <v>1053</v>
      </c>
      <c r="T3" s="0" t="s">
        <v>868</v>
      </c>
      <c r="U3" s="0" t="s">
        <v>335</v>
      </c>
      <c r="V3" s="0" t="s">
        <v>597</v>
      </c>
      <c r="W3" s="0" t="s">
        <v>1054</v>
      </c>
      <c r="X3" s="11" t="n">
        <v>46344</v>
      </c>
      <c r="Y3" s="10" t="s">
        <v>1055</v>
      </c>
      <c r="Z3" s="10" t="s">
        <v>487</v>
      </c>
      <c r="AA3" s="10" t="s">
        <v>1049</v>
      </c>
      <c r="AB3" s="11" t="n">
        <v>46338</v>
      </c>
      <c r="AD3" s="10" t="s">
        <v>1056</v>
      </c>
      <c r="AE3" s="10" t="s">
        <v>978</v>
      </c>
      <c r="AF3" s="10" t="s">
        <v>977</v>
      </c>
      <c r="AG3" s="10" t="s">
        <v>487</v>
      </c>
      <c r="AH3" s="10" t="s">
        <v>462</v>
      </c>
    </row>
    <row r="4" customFormat="false" ht="15" hidden="false" customHeight="false" outlineLevel="0" collapsed="false">
      <c r="A4" s="0" t="s">
        <v>869</v>
      </c>
      <c r="B4" s="0" t="s">
        <v>856</v>
      </c>
      <c r="C4" s="0" t="s">
        <v>870</v>
      </c>
      <c r="D4" s="0" t="s">
        <v>871</v>
      </c>
      <c r="E4" s="0" t="s">
        <v>859</v>
      </c>
      <c r="F4" s="0" t="s">
        <v>872</v>
      </c>
      <c r="G4" s="0" t="s">
        <v>873</v>
      </c>
      <c r="H4" s="0" t="s">
        <v>874</v>
      </c>
      <c r="I4" s="0" t="s">
        <v>875</v>
      </c>
      <c r="J4" s="0" t="n">
        <v>95</v>
      </c>
      <c r="K4" s="0" t="s">
        <v>871</v>
      </c>
      <c r="L4" s="0" t="s">
        <v>859</v>
      </c>
      <c r="M4" s="0" t="s">
        <v>473</v>
      </c>
      <c r="N4" s="0" t="s">
        <v>864</v>
      </c>
      <c r="O4" s="0" t="s">
        <v>876</v>
      </c>
      <c r="P4" s="0" t="s">
        <v>877</v>
      </c>
      <c r="Q4" s="0" t="s">
        <v>866</v>
      </c>
      <c r="R4" s="0" t="s">
        <v>878</v>
      </c>
      <c r="T4" s="0" t="s">
        <v>868</v>
      </c>
      <c r="U4" s="0" t="s">
        <v>521</v>
      </c>
      <c r="V4" s="0" t="s">
        <v>599</v>
      </c>
      <c r="W4" s="0" t="s">
        <v>1057</v>
      </c>
      <c r="X4" s="11" t="n">
        <v>46350</v>
      </c>
      <c r="Y4" s="10" t="s">
        <v>1058</v>
      </c>
      <c r="Z4" s="10" t="s">
        <v>473</v>
      </c>
      <c r="AA4" s="10" t="s">
        <v>1059</v>
      </c>
      <c r="AB4" s="11" t="n">
        <v>46344</v>
      </c>
      <c r="AC4" s="0" t="n">
        <v>200</v>
      </c>
      <c r="AD4" s="10" t="s">
        <v>1060</v>
      </c>
      <c r="AE4" s="10" t="s">
        <v>873</v>
      </c>
      <c r="AF4" s="10" t="s">
        <v>872</v>
      </c>
      <c r="AG4" s="10" t="s">
        <v>487</v>
      </c>
      <c r="AH4" s="10" t="s">
        <v>462</v>
      </c>
    </row>
    <row r="5" customFormat="false" ht="15" hidden="false" customHeight="false" outlineLevel="0" collapsed="false">
      <c r="A5" s="0" t="s">
        <v>1061</v>
      </c>
      <c r="B5" s="0" t="s">
        <v>251</v>
      </c>
      <c r="C5" s="0" t="s">
        <v>986</v>
      </c>
      <c r="D5" s="0" t="s">
        <v>987</v>
      </c>
      <c r="E5" s="0" t="s">
        <v>859</v>
      </c>
      <c r="F5" s="0" t="s">
        <v>988</v>
      </c>
      <c r="G5" s="0" t="s">
        <v>989</v>
      </c>
      <c r="H5" s="0" t="s">
        <v>990</v>
      </c>
      <c r="I5" s="0" t="s">
        <v>991</v>
      </c>
      <c r="J5" s="0" t="n">
        <v>110</v>
      </c>
      <c r="K5" s="0" t="s">
        <v>987</v>
      </c>
      <c r="L5" s="0" t="s">
        <v>859</v>
      </c>
      <c r="M5" s="0" t="s">
        <v>473</v>
      </c>
      <c r="N5" s="0" t="s">
        <v>1062</v>
      </c>
      <c r="O5" s="0" t="s">
        <v>886</v>
      </c>
      <c r="P5" s="0" t="s">
        <v>144</v>
      </c>
      <c r="Q5" s="0" t="s">
        <v>1052</v>
      </c>
      <c r="R5" s="0" t="s">
        <v>1063</v>
      </c>
      <c r="T5" s="0" t="s">
        <v>868</v>
      </c>
      <c r="U5" s="0" t="s">
        <v>335</v>
      </c>
      <c r="V5" s="0" t="s">
        <v>602</v>
      </c>
      <c r="W5" s="0" t="s">
        <v>1064</v>
      </c>
      <c r="X5" s="11" t="n">
        <v>46357</v>
      </c>
      <c r="Y5" s="10" t="s">
        <v>1065</v>
      </c>
      <c r="Z5" s="10" t="s">
        <v>487</v>
      </c>
      <c r="AA5" s="10" t="s">
        <v>1049</v>
      </c>
      <c r="AB5" s="11" t="n">
        <v>46351</v>
      </c>
      <c r="AD5" s="10" t="s">
        <v>1066</v>
      </c>
      <c r="AE5" s="10" t="s">
        <v>989</v>
      </c>
      <c r="AF5" s="10" t="s">
        <v>988</v>
      </c>
      <c r="AG5" s="10" t="s">
        <v>487</v>
      </c>
      <c r="AH5" s="10" t="s">
        <v>462</v>
      </c>
    </row>
    <row r="6" customFormat="false" ht="15" hidden="false" customHeight="false" outlineLevel="0" collapsed="false">
      <c r="A6" s="0" t="s">
        <v>879</v>
      </c>
      <c r="B6" s="0" t="s">
        <v>856</v>
      </c>
      <c r="C6" s="0" t="s">
        <v>880</v>
      </c>
      <c r="D6" s="0" t="s">
        <v>881</v>
      </c>
      <c r="E6" s="0" t="s">
        <v>859</v>
      </c>
      <c r="F6" s="0" t="s">
        <v>882</v>
      </c>
      <c r="G6" s="0" t="s">
        <v>883</v>
      </c>
      <c r="H6" s="0" t="s">
        <v>884</v>
      </c>
      <c r="I6" s="0" t="s">
        <v>885</v>
      </c>
      <c r="J6" s="0" t="n">
        <v>190</v>
      </c>
      <c r="K6" s="0" t="s">
        <v>881</v>
      </c>
      <c r="L6" s="0" t="s">
        <v>859</v>
      </c>
      <c r="M6" s="0" t="s">
        <v>473</v>
      </c>
      <c r="N6" s="0" t="s">
        <v>673</v>
      </c>
      <c r="O6" s="0" t="s">
        <v>886</v>
      </c>
      <c r="P6" s="0" t="s">
        <v>652</v>
      </c>
      <c r="Q6" s="0" t="s">
        <v>866</v>
      </c>
      <c r="R6" s="0" t="s">
        <v>887</v>
      </c>
      <c r="T6" s="0" t="s">
        <v>868</v>
      </c>
      <c r="U6" s="0" t="s">
        <v>521</v>
      </c>
      <c r="V6" s="0" t="s">
        <v>604</v>
      </c>
      <c r="W6" s="0" t="s">
        <v>1067</v>
      </c>
      <c r="X6" s="11" t="n">
        <v>46359</v>
      </c>
      <c r="Y6" s="10" t="s">
        <v>1068</v>
      </c>
      <c r="Z6" s="10" t="s">
        <v>487</v>
      </c>
      <c r="AA6" s="10" t="s">
        <v>1049</v>
      </c>
      <c r="AB6" s="11" t="n">
        <v>46353</v>
      </c>
      <c r="AD6" s="10" t="s">
        <v>1069</v>
      </c>
      <c r="AE6" s="10" t="s">
        <v>883</v>
      </c>
      <c r="AF6" s="10" t="s">
        <v>882</v>
      </c>
      <c r="AG6" s="10" t="s">
        <v>487</v>
      </c>
      <c r="AH6" s="10" t="s">
        <v>462</v>
      </c>
    </row>
    <row r="7" customFormat="false" ht="15" hidden="false" customHeight="false" outlineLevel="0" collapsed="false">
      <c r="A7" s="0" t="s">
        <v>888</v>
      </c>
      <c r="B7" s="0" t="s">
        <v>856</v>
      </c>
      <c r="C7" s="0" t="s">
        <v>889</v>
      </c>
      <c r="D7" s="0" t="s">
        <v>890</v>
      </c>
      <c r="E7" s="0" t="s">
        <v>859</v>
      </c>
      <c r="F7" s="0" t="s">
        <v>891</v>
      </c>
      <c r="G7" s="0" t="s">
        <v>892</v>
      </c>
      <c r="H7" s="0" t="s">
        <v>893</v>
      </c>
      <c r="I7" s="0" t="s">
        <v>894</v>
      </c>
      <c r="J7" s="0" t="n">
        <v>65</v>
      </c>
      <c r="K7" s="0" t="s">
        <v>890</v>
      </c>
      <c r="L7" s="0" t="s">
        <v>859</v>
      </c>
      <c r="M7" s="0" t="s">
        <v>473</v>
      </c>
      <c r="N7" s="0" t="s">
        <v>864</v>
      </c>
      <c r="O7" s="0" t="s">
        <v>865</v>
      </c>
      <c r="P7" s="0" t="s">
        <v>144</v>
      </c>
      <c r="Q7" s="0" t="s">
        <v>866</v>
      </c>
      <c r="R7" s="0" t="s">
        <v>895</v>
      </c>
      <c r="T7" s="0" t="s">
        <v>868</v>
      </c>
      <c r="U7" s="0" t="s">
        <v>521</v>
      </c>
      <c r="V7" s="0" t="s">
        <v>606</v>
      </c>
      <c r="W7" s="0" t="s">
        <v>1070</v>
      </c>
      <c r="X7" s="11" t="n">
        <v>46392</v>
      </c>
      <c r="Y7" s="10" t="s">
        <v>1071</v>
      </c>
      <c r="Z7" s="10" t="s">
        <v>487</v>
      </c>
      <c r="AA7" s="10" t="s">
        <v>1049</v>
      </c>
      <c r="AB7" s="11" t="n">
        <v>46386</v>
      </c>
      <c r="AD7" s="10" t="s">
        <v>1050</v>
      </c>
      <c r="AE7" s="10" t="s">
        <v>892</v>
      </c>
      <c r="AF7" s="10" t="s">
        <v>891</v>
      </c>
      <c r="AG7" s="10" t="s">
        <v>487</v>
      </c>
      <c r="AH7" s="10" t="s">
        <v>462</v>
      </c>
    </row>
    <row r="8" customFormat="false" ht="15" hidden="false" customHeight="false" outlineLevel="0" collapsed="false">
      <c r="A8" s="0" t="s">
        <v>896</v>
      </c>
      <c r="B8" s="0" t="s">
        <v>856</v>
      </c>
      <c r="C8" s="0" t="s">
        <v>897</v>
      </c>
      <c r="D8" s="0" t="s">
        <v>898</v>
      </c>
      <c r="E8" s="0" t="s">
        <v>859</v>
      </c>
      <c r="F8" s="0" t="s">
        <v>899</v>
      </c>
      <c r="G8" s="0" t="s">
        <v>900</v>
      </c>
      <c r="H8" s="0" t="s">
        <v>901</v>
      </c>
      <c r="I8" s="0" t="s">
        <v>902</v>
      </c>
      <c r="J8" s="0" t="n">
        <v>140</v>
      </c>
      <c r="K8" s="0" t="s">
        <v>898</v>
      </c>
      <c r="L8" s="0" t="s">
        <v>859</v>
      </c>
      <c r="M8" s="0" t="s">
        <v>473</v>
      </c>
      <c r="N8" s="0" t="s">
        <v>673</v>
      </c>
      <c r="O8" s="0" t="s">
        <v>876</v>
      </c>
      <c r="P8" s="0" t="s">
        <v>144</v>
      </c>
      <c r="Q8" s="0" t="s">
        <v>866</v>
      </c>
      <c r="R8" s="0" t="s">
        <v>903</v>
      </c>
      <c r="S8" s="0" t="s">
        <v>904</v>
      </c>
      <c r="T8" s="0" t="s">
        <v>868</v>
      </c>
      <c r="U8" s="0" t="s">
        <v>521</v>
      </c>
      <c r="V8" s="0" t="s">
        <v>608</v>
      </c>
      <c r="W8" s="0" t="s">
        <v>1072</v>
      </c>
      <c r="X8" s="11" t="n">
        <v>46393</v>
      </c>
      <c r="Y8" s="10" t="s">
        <v>1073</v>
      </c>
      <c r="Z8" s="10" t="s">
        <v>487</v>
      </c>
      <c r="AA8" s="10" t="s">
        <v>1049</v>
      </c>
      <c r="AB8" s="11" t="n">
        <v>46387</v>
      </c>
      <c r="AD8" s="10" t="s">
        <v>1074</v>
      </c>
      <c r="AE8" s="10" t="s">
        <v>900</v>
      </c>
      <c r="AF8" s="10" t="s">
        <v>899</v>
      </c>
      <c r="AG8" s="10" t="s">
        <v>487</v>
      </c>
      <c r="AH8" s="10" t="s">
        <v>462</v>
      </c>
    </row>
    <row r="9" customFormat="false" ht="15" hidden="false" customHeight="false" outlineLevel="0" collapsed="false">
      <c r="A9" s="0" t="s">
        <v>1075</v>
      </c>
      <c r="B9" s="0" t="s">
        <v>251</v>
      </c>
      <c r="C9" s="0" t="s">
        <v>994</v>
      </c>
      <c r="D9" s="0" t="s">
        <v>995</v>
      </c>
      <c r="E9" s="0" t="s">
        <v>859</v>
      </c>
      <c r="F9" s="0" t="s">
        <v>996</v>
      </c>
      <c r="G9" s="0" t="s">
        <v>997</v>
      </c>
      <c r="H9" s="0" t="s">
        <v>998</v>
      </c>
      <c r="I9" s="0" t="s">
        <v>999</v>
      </c>
      <c r="J9" s="0" t="n">
        <v>80</v>
      </c>
      <c r="K9" s="0" t="s">
        <v>995</v>
      </c>
      <c r="L9" s="0" t="s">
        <v>859</v>
      </c>
      <c r="M9" s="0" t="s">
        <v>473</v>
      </c>
      <c r="N9" s="0" t="s">
        <v>673</v>
      </c>
      <c r="O9" s="0" t="s">
        <v>876</v>
      </c>
      <c r="P9" s="0" t="s">
        <v>652</v>
      </c>
      <c r="Q9" s="0" t="s">
        <v>1052</v>
      </c>
      <c r="R9" s="0" t="s">
        <v>1076</v>
      </c>
      <c r="T9" s="0" t="s">
        <v>868</v>
      </c>
      <c r="U9" s="0" t="s">
        <v>335</v>
      </c>
      <c r="V9" s="0" t="s">
        <v>610</v>
      </c>
      <c r="W9" s="0" t="s">
        <v>1077</v>
      </c>
      <c r="X9" s="11" t="n">
        <v>46394</v>
      </c>
      <c r="Y9" s="10" t="s">
        <v>1078</v>
      </c>
      <c r="Z9" s="10" t="s">
        <v>487</v>
      </c>
      <c r="AA9" s="10" t="s">
        <v>1049</v>
      </c>
      <c r="AB9" s="11" t="n">
        <v>46388</v>
      </c>
      <c r="AD9" s="10" t="s">
        <v>1079</v>
      </c>
      <c r="AE9" s="10" t="s">
        <v>997</v>
      </c>
      <c r="AF9" s="10" t="s">
        <v>996</v>
      </c>
      <c r="AG9" s="10" t="s">
        <v>487</v>
      </c>
      <c r="AH9" s="10" t="s">
        <v>462</v>
      </c>
    </row>
    <row r="10" customFormat="false" ht="15" hidden="false" customHeight="false" outlineLevel="0" collapsed="false">
      <c r="A10" s="0" t="s">
        <v>905</v>
      </c>
      <c r="B10" s="0" t="s">
        <v>856</v>
      </c>
      <c r="C10" s="0" t="s">
        <v>906</v>
      </c>
      <c r="D10" s="0" t="s">
        <v>907</v>
      </c>
      <c r="E10" s="0" t="s">
        <v>859</v>
      </c>
      <c r="F10" s="0" t="s">
        <v>908</v>
      </c>
      <c r="G10" s="0" t="s">
        <v>909</v>
      </c>
      <c r="H10" s="0" t="s">
        <v>910</v>
      </c>
      <c r="I10" s="0" t="s">
        <v>911</v>
      </c>
      <c r="J10" s="0" t="n">
        <v>220</v>
      </c>
      <c r="K10" s="0" t="s">
        <v>907</v>
      </c>
      <c r="L10" s="0" t="s">
        <v>859</v>
      </c>
      <c r="M10" s="0" t="s">
        <v>473</v>
      </c>
      <c r="N10" s="0" t="s">
        <v>673</v>
      </c>
      <c r="O10" s="0" t="s">
        <v>886</v>
      </c>
      <c r="P10" s="0" t="s">
        <v>144</v>
      </c>
      <c r="Q10" s="0" t="s">
        <v>866</v>
      </c>
      <c r="R10" s="0" t="s">
        <v>912</v>
      </c>
      <c r="T10" s="0" t="s">
        <v>868</v>
      </c>
      <c r="U10" s="0" t="s">
        <v>521</v>
      </c>
      <c r="V10" s="0" t="s">
        <v>612</v>
      </c>
      <c r="W10" s="0" t="s">
        <v>1080</v>
      </c>
      <c r="X10" s="11" t="n">
        <v>46395</v>
      </c>
      <c r="Y10" s="10" t="s">
        <v>1081</v>
      </c>
      <c r="Z10" s="10" t="s">
        <v>487</v>
      </c>
      <c r="AA10" s="10" t="s">
        <v>1049</v>
      </c>
      <c r="AB10" s="11" t="n">
        <v>46389</v>
      </c>
      <c r="AD10" s="10" t="s">
        <v>1082</v>
      </c>
      <c r="AE10" s="10" t="s">
        <v>909</v>
      </c>
      <c r="AF10" s="10" t="s">
        <v>908</v>
      </c>
      <c r="AG10" s="10" t="s">
        <v>487</v>
      </c>
      <c r="AH10" s="10" t="s">
        <v>462</v>
      </c>
    </row>
    <row r="11" customFormat="false" ht="15" hidden="false" customHeight="false" outlineLevel="0" collapsed="false">
      <c r="A11" s="0" t="s">
        <v>1083</v>
      </c>
      <c r="B11" s="0" t="s">
        <v>251</v>
      </c>
      <c r="C11" s="0" t="s">
        <v>1002</v>
      </c>
      <c r="D11" s="0" t="s">
        <v>1003</v>
      </c>
      <c r="E11" s="0" t="s">
        <v>859</v>
      </c>
      <c r="F11" s="0" t="s">
        <v>1004</v>
      </c>
      <c r="G11" s="0" t="s">
        <v>1005</v>
      </c>
      <c r="H11" s="0" t="s">
        <v>1006</v>
      </c>
      <c r="I11" s="0" t="s">
        <v>863</v>
      </c>
      <c r="J11" s="0" t="n">
        <v>45</v>
      </c>
      <c r="K11" s="0" t="s">
        <v>1003</v>
      </c>
      <c r="L11" s="0" t="s">
        <v>859</v>
      </c>
      <c r="M11" s="0" t="s">
        <v>473</v>
      </c>
      <c r="N11" s="0" t="s">
        <v>864</v>
      </c>
      <c r="O11" s="0" t="s">
        <v>865</v>
      </c>
      <c r="P11" s="0" t="s">
        <v>144</v>
      </c>
      <c r="Q11" s="0" t="s">
        <v>1052</v>
      </c>
      <c r="R11" s="0" t="s">
        <v>1084</v>
      </c>
      <c r="T11" s="0" t="s">
        <v>868</v>
      </c>
      <c r="U11" s="0" t="s">
        <v>335</v>
      </c>
      <c r="V11" s="0" t="s">
        <v>614</v>
      </c>
      <c r="W11" s="0" t="s">
        <v>1085</v>
      </c>
      <c r="X11" s="11" t="n">
        <v>46400</v>
      </c>
      <c r="Y11" s="10" t="s">
        <v>1086</v>
      </c>
      <c r="Z11" s="10" t="s">
        <v>487</v>
      </c>
      <c r="AA11" s="10" t="s">
        <v>1049</v>
      </c>
      <c r="AB11" s="11" t="n">
        <v>46394</v>
      </c>
      <c r="AD11" s="10" t="s">
        <v>1087</v>
      </c>
      <c r="AE11" s="10" t="s">
        <v>1005</v>
      </c>
      <c r="AF11" s="10" t="s">
        <v>1004</v>
      </c>
      <c r="AG11" s="10" t="s">
        <v>487</v>
      </c>
      <c r="AH11" s="10" t="s">
        <v>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39" t="s">
        <v>853</v>
      </c>
      <c r="B1" s="39" t="s">
        <v>854</v>
      </c>
      <c r="C1" s="39" t="s">
        <v>399</v>
      </c>
      <c r="D1" s="39" t="s">
        <v>521</v>
      </c>
      <c r="E1" s="39" t="s">
        <v>523</v>
      </c>
      <c r="F1" s="39" t="s">
        <v>524</v>
      </c>
      <c r="G1" s="39" t="s">
        <v>525</v>
      </c>
      <c r="H1" s="39" t="s">
        <v>526</v>
      </c>
      <c r="I1" s="39" t="s">
        <v>353</v>
      </c>
      <c r="J1" s="39" t="s">
        <v>400</v>
      </c>
      <c r="K1" s="39" t="s">
        <v>522</v>
      </c>
      <c r="L1" s="39" t="s">
        <v>528</v>
      </c>
      <c r="M1" s="39" t="s">
        <v>527</v>
      </c>
      <c r="N1" s="39" t="s">
        <v>529</v>
      </c>
      <c r="O1" s="39" t="s">
        <v>913</v>
      </c>
      <c r="P1" s="39" t="s">
        <v>914</v>
      </c>
      <c r="Q1" s="39" t="s">
        <v>530</v>
      </c>
      <c r="R1" s="39" t="s">
        <v>531</v>
      </c>
      <c r="S1" s="39" t="s">
        <v>532</v>
      </c>
      <c r="T1" s="39" t="s">
        <v>533</v>
      </c>
      <c r="U1" s="39" t="s">
        <v>534</v>
      </c>
      <c r="V1" s="39" t="s">
        <v>535</v>
      </c>
      <c r="W1" s="39" t="s">
        <v>536</v>
      </c>
      <c r="X1" s="39" t="s">
        <v>537</v>
      </c>
      <c r="Y1" s="39" t="s">
        <v>538</v>
      </c>
      <c r="Z1" s="39" t="s">
        <v>302</v>
      </c>
      <c r="AA1" s="39" t="s">
        <v>698</v>
      </c>
      <c r="AB1" s="39" t="s">
        <v>347</v>
      </c>
      <c r="AC1" s="39" t="s">
        <v>586</v>
      </c>
      <c r="AD1" s="39" t="s">
        <v>98</v>
      </c>
      <c r="AE1" s="39" t="s">
        <v>402</v>
      </c>
      <c r="AF1" s="39" t="s">
        <v>1088</v>
      </c>
      <c r="AG1" s="39" t="s">
        <v>403</v>
      </c>
      <c r="AH1" s="39" t="s">
        <v>351</v>
      </c>
      <c r="AI1" s="39" t="s">
        <v>824</v>
      </c>
      <c r="AJ1" s="39" t="s">
        <v>1089</v>
      </c>
      <c r="AK1" s="39" t="s">
        <v>1090</v>
      </c>
      <c r="AL1" s="39" t="s">
        <v>371</v>
      </c>
      <c r="AM1" s="39" t="s">
        <v>372</v>
      </c>
      <c r="AN1" s="39" t="s">
        <v>373</v>
      </c>
      <c r="AO1" s="39" t="s">
        <v>355</v>
      </c>
      <c r="AP1" s="39" t="s">
        <v>357</v>
      </c>
      <c r="AQ1" s="39" t="s">
        <v>364</v>
      </c>
      <c r="AR1" s="39" t="s">
        <v>365</v>
      </c>
      <c r="AS1" s="39" t="s">
        <v>367</v>
      </c>
      <c r="AT1" s="39" t="s">
        <v>368</v>
      </c>
      <c r="AU1" s="39" t="s">
        <v>1091</v>
      </c>
      <c r="AV1" s="39" t="s">
        <v>346</v>
      </c>
      <c r="AW1" s="39" t="s">
        <v>369</v>
      </c>
      <c r="AX1" s="39" t="s">
        <v>370</v>
      </c>
      <c r="AY1" s="39" t="s">
        <v>515</v>
      </c>
      <c r="AZ1" s="39" t="s">
        <v>516</v>
      </c>
      <c r="BA1" s="39" t="s">
        <v>517</v>
      </c>
      <c r="BB1" s="39" t="s">
        <v>352</v>
      </c>
      <c r="BC1" s="39" t="s">
        <v>520</v>
      </c>
      <c r="BD1" s="39" t="s">
        <v>358</v>
      </c>
      <c r="BE1" s="39" t="s">
        <v>356</v>
      </c>
      <c r="BF1" s="39"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346</v>
      </c>
      <c r="B1" s="28" t="s">
        <v>561</v>
      </c>
      <c r="C1" s="28" t="s">
        <v>424</v>
      </c>
      <c r="D1" s="28" t="s">
        <v>642</v>
      </c>
      <c r="E1" s="28" t="s">
        <v>428</v>
      </c>
      <c r="F1" s="28" t="s">
        <v>429</v>
      </c>
      <c r="G1" s="28" t="s">
        <v>430</v>
      </c>
      <c r="H1" s="28" t="s">
        <v>643</v>
      </c>
      <c r="I1" s="28" t="s">
        <v>644</v>
      </c>
      <c r="J1" s="28" t="s">
        <v>645</v>
      </c>
      <c r="K1" s="28" t="s">
        <v>646</v>
      </c>
      <c r="L1" s="28" t="s">
        <v>647</v>
      </c>
      <c r="M1" s="28" t="s">
        <v>145</v>
      </c>
      <c r="N1" s="28" t="s">
        <v>1092</v>
      </c>
      <c r="O1" s="28" t="s">
        <v>175</v>
      </c>
      <c r="P1" s="29" t="s">
        <v>173</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0" t="s">
        <v>955</v>
      </c>
      <c r="B1" s="40" t="s">
        <v>1093</v>
      </c>
      <c r="C1" s="40" t="s">
        <v>1094</v>
      </c>
      <c r="D1" s="40" t="s">
        <v>1095</v>
      </c>
      <c r="E1" s="40" t="s">
        <v>1096</v>
      </c>
      <c r="F1" s="40" t="s">
        <v>1097</v>
      </c>
      <c r="G1" s="40" t="s">
        <v>1098</v>
      </c>
      <c r="I1" s="23" t="s">
        <v>1099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0" t="s">
        <v>955</v>
      </c>
      <c r="B1" s="40" t="s">
        <v>1093</v>
      </c>
      <c r="C1" s="40" t="s">
        <v>1100</v>
      </c>
      <c r="D1" s="40" t="s">
        <v>1095</v>
      </c>
      <c r="E1" s="40" t="s">
        <v>1096</v>
      </c>
      <c r="F1" s="40" t="s">
        <v>1097</v>
      </c>
      <c r="G1" s="40" t="s">
        <v>1101</v>
      </c>
    </row>
    <row r="2" customFormat="false" ht="15" hidden="false" customHeight="false" outlineLevel="0" collapsed="false">
      <c r="A2" s="41" t="n">
        <v>46394.675</v>
      </c>
      <c r="B2" s="10" t="s">
        <v>1102</v>
      </c>
      <c r="C2" s="10" t="s">
        <v>1000</v>
      </c>
      <c r="D2" s="0" t="n">
        <v>5</v>
      </c>
      <c r="E2" s="10" t="s">
        <v>1000</v>
      </c>
      <c r="G2" s="10" t="s">
        <v>1103</v>
      </c>
    </row>
    <row r="3" customFormat="false" ht="15" hidden="false" customHeight="false" outlineLevel="0" collapsed="false">
      <c r="A3" s="41" t="n">
        <v>46399.3756944445</v>
      </c>
      <c r="B3" s="10" t="s">
        <v>1104</v>
      </c>
      <c r="C3" s="10" t="s">
        <v>983</v>
      </c>
      <c r="F3" s="10" t="s">
        <v>1105</v>
      </c>
      <c r="G3" s="10" t="s">
        <v>1106</v>
      </c>
    </row>
    <row r="4" customFormat="false" ht="15" hidden="false" customHeight="false" outlineLevel="0" collapsed="false">
      <c r="A4" s="41" t="n">
        <v>46399.3861111111</v>
      </c>
      <c r="B4" s="10" t="s">
        <v>1107</v>
      </c>
      <c r="C4" s="10" t="s">
        <v>1000</v>
      </c>
      <c r="D4" s="0" t="n">
        <v>4</v>
      </c>
      <c r="E4" s="10" t="s">
        <v>1000</v>
      </c>
      <c r="G4" s="10" t="s">
        <v>1106</v>
      </c>
    </row>
    <row r="5" customFormat="false" ht="15" hidden="false" customHeight="false" outlineLevel="0" collapsed="false">
      <c r="A5" s="41" t="n">
        <v>46399.4027777778</v>
      </c>
      <c r="B5" s="10" t="s">
        <v>1102</v>
      </c>
      <c r="C5" s="10" t="s">
        <v>1000</v>
      </c>
      <c r="D5" s="0" t="n">
        <v>3</v>
      </c>
      <c r="E5" s="10" t="s">
        <v>1108</v>
      </c>
      <c r="G5" s="10" t="s">
        <v>1109</v>
      </c>
    </row>
    <row r="6" customFormat="false" ht="15" hidden="false" customHeight="false" outlineLevel="0" collapsed="false">
      <c r="A6" s="41" t="n">
        <v>46399.4416666667</v>
      </c>
      <c r="B6" s="10" t="s">
        <v>1107</v>
      </c>
      <c r="C6" s="10" t="s">
        <v>983</v>
      </c>
      <c r="F6" s="10" t="s">
        <v>1110</v>
      </c>
    </row>
    <row r="7" customFormat="false" ht="15" hidden="false" customHeight="false" outlineLevel="0" collapsed="false">
      <c r="A7" s="41" t="n">
        <v>46399.4569444444</v>
      </c>
      <c r="B7" s="10" t="s">
        <v>1111</v>
      </c>
      <c r="C7" s="10" t="s">
        <v>1000</v>
      </c>
      <c r="D7" s="0" t="n">
        <v>5</v>
      </c>
      <c r="E7" s="10" t="s">
        <v>1000</v>
      </c>
      <c r="G7" s="10" t="s">
        <v>1112</v>
      </c>
    </row>
    <row r="8" customFormat="false" ht="15" hidden="false" customHeight="false" outlineLevel="0" collapsed="false">
      <c r="A8" s="41" t="n">
        <v>46399.5097222222</v>
      </c>
      <c r="B8" s="10" t="s">
        <v>1113</v>
      </c>
      <c r="C8" s="10" t="s">
        <v>1000</v>
      </c>
      <c r="D8" s="0" t="n">
        <v>4</v>
      </c>
      <c r="E8" s="10" t="s">
        <v>1000</v>
      </c>
    </row>
    <row r="9" customFormat="false" ht="15" hidden="false" customHeight="false" outlineLevel="0" collapsed="false">
      <c r="A9" s="41" t="n">
        <v>46399.5375</v>
      </c>
      <c r="B9" s="10" t="s">
        <v>1111</v>
      </c>
      <c r="C9" s="10" t="s">
        <v>1000</v>
      </c>
      <c r="D9" s="0" t="n">
        <v>5</v>
      </c>
      <c r="E9" s="10" t="s">
        <v>1000</v>
      </c>
      <c r="G9" s="10" t="s">
        <v>1112</v>
      </c>
    </row>
    <row r="10" customFormat="false" ht="15" hidden="false" customHeight="false" outlineLevel="0" collapsed="false">
      <c r="A10" s="41" t="n">
        <v>46399.5513888889</v>
      </c>
      <c r="B10" s="10" t="s">
        <v>1111</v>
      </c>
      <c r="C10" s="10" t="s">
        <v>1000</v>
      </c>
      <c r="D10" s="0" t="n">
        <v>4</v>
      </c>
      <c r="E10" s="10" t="s">
        <v>983</v>
      </c>
    </row>
    <row r="11" customFormat="false" ht="15" hidden="false" customHeight="false" outlineLevel="0" collapsed="false">
      <c r="A11" s="41" t="n">
        <v>46399.5520833333</v>
      </c>
      <c r="B11" s="10" t="s">
        <v>1107</v>
      </c>
      <c r="C11" s="10" t="s">
        <v>983</v>
      </c>
      <c r="F11" s="10" t="s">
        <v>1114</v>
      </c>
      <c r="G11" s="10" t="s">
        <v>1115</v>
      </c>
    </row>
    <row r="12" customFormat="false" ht="15" hidden="false" customHeight="false" outlineLevel="0" collapsed="false">
      <c r="A12" s="41" t="n">
        <v>46400.3770833333</v>
      </c>
      <c r="B12" s="10" t="s">
        <v>1104</v>
      </c>
      <c r="C12" s="10" t="s">
        <v>1000</v>
      </c>
      <c r="D12" s="0" t="n">
        <v>4</v>
      </c>
      <c r="E12" s="10" t="s">
        <v>1000</v>
      </c>
      <c r="G12" s="10" t="s">
        <v>1116</v>
      </c>
    </row>
    <row r="13" customFormat="false" ht="15" hidden="false" customHeight="false" outlineLevel="0" collapsed="false">
      <c r="A13" s="41" t="n">
        <v>46400.4</v>
      </c>
      <c r="B13" s="10" t="s">
        <v>1111</v>
      </c>
      <c r="C13" s="10" t="s">
        <v>983</v>
      </c>
      <c r="F13" s="10" t="s">
        <v>1114</v>
      </c>
      <c r="G13" s="10" t="s">
        <v>1106</v>
      </c>
    </row>
    <row r="14" customFormat="false" ht="15" hidden="false" customHeight="false" outlineLevel="0" collapsed="false">
      <c r="A14" s="41" t="n">
        <v>46400.4284722222</v>
      </c>
      <c r="B14" s="10" t="s">
        <v>1102</v>
      </c>
      <c r="C14" s="10" t="s">
        <v>1000</v>
      </c>
      <c r="D14" s="0" t="n">
        <v>3</v>
      </c>
      <c r="E14" s="10" t="s">
        <v>1108</v>
      </c>
      <c r="G14" s="10" t="s">
        <v>1117</v>
      </c>
    </row>
    <row r="15" customFormat="false" ht="15" hidden="false" customHeight="false" outlineLevel="0" collapsed="false">
      <c r="A15" s="41" t="n">
        <v>46400.4416666667</v>
      </c>
      <c r="B15" s="10" t="s">
        <v>1113</v>
      </c>
      <c r="C15" s="10" t="s">
        <v>1000</v>
      </c>
      <c r="D15" s="0" t="n">
        <v>4</v>
      </c>
      <c r="E15" s="10" t="s">
        <v>1108</v>
      </c>
    </row>
    <row r="16" customFormat="false" ht="15" hidden="false" customHeight="false" outlineLevel="0" collapsed="false">
      <c r="A16" s="41" t="n">
        <v>46400.4652777778</v>
      </c>
      <c r="B16" s="10" t="s">
        <v>1107</v>
      </c>
      <c r="C16" s="10" t="s">
        <v>983</v>
      </c>
      <c r="F16" s="10" t="s">
        <v>1110</v>
      </c>
      <c r="G16" s="10" t="s">
        <v>1112</v>
      </c>
    </row>
    <row r="17" customFormat="false" ht="15" hidden="false" customHeight="false" outlineLevel="0" collapsed="false">
      <c r="A17" s="41" t="n">
        <v>46400.4986111111</v>
      </c>
      <c r="B17" s="10" t="s">
        <v>1102</v>
      </c>
      <c r="C17" s="10" t="s">
        <v>983</v>
      </c>
      <c r="F17" s="10" t="s">
        <v>1110</v>
      </c>
    </row>
    <row r="18" customFormat="false" ht="15" hidden="false" customHeight="false" outlineLevel="0" collapsed="false">
      <c r="A18" s="41" t="n">
        <v>46400.5402777778</v>
      </c>
      <c r="B18" s="10" t="s">
        <v>1111</v>
      </c>
      <c r="C18" s="10" t="s">
        <v>1000</v>
      </c>
      <c r="D18" s="0" t="n">
        <v>5</v>
      </c>
      <c r="E18" s="10" t="s">
        <v>1108</v>
      </c>
    </row>
    <row r="19" customFormat="false" ht="15" hidden="false" customHeight="false" outlineLevel="0" collapsed="false">
      <c r="A19" s="41" t="n">
        <v>46400.5486111111</v>
      </c>
      <c r="B19" s="10" t="s">
        <v>1102</v>
      </c>
      <c r="C19" s="10" t="s">
        <v>1000</v>
      </c>
      <c r="D19" s="0" t="n">
        <v>4</v>
      </c>
      <c r="E19" s="10" t="s">
        <v>1000</v>
      </c>
    </row>
    <row r="20" customFormat="false" ht="15" hidden="false" customHeight="false" outlineLevel="0" collapsed="false">
      <c r="A20" s="41" t="n">
        <v>46400.5541666667</v>
      </c>
      <c r="B20" s="10" t="s">
        <v>1113</v>
      </c>
      <c r="C20" s="10" t="s">
        <v>1000</v>
      </c>
      <c r="D20" s="0" t="n">
        <v>4</v>
      </c>
      <c r="E20" s="10" t="s">
        <v>1108</v>
      </c>
    </row>
    <row r="21" customFormat="false" ht="15" hidden="false" customHeight="false" outlineLevel="0" collapsed="false">
      <c r="A21" s="41" t="n">
        <v>46400.5569444444</v>
      </c>
      <c r="B21" s="10" t="s">
        <v>1113</v>
      </c>
      <c r="C21" s="10" t="s">
        <v>1000</v>
      </c>
      <c r="D21" s="0" t="n">
        <v>5</v>
      </c>
      <c r="E21" s="10" t="s">
        <v>1000</v>
      </c>
      <c r="G21" s="10" t="s">
        <v>1118</v>
      </c>
    </row>
    <row r="22" customFormat="false" ht="15" hidden="false" customHeight="false" outlineLevel="0" collapsed="false">
      <c r="A22" s="41" t="n">
        <v>46400.5625</v>
      </c>
      <c r="B22" s="10" t="s">
        <v>1113</v>
      </c>
      <c r="C22" s="10" t="s">
        <v>1000</v>
      </c>
      <c r="D22" s="0" t="n">
        <v>4</v>
      </c>
      <c r="E22" s="10" t="s">
        <v>983</v>
      </c>
      <c r="G22" s="10" t="s">
        <v>1106</v>
      </c>
    </row>
    <row r="23" customFormat="false" ht="15" hidden="false" customHeight="false" outlineLevel="0" collapsed="false">
      <c r="A23" s="41" t="n">
        <v>46400.5791666667</v>
      </c>
      <c r="B23" s="10" t="s">
        <v>1102</v>
      </c>
      <c r="C23" s="10" t="s">
        <v>1000</v>
      </c>
      <c r="D23" s="0" t="n">
        <v>5</v>
      </c>
      <c r="E23" s="10" t="s">
        <v>983</v>
      </c>
      <c r="G23" s="10" t="s">
        <v>1115</v>
      </c>
    </row>
    <row r="24" customFormat="false" ht="15" hidden="false" customHeight="false" outlineLevel="0" collapsed="false">
      <c r="A24" s="41" t="n">
        <v>46400.5909722222</v>
      </c>
      <c r="B24" s="10" t="s">
        <v>1111</v>
      </c>
      <c r="C24" s="10" t="s">
        <v>1000</v>
      </c>
      <c r="D24" s="0" t="n">
        <v>5</v>
      </c>
      <c r="E24" s="10" t="s">
        <v>1000</v>
      </c>
    </row>
    <row r="25" customFormat="false" ht="15" hidden="false" customHeight="false" outlineLevel="0" collapsed="false">
      <c r="A25" s="41" t="n">
        <v>46400.6270833333</v>
      </c>
      <c r="B25" s="10" t="s">
        <v>1102</v>
      </c>
      <c r="C25" s="10" t="s">
        <v>1000</v>
      </c>
      <c r="D25" s="0" t="n">
        <v>4</v>
      </c>
      <c r="E25" s="10" t="s">
        <v>983</v>
      </c>
      <c r="G25" s="10" t="s">
        <v>1112</v>
      </c>
    </row>
    <row r="26" customFormat="false" ht="15" hidden="false" customHeight="false" outlineLevel="0" collapsed="false">
      <c r="A26" s="41" t="n">
        <v>46400.6458333333</v>
      </c>
      <c r="B26" s="10" t="s">
        <v>1102</v>
      </c>
      <c r="C26" s="10" t="s">
        <v>1000</v>
      </c>
      <c r="D26" s="0" t="n">
        <v>4</v>
      </c>
      <c r="E26" s="10" t="s">
        <v>1000</v>
      </c>
    </row>
    <row r="27" customFormat="false" ht="15" hidden="false" customHeight="false" outlineLevel="0" collapsed="false">
      <c r="A27" s="41" t="n">
        <v>46401.54375</v>
      </c>
      <c r="B27" s="10" t="s">
        <v>1119</v>
      </c>
      <c r="C27" s="10" t="s">
        <v>983</v>
      </c>
      <c r="F27" s="10" t="s">
        <v>1114</v>
      </c>
    </row>
    <row r="28" customFormat="false" ht="15" hidden="false" customHeight="false" outlineLevel="0" collapsed="false">
      <c r="A28" s="41" t="n">
        <v>46401.5444444444</v>
      </c>
      <c r="B28" s="10" t="s">
        <v>1107</v>
      </c>
      <c r="C28" s="10" t="s">
        <v>1000</v>
      </c>
      <c r="D28" s="0" t="n">
        <v>4</v>
      </c>
      <c r="E28" s="10" t="s">
        <v>1000</v>
      </c>
      <c r="G28" s="10" t="s">
        <v>1112</v>
      </c>
    </row>
    <row r="29" customFormat="false" ht="15" hidden="false" customHeight="false" outlineLevel="0" collapsed="false">
      <c r="A29" s="41" t="n">
        <v>46401.6076388889</v>
      </c>
      <c r="B29" s="10" t="s">
        <v>1102</v>
      </c>
      <c r="C29" s="10" t="s">
        <v>1000</v>
      </c>
      <c r="D29" s="0" t="n">
        <v>4</v>
      </c>
      <c r="E29" s="10" t="s">
        <v>983</v>
      </c>
    </row>
    <row r="30" customFormat="false" ht="15" hidden="false" customHeight="false" outlineLevel="0" collapsed="false">
      <c r="A30" s="41" t="n">
        <v>46401.6965277778</v>
      </c>
      <c r="B30" s="10" t="s">
        <v>1104</v>
      </c>
      <c r="C30" s="10" t="s">
        <v>1000</v>
      </c>
      <c r="D30" s="0" t="n">
        <v>4</v>
      </c>
      <c r="E30" s="10" t="s">
        <v>1108</v>
      </c>
      <c r="G30" s="10" t="s">
        <v>1112</v>
      </c>
    </row>
    <row r="31" customFormat="false" ht="15" hidden="false" customHeight="false" outlineLevel="0" collapsed="false">
      <c r="A31" s="41" t="n">
        <v>46401.70625</v>
      </c>
      <c r="B31" s="10" t="s">
        <v>1107</v>
      </c>
      <c r="C31" s="10" t="s">
        <v>1000</v>
      </c>
      <c r="D31" s="0" t="n">
        <v>5</v>
      </c>
      <c r="E31" s="10" t="s">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0" t="s">
        <v>955</v>
      </c>
      <c r="B1" s="40" t="s">
        <v>1093</v>
      </c>
      <c r="C1" s="40" t="s">
        <v>1120</v>
      </c>
      <c r="D1" s="40" t="s">
        <v>1095</v>
      </c>
      <c r="E1" s="40" t="s">
        <v>1096</v>
      </c>
      <c r="F1" s="40" t="s">
        <v>1097</v>
      </c>
      <c r="G1" s="40" t="s">
        <v>1121</v>
      </c>
    </row>
    <row r="2" customFormat="false" ht="15" hidden="false" customHeight="false" outlineLevel="0" collapsed="false">
      <c r="A2" s="41" t="n">
        <v>46399.4145833333</v>
      </c>
      <c r="B2" s="10" t="s">
        <v>1122</v>
      </c>
      <c r="C2" s="10" t="s">
        <v>1000</v>
      </c>
      <c r="D2" s="0" t="n">
        <v>3</v>
      </c>
      <c r="E2" s="10" t="s">
        <v>1000</v>
      </c>
      <c r="G2" s="10" t="s">
        <v>1115</v>
      </c>
    </row>
    <row r="3" customFormat="false" ht="15" hidden="false" customHeight="false" outlineLevel="0" collapsed="false">
      <c r="A3" s="41" t="n">
        <v>46399.4215277778</v>
      </c>
      <c r="B3" s="10" t="s">
        <v>1122</v>
      </c>
      <c r="C3" s="10" t="s">
        <v>1000</v>
      </c>
      <c r="D3" s="0" t="n">
        <v>5</v>
      </c>
      <c r="E3" s="10" t="s">
        <v>1108</v>
      </c>
      <c r="G3" s="10" t="s">
        <v>1118</v>
      </c>
    </row>
    <row r="4" customFormat="false" ht="15" hidden="false" customHeight="false" outlineLevel="0" collapsed="false">
      <c r="A4" s="41" t="n">
        <v>46399.4604166667</v>
      </c>
      <c r="B4" s="10" t="s">
        <v>1122</v>
      </c>
      <c r="C4" s="10" t="s">
        <v>1000</v>
      </c>
      <c r="D4" s="0" t="n">
        <v>5</v>
      </c>
      <c r="E4" s="10" t="s">
        <v>983</v>
      </c>
      <c r="G4" s="10" t="s">
        <v>1123</v>
      </c>
    </row>
    <row r="5" customFormat="false" ht="15" hidden="false" customHeight="false" outlineLevel="0" collapsed="false">
      <c r="A5" s="41" t="n">
        <v>46399.4881944444</v>
      </c>
      <c r="B5" s="10" t="s">
        <v>1122</v>
      </c>
      <c r="C5" s="10" t="s">
        <v>983</v>
      </c>
      <c r="F5" s="10" t="s">
        <v>1110</v>
      </c>
      <c r="G5" s="10" t="s">
        <v>1112</v>
      </c>
    </row>
    <row r="6" customFormat="false" ht="15" hidden="false" customHeight="false" outlineLevel="0" collapsed="false">
      <c r="A6" s="41" t="n">
        <v>46399.4944444444</v>
      </c>
      <c r="B6" s="10" t="s">
        <v>1124</v>
      </c>
      <c r="C6" s="10" t="s">
        <v>1000</v>
      </c>
      <c r="D6" s="0" t="n">
        <v>4</v>
      </c>
      <c r="E6" s="10" t="s">
        <v>1108</v>
      </c>
    </row>
    <row r="7" customFormat="false" ht="15" hidden="false" customHeight="false" outlineLevel="0" collapsed="false">
      <c r="A7" s="41" t="n">
        <v>46399.5472222222</v>
      </c>
      <c r="B7" s="10" t="s">
        <v>1125</v>
      </c>
      <c r="C7" s="10" t="s">
        <v>1000</v>
      </c>
      <c r="D7" s="0" t="n">
        <v>5</v>
      </c>
      <c r="E7" s="10" t="s">
        <v>1000</v>
      </c>
    </row>
    <row r="8" customFormat="false" ht="15" hidden="false" customHeight="false" outlineLevel="0" collapsed="false">
      <c r="A8" s="41" t="n">
        <v>46399.6159722222</v>
      </c>
      <c r="B8" s="10" t="s">
        <v>1126</v>
      </c>
      <c r="C8" s="10" t="s">
        <v>983</v>
      </c>
      <c r="F8" s="10" t="s">
        <v>1110</v>
      </c>
    </row>
    <row r="9" customFormat="false" ht="15" hidden="false" customHeight="false" outlineLevel="0" collapsed="false">
      <c r="A9" s="41" t="n">
        <v>46399.6326388889</v>
      </c>
      <c r="B9" s="10" t="s">
        <v>1124</v>
      </c>
      <c r="C9" s="10" t="s">
        <v>1000</v>
      </c>
      <c r="D9" s="0" t="n">
        <v>3</v>
      </c>
      <c r="E9" s="10" t="s">
        <v>1000</v>
      </c>
    </row>
    <row r="10" customFormat="false" ht="15" hidden="false" customHeight="false" outlineLevel="0" collapsed="false">
      <c r="A10" s="41" t="n">
        <v>46399.6333333333</v>
      </c>
      <c r="B10" s="10" t="s">
        <v>1125</v>
      </c>
      <c r="C10" s="10" t="s">
        <v>983</v>
      </c>
      <c r="F10" s="10" t="s">
        <v>1114</v>
      </c>
    </row>
    <row r="11" customFormat="false" ht="15" hidden="false" customHeight="false" outlineLevel="0" collapsed="false">
      <c r="A11" s="41" t="n">
        <v>46399.6798611111</v>
      </c>
      <c r="B11" s="10" t="s">
        <v>1126</v>
      </c>
      <c r="C11" s="10" t="s">
        <v>1000</v>
      </c>
      <c r="D11" s="0" t="n">
        <v>5</v>
      </c>
      <c r="E11" s="10" t="s">
        <v>1000</v>
      </c>
      <c r="G11" s="10" t="s">
        <v>1117</v>
      </c>
    </row>
    <row r="12" customFormat="false" ht="15" hidden="false" customHeight="false" outlineLevel="0" collapsed="false">
      <c r="A12" s="41" t="n">
        <v>46400.3756944445</v>
      </c>
      <c r="B12" s="10" t="s">
        <v>1122</v>
      </c>
      <c r="C12" s="10" t="s">
        <v>983</v>
      </c>
      <c r="F12" s="10" t="s">
        <v>1105</v>
      </c>
    </row>
    <row r="13" customFormat="false" ht="15" hidden="false" customHeight="false" outlineLevel="0" collapsed="false">
      <c r="A13" s="41" t="n">
        <v>46400.3979166667</v>
      </c>
      <c r="B13" s="10" t="s">
        <v>1124</v>
      </c>
      <c r="C13" s="10" t="s">
        <v>1000</v>
      </c>
      <c r="D13" s="0" t="n">
        <v>5</v>
      </c>
      <c r="E13" s="10" t="s">
        <v>1108</v>
      </c>
    </row>
    <row r="14" customFormat="false" ht="15" hidden="false" customHeight="false" outlineLevel="0" collapsed="false">
      <c r="A14" s="41" t="n">
        <v>46400.4659722222</v>
      </c>
      <c r="B14" s="10" t="s">
        <v>1127</v>
      </c>
      <c r="C14" s="10" t="s">
        <v>983</v>
      </c>
      <c r="F14" s="10" t="s">
        <v>1105</v>
      </c>
    </row>
    <row r="15" customFormat="false" ht="15" hidden="false" customHeight="false" outlineLevel="0" collapsed="false">
      <c r="A15" s="41" t="n">
        <v>46400.4944444444</v>
      </c>
      <c r="B15" s="10" t="s">
        <v>1125</v>
      </c>
      <c r="C15" s="10" t="s">
        <v>1000</v>
      </c>
      <c r="D15" s="0" t="n">
        <v>3</v>
      </c>
      <c r="E15" s="10" t="s">
        <v>983</v>
      </c>
      <c r="G15" s="10" t="s">
        <v>1123</v>
      </c>
    </row>
    <row r="16" customFormat="false" ht="15" hidden="false" customHeight="false" outlineLevel="0" collapsed="false">
      <c r="A16" s="41" t="n">
        <v>46400.5902777778</v>
      </c>
      <c r="B16" s="10" t="s">
        <v>1127</v>
      </c>
      <c r="C16" s="10" t="s">
        <v>1000</v>
      </c>
      <c r="D16" s="0" t="n">
        <v>5</v>
      </c>
      <c r="E16" s="10" t="s">
        <v>1000</v>
      </c>
    </row>
    <row r="17" customFormat="false" ht="15" hidden="false" customHeight="false" outlineLevel="0" collapsed="false">
      <c r="A17" s="41" t="n">
        <v>46400.6166666667</v>
      </c>
      <c r="B17" s="10" t="s">
        <v>1126</v>
      </c>
      <c r="C17" s="10" t="s">
        <v>983</v>
      </c>
      <c r="F17" s="10" t="s">
        <v>1110</v>
      </c>
    </row>
    <row r="18" customFormat="false" ht="15" hidden="false" customHeight="false" outlineLevel="0" collapsed="false">
      <c r="A18" s="41" t="n">
        <v>46400.6458333333</v>
      </c>
      <c r="B18" s="10" t="s">
        <v>1126</v>
      </c>
      <c r="C18" s="10" t="s">
        <v>1000</v>
      </c>
      <c r="D18" s="0" t="n">
        <v>4</v>
      </c>
      <c r="E18" s="10" t="s">
        <v>983</v>
      </c>
      <c r="G18" s="10" t="s">
        <v>1115</v>
      </c>
    </row>
    <row r="19" customFormat="false" ht="15" hidden="false" customHeight="false" outlineLevel="0" collapsed="false">
      <c r="A19" s="41" t="n">
        <v>46400.6694444444</v>
      </c>
      <c r="B19" s="10" t="s">
        <v>1126</v>
      </c>
      <c r="C19" s="10" t="s">
        <v>1000</v>
      </c>
      <c r="D19" s="0" t="n">
        <v>5</v>
      </c>
      <c r="E19" s="10" t="s">
        <v>1000</v>
      </c>
    </row>
    <row r="20" customFormat="false" ht="15" hidden="false" customHeight="false" outlineLevel="0" collapsed="false">
      <c r="A20" s="41" t="n">
        <v>46400.7020833333</v>
      </c>
      <c r="B20" s="10" t="s">
        <v>1127</v>
      </c>
      <c r="C20" s="10" t="s">
        <v>983</v>
      </c>
      <c r="F20" s="10" t="s">
        <v>1105</v>
      </c>
      <c r="G20" s="10" t="s">
        <v>1115</v>
      </c>
    </row>
    <row r="21" customFormat="false" ht="15" hidden="false" customHeight="false" outlineLevel="0" collapsed="false">
      <c r="A21" s="41" t="n">
        <v>46401.3951388889</v>
      </c>
      <c r="B21" s="10" t="s">
        <v>1125</v>
      </c>
      <c r="C21" s="10" t="s">
        <v>1000</v>
      </c>
      <c r="D21" s="0" t="n">
        <v>3</v>
      </c>
      <c r="E21" s="10" t="s">
        <v>1108</v>
      </c>
    </row>
    <row r="22" customFormat="false" ht="15" hidden="false" customHeight="false" outlineLevel="0" collapsed="false">
      <c r="A22" s="41" t="n">
        <v>46401.4277777778</v>
      </c>
      <c r="B22" s="10" t="s">
        <v>1122</v>
      </c>
      <c r="C22" s="10" t="s">
        <v>1000</v>
      </c>
      <c r="D22" s="0" t="n">
        <v>4</v>
      </c>
      <c r="E22" s="10" t="s">
        <v>1108</v>
      </c>
    </row>
    <row r="23" customFormat="false" ht="15" hidden="false" customHeight="false" outlineLevel="0" collapsed="false">
      <c r="A23" s="41" t="n">
        <v>46401.4902777778</v>
      </c>
      <c r="B23" s="10" t="s">
        <v>1122</v>
      </c>
      <c r="C23" s="10" t="s">
        <v>983</v>
      </c>
      <c r="F23" s="10" t="s">
        <v>1105</v>
      </c>
      <c r="G23" s="10" t="s">
        <v>1106</v>
      </c>
    </row>
    <row r="24" customFormat="false" ht="15" hidden="false" customHeight="false" outlineLevel="0" collapsed="false">
      <c r="A24" s="41" t="n">
        <v>46401.5020833333</v>
      </c>
      <c r="B24" s="10" t="s">
        <v>1122</v>
      </c>
      <c r="C24" s="10" t="s">
        <v>1000</v>
      </c>
      <c r="D24" s="0" t="n">
        <v>5</v>
      </c>
      <c r="E24" s="10" t="s">
        <v>1000</v>
      </c>
    </row>
    <row r="25" customFormat="false" ht="15" hidden="false" customHeight="false" outlineLevel="0" collapsed="false">
      <c r="A25" s="41" t="n">
        <v>46401.5034722222</v>
      </c>
      <c r="B25" s="10" t="s">
        <v>1124</v>
      </c>
      <c r="C25" s="10" t="s">
        <v>1000</v>
      </c>
      <c r="D25" s="0" t="n">
        <v>3</v>
      </c>
      <c r="E25" s="10" t="s">
        <v>1108</v>
      </c>
    </row>
    <row r="26" customFormat="false" ht="15" hidden="false" customHeight="false" outlineLevel="0" collapsed="false">
      <c r="A26" s="41" t="n">
        <v>46401.6208333333</v>
      </c>
      <c r="B26" s="10" t="s">
        <v>1127</v>
      </c>
      <c r="C26" s="10" t="s">
        <v>1000</v>
      </c>
      <c r="D26" s="0" t="n">
        <v>3</v>
      </c>
      <c r="E26" s="10" t="s">
        <v>983</v>
      </c>
    </row>
    <row r="27" customFormat="false" ht="15" hidden="false" customHeight="false" outlineLevel="0" collapsed="false">
      <c r="A27" s="41" t="n">
        <v>46401.6986111111</v>
      </c>
      <c r="B27" s="10" t="s">
        <v>1127</v>
      </c>
      <c r="C27" s="10" t="s">
        <v>1000</v>
      </c>
      <c r="D27" s="0" t="n">
        <v>4</v>
      </c>
      <c r="E27" s="10" t="s">
        <v>1000</v>
      </c>
      <c r="G27" s="10" t="s">
        <v>1116</v>
      </c>
    </row>
    <row r="28" customFormat="false" ht="15" hidden="false" customHeight="false" outlineLevel="0" collapsed="false">
      <c r="A28" s="41" t="n">
        <v>46401.7055555556</v>
      </c>
      <c r="B28" s="10" t="s">
        <v>1127</v>
      </c>
      <c r="C28" s="10" t="s">
        <v>1000</v>
      </c>
      <c r="D28" s="0" t="n">
        <v>4</v>
      </c>
      <c r="E28" s="10" t="s">
        <v>983</v>
      </c>
      <c r="G28" s="10" t="s">
        <v>1109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2026-10-24T10:27:50Z</dcterms:created>
  <dc:creator>openpyxl</dc:creator>
  <dc:description/>
  <dc:language>en-US</dc:language>
  <cp:lastModifiedBy/>
  <dcterms:modified xsi:type="dcterms:W3CDTF">2026-10-24T10:27:53Z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