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 name="SAMPLE-CMP-007" sheetId="39" state="visible" r:id="rId41"/>
    <sheet name="SAMPLE-CMP-008" sheetId="40" state="visible" r:id="rId42"/>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<sst xmlns="http://schemas.openxmlformats.org/spreadsheetml/2006/main" count="6712" uniqueCount="1635">
  <si>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</si>
  <si>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</si>
  <si>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</si>
  <si>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</si>
  <si>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</si>
  <si>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</si>
  <si>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</si>
  <si>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</si>
  <si>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</si>
  <si>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</si>
  <si>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</si>
  <si>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</si>
  <si>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</si>
  <si>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</si>
  <si>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</si>
  <si>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</si>
  <si>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</si>
  <si>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</si>
  <si>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</si>
  <si>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</si>
  <si>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</si>
  <si>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</si>
  <si>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</si>
  <si>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</si>
  <si>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</si>
  <si>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</si>
  <si>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</si>
  <si>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</si>
  <si>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</si>
  <si>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</si>
  <si>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</si>
  <si>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</si>
  <si>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</si>
  <si>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</si>
  <si>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</si>
  <si>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</si>
  <si>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</si>
  <si>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</si>
  <si>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</si>
  <si>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</si>
  <si>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</si>
  <si>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</si>
  <si>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</si>
  <si>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</si>
  <si>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</si>
  <si>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</si>
  <si>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</si>
  <si>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</si>
  <si>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</si>
  <si>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</si>
  <si>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</si>
  <si>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</si>
  <si>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</si>
  <si>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</si>
  <si>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</si>
  <si>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</si>
  <si>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</si>
  <si>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</si>
  <si>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</si>
  <si>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</si>
  <si>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</si>
  <si>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</si>
  <si>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</si>
  <si>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</si>
  <si>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</si>
  <si>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</si>
  <si>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</si>
  <si>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</si>
  <si>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</si>
  <si>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</si>
  <si>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</si>
  <si>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</si>
  <si>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</si>
  <si>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</si>
  <si>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</si>
  <si>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</si>
  <si>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</si>
  <si>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</si>
  <si>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</si>
  <si>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</si>
  <si>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</si>
  <si>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</si>
  <si>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</si>
  <si>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</si>
  <si>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</si>
  <si>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</si>
  <si>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</si>
  <si>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</si>
  <si>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</si>
  <si>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</si>
  <si>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</si>
  <si>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</si>
  <si>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</si>
  <si>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</si>
  <si>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</si>
  <si>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</si>
  <si>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</si>
  <si>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</si>
  <si>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</si>
  <si>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</si>
  <si>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</si>
  <si>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</si>
  <si>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</si>
  <si>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</si>
  <si>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</si>
  <si>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</si>
  <si>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</si>
  <si>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</si>
  <si>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</si>
  <si>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</si>
  <si>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</si>
  <si>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</si>
  <si>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</si>
  <si>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</si>
  <si>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</si>
  <si>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</si>
  <si>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</si>
  <si>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</si>
  <si>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</si>
  <si>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</si>
  <si>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</si>
  <si>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</si>
  <si>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</si>
  <si>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</si>
  <si>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</si>
  <si>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</si>
  <si>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</si>
  <si>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</si>
  <si>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</si>
  <si>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</si>
  <si>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</si>
  <si>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</si>
  <si>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</si>
  <si>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</si>
  <si>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</si>
  <si>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</si>
  <si>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</si>
  <si>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</si>
  <si>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</si>
  <si>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</si>
  <si>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</si>
  <si>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</si>
  <si>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</si>
  <si>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</si>
  <si>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</si>
  <si>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</si>
  <si>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</si>
  <si>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</si>
  <si>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</si>
  <si>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</si>
  <si>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</si>
  <si>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</si>
  <si>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</si>
  <si>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</si>
  <si>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</si>
  <si>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</si>
  <si>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</si>
  <si>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</si>
  <si>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</si>
  <si>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</si>
  <si>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</si>
  <si>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</si>
  <si>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</si>
  <si>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</si>
  <si>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</si>
  <si>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</si>
  <si>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</si>
  <si>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</si>
  <si>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</si>
  <si>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</si>
  <si>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</si>
  <si>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</si>
  <si>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</si>
  <si>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</si>
  <si>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</si>
  <si>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</si>
  <si>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</si>
  <si>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</si>
  <si>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</si>
  <si>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</si>
  <si>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</si>
  <si>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</si>
  <si>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</si>
  <si>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</si>
  <si>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</si>
  <si>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</si>
  <si>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</si>
  <si>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</si>
  <si>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</si>
  <si>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</si>
  <si>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</si>
  <si>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</si>
  <si>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</si>
  <si>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</si>
  <si>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</si>
  <si>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</si>
  <si>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</si>
  <si>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</si>
  <si>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</si>
  <si>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</si>
  <si>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</si>
  <si>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</si>
  <si>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</si>
  <si>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</si>
  <si>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</si>
  <si>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</si>
  <si>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</si>
  <si>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</si>
  <si>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</si>
  <si>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</si>
  <si>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</si>
  <si>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</si>
  <si>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</si>
  <si>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</si>
  <si>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</si>
  <si>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</si>
  <si>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</si>
  <si>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</si>
  <si>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</si>
  <si>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</si>
  <si>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</si>
  <si>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</si>
  <si>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</si>
  <si>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</si>
  <si>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</si>
  <si>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</si>
  <si>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</si>
  <si>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</si>
  <si>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</si>
  <si>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</si>
  <si>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</si>
  <si>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</si>
  <si>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</si>
  <si>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</si>
  <si>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</si>
  <si>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</si>
  <si>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</si>
  <si>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</si>
  <si>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</si>
  <si>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</si>
  <si>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</si>
  <si>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</si>
  <si>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</si>
  <si>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</si>
  <si>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</si>
  <si>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</si>
  <si>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</si>
  <si>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</si>
  <si>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</si>
  <si>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</si>
  <si>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</si>
  <si>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</si>
  <si>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</si>
  <si>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</si>
  <si>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</si>
  <si>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</si>
  <si>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</si>
  <si>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</si>
  <si>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</si>
  <si>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</si>
  <si>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</si>
  <si>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</si>
  <si>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</si>
  <si>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</si>
  <si>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</si>
  <si>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</si>
  <si>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</si>
  <si>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</si>
  <si>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</si>
  <si>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</si>
  <si>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</si>
  <si>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</si>
  <si>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</si>
  <si>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</si>
  <si>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</si>
  <si>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</si>
  <si>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</si>
  <si>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</si>
  <si>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</si>
  <si>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</si>
  <si>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</si>
  <si>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</si>
  <si>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</si>
  <si>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</si>
  <si>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</si>
  <si>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</si>
  <si>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</si>
  <si>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</si>
  <si>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</si>
  <si>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</si>
  <si>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</si>
  <si>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</si>
  <si>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</si>
  <si>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</si>
  <si>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</si>
  <si>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</si>
  <si>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</si>
  <si>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</si>
  <si>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</si>
  <si>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</si>
  <si>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</si>
  <si>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</si>
  <si>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</si>
  <si>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</si>
  <si>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</si>
  <si>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</si>
  <si>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</si>
  <si>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</si>
  <si>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</si>
  <si>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</si>
  <si>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</si>
  <si>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</si>
  <si>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</si>
  <si>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</si>
  <si>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</si>
  <si>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</si>
  <si>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</si>
  <si>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</si>
  <si>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</si>
  <si>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</si>
  <si>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</si>
  <si>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</si>
  <si>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</si>
  <si>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</si>
  <si>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</si>
  <si>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</si>
  <si>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</si>
  <si>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</si>
  <si>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</si>
  <si>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</si>
  <si>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</si>
  <si>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</si>
  <si>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</si>
  <si>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</si>
  <si>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</si>
  <si>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</si>
  <si>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</si>
  <si>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</si>
  <si>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</si>
  <si>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</si>
  <si>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</si>
  <si>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</si>
  <si>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</si>
  <si>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</si>
  <si>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</si>
  <si>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</si>
  <si>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</si>
  <si>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</si>
  <si>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</si>
  <si>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</si>
  <si>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</si>
  <si>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</si>
  <si>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</si>
  <si>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SAMPLE-DRP-004</t>
  </si>
  <si>
    <t xml:space="preserve">direct-ship</t>
  </si>
  <si>
    <t xml:space="preserve">SAMPLE direct to each office; reserve (and SAMPLE-O-009's cartons) to the receiving address</t>
  </si>
  <si>
    <t xml:space="preserve">SAMPLE backup (briefed 2027-03-19)</t>
  </si>
  <si>
    <t xml:space="preserve">SAMPLE third run (direct-ship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</si>
  <si>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</si>
  <si>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</si>
  <si>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</si>
  <si>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</si>
  <si>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</si>
  <si>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</si>
  <si>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</si>
  <si>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</si>
  <si>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</si>
  <si>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</si>
  <si>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</si>
  <si>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</si>
  <si>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</si>
  <si>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</si>
  <si>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</si>
  <si>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</si>
  <si>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</si>
  <si>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</si>
  <si>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</si>
  <si>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</si>
  <si>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</si>
  <si>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</si>
  <si>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</si>
  <si>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</si>
  <si>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</si>
  <si>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</si>
  <si>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</si>
  <si>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</si>
  <si>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</si>
  <si>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</si>
  <si>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</si>
  <si>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</si>
  <si>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</si>
  <si>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</si>
  <si>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</si>
  <si>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</si>
  <si>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</si>
  <si>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</si>
  <si>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</si>
  <si>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</si>
  <si>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</si>
  <si>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</si>
  <si>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</si>
  <si>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</si>
  <si>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</si>
  <si>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</si>
  <si>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</si>
  <si>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</si>
  <si>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</si>
  <si>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</si>
  <si>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</si>
  <si>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</si>
  <si>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</si>
  <si>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</si>
  <si>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</si>
  <si>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</si>
  <si>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</si>
  <si>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</si>
  <si>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</si>
  <si>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</si>
  <si>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</si>
  <si>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</si>
  <si>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</si>
  <si>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</si>
  <si>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</si>
  <si>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</si>
  <si>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</si>
  <si>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</si>
  <si>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</si>
  <si>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</si>
  <si>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</si>
  <si>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</si>
  <si>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</si>
  <si>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</si>
  <si>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</si>
  <si>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</si>
  <si>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</si>
  <si>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</si>
  <si>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</si>
  <si>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</si>
  <si>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</si>
  <si>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</si>
  <si>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</si>
  <si>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</si>
  <si>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</si>
  <si>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</si>
  <si>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</si>
  <si>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</si>
  <si>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</si>
  <si>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</si>
  <si>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</si>
  <si>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</si>
  <si>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</si>
  <si>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</si>
  <si>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</si>
  <si>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</si>
  <si>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</si>
  <si>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</si>
  <si>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</si>
  <si>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</si>
  <si>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</si>
  <si>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</si>
  <si>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</si>
  <si>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</si>
  <si>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</si>
  <si>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</si>
  <si>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</si>
  <si>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</si>
  <si>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</si>
  <si>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</si>
  <si>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</si>
  <si>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</si>
  <si>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</si>
  <si>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</si>
  <si>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</si>
  <si>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</si>
  <si>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</si>
  <si>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</si>
  <si>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</si>
  <si>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</si>
  <si>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</si>
  <si>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</si>
  <si>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</si>
  <si>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</si>
  <si>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</si>
  <si>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</si>
  <si>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</si>
  <si>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</si>
  <si>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</si>
  <si>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</si>
  <si>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</si>
  <si>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</si>
  <si>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</si>
  <si>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</si>
  <si>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</si>
  <si>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</si>
  <si>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</si>
  <si>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</si>
  <si>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</si>
  <si>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</si>
  <si>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</si>
  <si>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</si>
  <si>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</si>
  <si>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</si>
  <si>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</si>
  <si>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</si>
  <si>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</si>
  <si>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</si>
  <si>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</si>
  <si>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</si>
  <si>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</si>
  <si>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</si>
  <si>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</si>
  <si>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</si>
  <si>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</si>
  <si>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</si>
  <si>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</si>
  <si>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</si>
  <si>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</si>
  <si>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</si>
  <si>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</si>
  <si>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</si>
  <si>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</si>
  <si>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</si>
  <si>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</si>
  <si>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</si>
  <si>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</si>
  <si>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</si>
  <si>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</si>
  <si>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</si>
  <si>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</si>
  <si>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</si>
  <si>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</si>
  <si>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</si>
  <si>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</si>
  <si>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</si>
  <si>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</si>
  <si>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</si>
  <si>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</si>
  <si>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</si>
  <si>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</si>
  <si>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</si>
  <si>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</si>
  <si>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</si>
  <si>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</si>
  <si>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</si>
  <si>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</si>
  <si>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</si>
  <si>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</si>
  <si>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</si>
  <si>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</si>
  <si>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</si>
  <si>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</si>
  <si>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</si>
  <si>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</si>
  <si>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</si>
  <si>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</si>
  <si>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</si>
  <si>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</si>
  <si>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</si>
  <si>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</si>
  <si>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</si>
  <si>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</si>
  <si>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</si>
  <si>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</si>
  <si>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</si>
  <si>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</si>
  <si>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</si>
  <si>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</si>
  <si>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</si>
  <si>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</si>
  <si>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</si>
  <si>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</si>
  <si>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SAMPLE Really sharp vinegar, loved it.</t>
  </si>
  <si>
    <t xml:space="preserve">SAMPLE Too salty for an afternoon snack.</t>
  </si>
  <si>
    <t xml:space="preserve">SAMPLE Is this sold at the market on the corner?</t>
  </si>
  <si>
    <t xml:space="preserve">SAMPLE Shipped 87 short; every office got 5 fewer.
SAMPLE One office declined at the door; it was not billed.
SAMPLE Vinegar strength split the comments.</t>
  </si>
  <si>
    <t xml:space="preserve">SAMPLE Renew into the nine offices that took it; ship the full count.</t>
  </si>
  <si>
    <t xml:space="preserve">SAMPLE-CMP-007</t>
  </si>
  <si>
    <t xml:space="preserve">https://docs.google.com/forms/d/e/SAMPLE-CMP-007-FORM/viewform</t>
  </si>
  <si>
    <t xml:space="preserve">https://docs.google.com/forms/d/e/SAMPLE-CMP-007-FORM/viewform?usp=pp_url&amp;entry.1000001=CARDCODE</t>
  </si>
  <si>
    <t xml:space="preserve">SAMPLE-CMP-008</t>
  </si>
  <si>
    <t xml:space="preserve">https://docs.google.com/forms/d/e/SAMPLE-CMP-008-FORM/viewform</t>
  </si>
  <si>
    <t xml:space="preserve">https://docs.google.com/forms/d/e/SAMPLE-CMP-008-FORM/viewform?usp=pp_url&amp;entry.1000001=CARDCODE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</si>
  <si>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</si>
  <si>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</si>
  <si>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</si>
  <si>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</si>
  <si>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</si>
  <si>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</si>
  <si>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</si>
  <si>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</si>
  <si>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</si>
  <si>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</si>
  <si>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</si>
  <si>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</si>
  <si>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</si>
  <si>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</si>
  <si>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</si>
  <si>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</si>
  <si>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</si>
  <si>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</si>
  <si>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</si>
  <si>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</si>
  <si>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</si>
  <si>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</si>
  <si>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</si>
  <si>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</si>
  <si>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</si>
  <si>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</si>
  <si>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</si>
  <si>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</si>
  <si>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</si>
  <si>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</si>
  <si>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</si>
  <si>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</si>
  <si>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</si>
  <si>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</si>
  <si>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</si>
  <si>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</si>
  <si>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</si>
  <si>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</si>
  <si>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</si>
  <si>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</si>
  <si>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</si>
  <si>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</si>
  <si>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</si>
  <si>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</si>
  <si>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</si>
  <si>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</si>
  <si>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</si>
  <si>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</si>
  <si>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</si>
  <si>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</si>
  <si>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</si>
  <si>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</si>
  <si>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</si>
  <si>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</si>
  <si>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</si>
  <si>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</si>
  <si>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</si>
  <si>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</si>
  <si>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</si>
  <si>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</si>
  <si>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</si>
  <si>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</si>
  <si>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</si>
  <si>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</si>
  <si>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</si>
  <si>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</si>
  <si>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</si>
  <si>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</si>
  <si>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</si>
  <si>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</si>
  <si>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</si>
  <si>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</si>
  <si>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</si>
  <si>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</si>
  <si>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</si>
  <si>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</si>
  <si>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</si>
  <si>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</si>
  <si>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</si>
  <si>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</si>
  <si>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</si>
  <si>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</si>
  <si>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</si>
  <si>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</si>
  <si>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</si>
  <si>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</si>
  <si>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</si>
  <si>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</si>
  <si>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</si>
  <si>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</si>
  <si>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</si>
  <si>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</si>
  <si>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</si>
  <si>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</si>
  <si>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</si>
  <si>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</si>
  <si>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</si>
  <si>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</si>
  <si>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</si>
  <si>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</si>
  <si>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</si>
  <si>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</si>
  <si>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</si>
  <si>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</si>
  <si>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</si>
  <si>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</si>
  <si>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</si>
  <si>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</si>
  <si>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</si>
  <si>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</si>
  <si>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</si>
  <si>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</si>
  <si>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</si>
  <si>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</si>
  <si>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</si>
  <si>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</si>
  <si>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</si>
  <si>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</si>
  <si>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</si>
  <si>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</si>
  <si>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</si>
  <si>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</si>
  <si>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</si>
  <si>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</si>
  <si>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</si>
  <si>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</si>
  <si>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</si>
  <si>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</si>
  <si>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</si>
  <si>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</si>
  <si>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</si>
  <si>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</si>
  <si>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</si>
  <si>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</si>
  <si>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</si>
  <si>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</si>
  <si>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</si>
  <si>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</si>
  <si>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</si>
  <si>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</si>
  <si>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</si>
  <si>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</si>
  <si>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</si>
  <si>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</si>
  <si>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</si>
  <si>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</si>
  <si>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</si>
  <si>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</si>
  <si>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</si>
  <si>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</si>
  <si>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</si>
  <si>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</si>
  <si>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</si>
  <si>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</si>
  <si>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</si>
  <si>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</si>
  <si>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</si>
  <si>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</si>
  <si>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</si>
  <si>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</si>
  <si>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</si>
  <si>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</si>
  <si>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</si>
  <si>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</si>
  <si>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</si>
  <si>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</si>
  <si>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</si>
  <si>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</si>
  <si>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</si>
  <si>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</si>
  <si>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</si>
  <si>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</si>
  <si>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declined</t>
  </si>
  <si>
    <t xml:space="preserve">SAMPLE owner declined at the door: office pausing snacks this month; courier brought the case back (0 handed over)</t>
  </si>
  <si>
    <t xml:space="preserve">SAMPLE Brightside SAMPLE-1Z70001; SAMPLE Tallgrass SAMPLE-1Z80001</t>
  </si>
  <si>
    <t xml:space="preserve">SAMPLE Brightside SAMPLE-1Z70002; SAMPLE Tallgrass SAMPLE-1Z80002</t>
  </si>
  <si>
    <t xml:space="preserve">SAMPLE Brightside SAMPLE-1Z70003; SAMPLE Tallgrass SAMPLE-1Z80003</t>
  </si>
  <si>
    <t xml:space="preserve">SAMPLE Brightside SAMPLE-1Z70004; SAMPLE Tallgrass SAMPLE-1Z80004</t>
  </si>
  <si>
    <t xml:space="preserve">SAMPLE Brightside SAMPLE-1Z70005; SAMPLE Tallgrass SAMPLE-1Z80005</t>
  </si>
  <si>
    <t xml:space="preserve">SAMPLE Brightside SAMPLE-1Z70006; SAMPLE Tallgrass SAMPLE-1Z80006</t>
  </si>
  <si>
    <t xml:space="preserve">SAMPLE Brightside SAMPLE-1Z70007; SAMPLE Tallgrass SAMPLE-1Z80007</t>
  </si>
  <si>
    <t xml:space="preserve">SAMPLE Brightside SAMPLE-1Z70008; SAMPLE Tallgrass SAMPLE-1Z80008</t>
  </si>
  <si>
    <t xml:space="preserve">SAMPLE with the reserve to the receiving address (SAMPLE Brightside SAMPLE-1Z7R0001; SAMPLE Tallgrass SAMPLE-1Z8R0001)</t>
  </si>
  <si>
    <t xml:space="preserve">SAMPLE Brightside SAMPLE-1Z70010; SAMPLE Tallgrass SAMPLE-1Z80010</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</si>
  <si>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</si>
  <si>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</si>
  <si>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</si>
  <si>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</si>
  <si>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</si>
  <si>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</si>
  <si>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</si>
  <si>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</si>
  <si>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</si>
  <si>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</si>
  <si>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</si>
  <si>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</si>
  <si>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</si>
  <si>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</si>
  <si>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</si>
  <si>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</si>
  <si>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</si>
  <si>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</si>
  <si>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</si>
  <si>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</si>
  <si>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</si>
  <si>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</si>
  <si>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</si>
  <si>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</si>
  <si>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</si>
  <si>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</si>
  <si>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</si>
  <si>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</si>
  <si>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</si>
  <si>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</si>
  <si>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</si>
  <si>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</si>
  <si>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</si>
  <si>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</si>
  <si>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</si>
  <si>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SAMPLE brand chose release: counted reserve to the largest office</t>
  </si>
  <si>
    <t xml:space="preserve">SAMPLE-L2703</t>
  </si>
  <si>
    <t xml:space="preserve">SAMPLE reserve; one package checked</t>
  </si>
  <si>
    <t xml:space="preserve">SAMPLE SAMPLE-O-009's carton, shipped with the reserve (desk will not hold food)</t>
  </si>
  <si>
    <t xml:space="preserve">SAMPLE-TG-0301</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</si>
  <si>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</si>
  <si>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</si>
  <si>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</si>
  <si>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</si>
  <si>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</si>
  <si>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</si>
  <si>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</si>
  <si>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</si>
  <si>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</si>
  <si>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</si>
  <si>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</si>
  <si>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</si>
  <si>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</si>
  <si>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</si>
  <si>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</si>
  <si>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</si>
  <si>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</si>
  <si>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</si>
  <si>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</si>
  <si>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</si>
  <si>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</si>
  <si>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</si>
  <si>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</si>
  <si>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</si>
  <si>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</si>
  <si>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</si>
  <si>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</si>
  <si>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</si>
  <si>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</si>
  <si>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</si>
  <si>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</si>
  <si>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</si>
  <si>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</si>
  <si>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</si>
  <si>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</si>
  <si>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</si>
  <si>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</si>
  <si>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</si>
  <si>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</si>
  <si>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</si>
  <si>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</si>
  <si>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</si>
  <si>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</si>
  <si>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</si>
  <si>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</si>
  <si>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</si>
  <si>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</si>
  <si>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</si>
  <si>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</si>
  <si>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</si>
  <si>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</si>
  <si>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</si>
  <si>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</si>
  <si>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</si>
  <si>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</si>
  <si>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</si>
  <si>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</si>
  <si>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</si>
  <si>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</si>
  <si>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</si>
  <si>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</si>
  <si>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</si>
  <si>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</si>
  <si>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</si>
  <si>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</si>
  <si>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</si>
  <si>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</si>
  <si>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</si>
  <si>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</si>
  <si>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</si>
  <si>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</si>
  <si>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</si>
  <si>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</si>
  <si>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</si>
  <si>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</si>
  <si>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</si>
  <si>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</si>
  <si>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</si>
  <si>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</si>
  <si>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</si>
  <si>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SAMPLE-PH-0501</t>
  </si>
  <si>
    <t xml:space="preserve">SAMPLE-PH-0502</t>
  </si>
  <si>
    <t xml:space="preserve">SAMPLE-PH-0503</t>
  </si>
  <si>
    <t xml:space="preserve">SAMPLE-PH-0504</t>
  </si>
  <si>
    <t xml:space="preserve">SAMPLE-PH-0505</t>
  </si>
  <si>
    <t xml:space="preserve">SAMPLE-PH-0506</t>
  </si>
  <si>
    <t xml:space="preserve">SAMPLE-PH-0507</t>
  </si>
  <si>
    <t xml:space="preserve">SAMPLE-PH-0508</t>
  </si>
  <si>
    <t xml:space="preserve">SAMPLE-PH-0509</t>
  </si>
  <si>
    <t xml:space="preserve">SAMPLE-PH-0510</t>
  </si>
  <si>
    <t xml:space="preserve">SAMPLE-PH-0511</t>
  </si>
  <si>
    <t xml:space="preserve">SAMPLE-PH-0512</t>
  </si>
  <si>
    <t xml:space="preserve">SAMPLE-PH-0513</t>
  </si>
  <si>
    <t xml:space="preserve">SAMPLE-PH-0514</t>
  </si>
  <si>
    <t xml:space="preserve">SAMPLE-PH-0515</t>
  </si>
  <si>
    <t xml:space="preserve">SAMPLE-PH-0516</t>
  </si>
  <si>
    <t xml:space="preserve">SAMPLE-PH-0517</t>
  </si>
  <si>
    <t xml:space="preserve">SAMPLE-PH-0518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</si>
  <si>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</si>
  <si>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</si>
  <si>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</si>
  <si>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</si>
  <si>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</si>
  <si>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</si>
  <si>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</si>
  <si>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</si>
  <si>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</si>
  <si>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</si>
  <si>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</si>
  <si>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</si>
  <si>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</si>
  <si>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</si>
  <si>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</si>
  <si>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</si>
  <si>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</si>
  <si>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</si>
  <si>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</si>
  <si>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</si>
  <si>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</si>
  <si>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</si>
  <si>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</si>
  <si>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</si>
  <si>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</si>
  <si>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</si>
  <si>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</si>
  <si>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</si>
  <si>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</si>
  <si>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</si>
  <si>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</si>
  <si>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</si>
  <si>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</si>
  <si>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</si>
  <si>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</si>
  <si>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</si>
  <si>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</si>
  <si>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</si>
  <si>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</si>
  <si>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</si>
  <si>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</si>
  <si>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</si>
  <si>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</si>
  <si>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</si>
  <si>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</si>
  <si>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</si>
  <si>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</si>
  <si>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</si>
  <si>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</si>
  <si>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</si>
  <si>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</si>
  <si>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</si>
  <si>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</si>
  <si>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</si>
  <si>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</si>
  <si>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</si>
  <si>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</si>
  <si>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</si>
  <si>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</si>
  <si>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</si>
  <si>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</si>
  <si>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</si>
  <si>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</si>
  <si>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</si>
  <si>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</si>
  <si>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</si>
  <si>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</si>
  <si>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</si>
  <si>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</si>
  <si>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</si>
  <si>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</si>
  <si>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</si>
  <si>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</si>
  <si>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</si>
  <si>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</si>
  <si>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</si>
  <si>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</si>
  <si>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</si>
  <si>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</si>
  <si>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</si>
  <si>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</si>
  <si>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</si>
  <si>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</si>
  <si>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</si>
  <si>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</si>
  <si>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</si>
  <si>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</si>
  <si>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</si>
  <si>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</si>
  <si>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</si>
  <si>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</si>
  <si>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</si>
  <si>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</si>
  <si>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</si>
  <si>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</si>
  <si>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</si>
  <si>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SAMPLE-CMP-006_SAMPLE-O-001_placement_2027-02-23.jpg</t>
  </si>
  <si>
    <t xml:space="preserve">SAMPLE-CMP-006_SAMPLE-O-001_later_2027-03-01.jpg</t>
  </si>
  <si>
    <t xml:space="preserve">SAMPLE-CMP-006_SAMPLE-O-002_placement_2027-02-23.jpg</t>
  </si>
  <si>
    <t xml:space="preserve">SAMPLE-CMP-006_SAMPLE-O-002_later_2027-03-01.jpg</t>
  </si>
  <si>
    <t xml:space="preserve">SAMPLE-CMP-006_SAMPLE-O-003_placement_2027-02-23.jpg</t>
  </si>
  <si>
    <t xml:space="preserve">SAMPLE-CMP-006_SAMPLE-O-003_later_2027-03-01.jpg</t>
  </si>
  <si>
    <t xml:space="preserve">SAMPLE-CMP-006_SAMPLE-O-004_placement_2027-02-23.jpg</t>
  </si>
  <si>
    <t xml:space="preserve">SAMPLE-CMP-006_SAMPLE-O-004_later_2027-03-01.jpg</t>
  </si>
  <si>
    <t xml:space="preserve">SAMPLE-CMP-006_SAMPLE-O-005_placement_2027-02-23.jpg</t>
  </si>
  <si>
    <t xml:space="preserve">SAMPLE-CMP-006_SAMPLE-O-005_later_2027-03-01.jpg</t>
  </si>
  <si>
    <t xml:space="preserve">SAMPLE-CMP-006_SAMPLE-O-007_placement_2027-02-23.jpg</t>
  </si>
  <si>
    <t xml:space="preserve">SAMPLE-CMP-006_SAMPLE-O-007_later_2027-03-01.jpg</t>
  </si>
  <si>
    <t xml:space="preserve">SAMPLE-CMP-006_SAMPLE-O-008_placement_2027-02-23.jpg</t>
  </si>
  <si>
    <t xml:space="preserve">SAMPLE-CMP-006_SAMPLE-O-008_later_2027-03-01.jpg</t>
  </si>
  <si>
    <t xml:space="preserve">SAMPLE-CMP-006_SAMPLE-O-009_placement_2027-02-23.jpg</t>
  </si>
  <si>
    <t xml:space="preserve">SAMPLE-CMP-006_SAMPLE-O-009_later_2027-03-01.jpg</t>
  </si>
  <si>
    <t xml:space="preserve">SAMPLE-CMP-006_SAMPLE-O-010_placement_2027-02-23.jpg</t>
  </si>
  <si>
    <t xml:space="preserve">SAMPLE-CMP-006_SAMPLE-O-010_later_2027-03-01.jpg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</si>
  <si>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</si>
  <si>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</si>
  <si>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</si>
  <si>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</si>
  <si>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</si>
  <si>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</si>
  <si>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</si>
  <si>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</si>
  <si>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</si>
  <si>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</si>
  <si>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</si>
  <si>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</si>
  <si>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</si>
  <si>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</si>
  <si>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</si>
  <si>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</si>
  <si>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</si>
  <si>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</si>
  <si>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</si>
  <si>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</si>
  <si>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</si>
  <si>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</si>
  <si>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</si>
  <si>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</si>
  <si>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</si>
  <si>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</si>
  <si>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</si>
  <si>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</si>
  <si>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</si>
  <si>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</si>
  <si>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</si>
  <si>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</si>
  <si>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</si>
  <si>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</si>
  <si>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</si>
  <si>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</si>
  <si>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</si>
  <si>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</si>
  <si>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</si>
  <si>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</si>
  <si>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</si>
  <si>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</si>
  <si>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</si>
  <si>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</si>
  <si>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</si>
  <si>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</si>
  <si>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</si>
  <si>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</si>
  <si>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</si>
  <si>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</si>
  <si>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</si>
  <si>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</si>
  <si>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</si>
  <si>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</si>
  <si>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</si>
  <si>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</si>
  <si>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</si>
  <si>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</si>
  <si>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</si>
  <si>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</si>
  <si>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</si>
  <si>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</si>
  <si>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</si>
  <si>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</si>
  <si>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</si>
  <si>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</si>
  <si>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</si>
  <si>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</si>
  <si>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</si>
  <si>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</si>
  <si>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</si>
  <si>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</si>
  <si>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</si>
  <si>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</si>
  <si>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</si>
  <si>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</si>
  <si>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</si>
  <si>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</si>
  <si>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</si>
  <si>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</si>
  <si>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</si>
  <si>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</si>
  <si>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</si>
  <si>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</si>
  <si>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</si>
  <si>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</si>
  <si>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</si>
  <si>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</si>
  <si>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</si>
  <si>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</si>
  <si>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</si>
  <si>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</si>
  <si>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</si>
  <si>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</si>
  <si>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</si>
  <si>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</si>
  <si>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</si>
  <si>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</si>
  <si>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</si>
  <si>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</si>
  <si>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</si>
  <si>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</si>
  <si>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</si>
  <si>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</si>
  <si>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</si>
  <si>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</si>
  <si>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</si>
  <si>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</si>
  <si>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</si>
  <si>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</si>
  <si>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</si>
  <si>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SAMPLE-c007-o001-q</t>
  </si>
  <si>
    <t xml:space="preserve">SAMPLE-c007-o001-p</t>
  </si>
  <si>
    <t xml:space="preserve">SAMPLE-c007-o002-q</t>
  </si>
  <si>
    <t xml:space="preserve">SAMPLE-c007-o002-p</t>
  </si>
  <si>
    <t xml:space="preserve">SAMPLE-c007-o003-q</t>
  </si>
  <si>
    <t xml:space="preserve">SAMPLE-c007-o003-p</t>
  </si>
  <si>
    <t xml:space="preserve">SAMPLE-c007-o004-q</t>
  </si>
  <si>
    <t xml:space="preserve">SAMPLE-c007-o004-p</t>
  </si>
  <si>
    <t xml:space="preserve">SAMPLE-c007-o005-q</t>
  </si>
  <si>
    <t xml:space="preserve">SAMPLE-c007-o005-p</t>
  </si>
  <si>
    <t xml:space="preserve">SAMPLE-c007-o006-q</t>
  </si>
  <si>
    <t xml:space="preserve">SAMPLE-c007-o006-p</t>
  </si>
  <si>
    <t xml:space="preserve">SAMPLE-c007-o007-q</t>
  </si>
  <si>
    <t xml:space="preserve">SAMPLE-c007-o007-p</t>
  </si>
  <si>
    <t xml:space="preserve">SAMPLE-c007-o008-q</t>
  </si>
  <si>
    <t xml:space="preserve">SAMPLE-c007-o008-p</t>
  </si>
  <si>
    <t xml:space="preserve">SAMPLE-c007-o009-q</t>
  </si>
  <si>
    <t xml:space="preserve">SAMPLE-c007-o009-p</t>
  </si>
  <si>
    <t xml:space="preserve">SAMPLE-c007-o010-q</t>
  </si>
  <si>
    <t xml:space="preserve">SAMPLE-c007-o010-p</t>
  </si>
  <si>
    <t xml:space="preserve">SAMPLE-c008-o001-q</t>
  </si>
  <si>
    <t xml:space="preserve">SAMPLE-c008-o001-p</t>
  </si>
  <si>
    <t xml:space="preserve">SAMPLE-c008-o002-q</t>
  </si>
  <si>
    <t xml:space="preserve">SAMPLE-c008-o002-p</t>
  </si>
  <si>
    <t xml:space="preserve">SAMPLE-c008-o003-q</t>
  </si>
  <si>
    <t xml:space="preserve">SAMPLE-c008-o003-p</t>
  </si>
  <si>
    <t xml:space="preserve">SAMPLE-c008-o004-q</t>
  </si>
  <si>
    <t xml:space="preserve">SAMPLE-c008-o004-p</t>
  </si>
  <si>
    <t xml:space="preserve">SAMPLE-c008-o005-q</t>
  </si>
  <si>
    <t xml:space="preserve">SAMPLE-c008-o005-p</t>
  </si>
  <si>
    <t xml:space="preserve">SAMPLE-c008-o006-q</t>
  </si>
  <si>
    <t xml:space="preserve">SAMPLE-c008-o006-p</t>
  </si>
  <si>
    <t xml:space="preserve">SAMPLE-c008-o007-q</t>
  </si>
  <si>
    <t xml:space="preserve">SAMPLE-c008-o007-p</t>
  </si>
  <si>
    <t xml:space="preserve">SAMPLE-c008-o008-q</t>
  </si>
  <si>
    <t xml:space="preserve">SAMPLE-c008-o008-p</t>
  </si>
  <si>
    <t xml:space="preserve">SAMPLE-c008-o009-q</t>
  </si>
  <si>
    <t xml:space="preserve">SAMPLE-c008-o009-p</t>
  </si>
  <si>
    <t xml:space="preserve">SAMPLE-c008-o010-q</t>
  </si>
  <si>
    <t xml:space="preserve">SAMPLE-c008-o010-p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</si>
  <si>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</si>
  <si>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</si>
  <si>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</si>
  <si>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</si>
  <si>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</si>
  <si>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</si>
  <si>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</si>
  <si>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</si>
  <si>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</si>
  <si>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</si>
  <si>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</si>
  <si>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</si>
  <si>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</si>
  <si>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</si>
  <si>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</si>
  <si>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</si>
  <si>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</si>
  <si>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</si>
  <si>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</si>
  <si>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</si>
  <si>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</si>
  <si>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</si>
  <si>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</si>
  <si>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</si>
  <si>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</si>
  <si>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</si>
  <si>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</si>
  <si>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</si>
  <si>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</si>
  <si>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</si>
  <si>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</si>
  <si>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</si>
  <si>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</si>
  <si>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</si>
  <si>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</si>
  <si>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</si>
  <si>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</si>
  <si>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</si>
  <si>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</si>
  <si>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</si>
  <si>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</si>
  <si>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</si>
  <si>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SAMPLE-ISS-021</t>
  </si>
  <si>
    <t xml:space="preserve">declined_at_door</t>
  </si>
  <si>
    <t xml:space="preserve">SAMPLE owner declined at the door: the office is pausing snacks this month.</t>
  </si>
  <si>
    <t xml:space="preserve">SAMPLE courier took the case back (0 handed over) and returned it to the receiving address; it stayed in reserve; $150 taken off the balance.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</si>
  <si>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</si>
  <si>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</si>
  <si>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</si>
  <si>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</si>
  <si>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</si>
  <si>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</si>
  <si>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</si>
  <si>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</si>
  <si>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</si>
  <si>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</si>
  <si>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</si>
  <si>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</si>
  <si>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</si>
  <si>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</si>
  <si>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</si>
  <si>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</si>
  <si>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</si>
  <si>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</si>
  <si>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</si>
  <si>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</si>
  <si>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</si>
  <si>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SAMPLE courier route; founder on call</t>
  </si>
  <si>
    <t xml:space="preserve">SAMPLE debrief</t>
  </si>
  <si>
    <t xml:space="preserve">SAMPLE balance and credit note</t>
  </si>
  <si>
    <t xml:space="preserve">SAMPLE renewal call, proposal, agreement</t>
  </si>
  <si>
    <t xml:space="preserve">SAMPLE reserve and one office's cartons in, one package checked</t>
  </si>
  <si>
    <t xml:space="preserve">SAMPLE kits mailed to nine offices</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</si>
  <si>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</si>
  <si>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</si>
  <si>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</si>
  <si>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</si>
  <si>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</si>
  <si>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</si>
  <si>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</si>
  <si>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</si>
  <si>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</si>
  <si>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</si>
  <si>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</si>
  <si>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</si>
  <si>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</si>
  <si>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</si>
  <si>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</si>
  <si>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</si>
  <si>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</si>
  <si>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SAMPLE 10 stops at $30 (one declined)</t>
  </si>
  <si>
    <t xml:space="preserve">SAMPLE post office</t>
  </si>
  <si>
    <t xml:space="preserve">SAMPLE kit postage, 9 envelopes (illustrative)</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</si>
  <si>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</si>
  <si>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</si>
  <si>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</si>
  <si>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</si>
  <si>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</si>
  <si>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</si>
  <si>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</si>
  <si>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</si>
  <si>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</si>
  <si>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</si>
  <si>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</si>
  <si>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</si>
  <si>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</si>
  <si>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</si>
  <si>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</si>
  <si>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</si>
  <si>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</si>
  <si>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</si>
  <si>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</si>
  <si>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</si>
  <si>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</si>
  <si>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</si>
  <si>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</si>
  <si>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</si>
  <si>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</si>
  <si>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</si>
  <si>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</si>
  <si>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</si>
  <si>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</si>
  <si>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</si>
  <si>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</si>
  <si>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</si>
  <si>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</si>
  <si>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</si>
  <si>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</si>
  <si>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</si>
  <si>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</si>
  <si>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</si>
  <si>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</si>
  <si>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</si>
  <si>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</si>
  <si>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SAMPLE-INV-021</t>
  </si>
  <si>
    <t xml:space="preserve">SAMPLE-ACH-6021</t>
  </si>
  <si>
    <t xml:space="preserve">SAMPLE-INV-022</t>
  </si>
  <si>
    <t xml:space="preserve">SAMPLE one office declined at the door and was not placed by T+1: taken off the balance, brand agreement section 8</t>
  </si>
  <si>
    <t xml:space="preserve">SAMPLE-INV-030</t>
  </si>
  <si>
    <t xml:space="preserve">SAMPLE-ACH-7030</t>
  </si>
  <si>
    <t xml:space="preserve">SAMPLE-INV-031</t>
  </si>
  <si>
    <t xml:space="preserve">SAMPLE-ACH-7031</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</si>
  <si>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</si>
  <si>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</si>
  <si>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</si>
  <si>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</si>
  <si>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</si>
  <si>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</si>
  <si>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</si>
  <si>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</si>
  <si>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</si>
  <si>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</si>
  <si>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</si>
  <si>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</si>
  <si>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</si>
  <si>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</si>
  <si>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</si>
  <si>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</si>
  <si>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</si>
  <si>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</si>
  <si>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</si>
  <si>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</si>
  <si>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</si>
  <si>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</si>
  <si>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</si>
  <si>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</si>
  <si>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</si>
  <si>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</si>
  <si>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</si>
  <si>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</si>
  <si>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</si>
  <si>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</si>
  <si>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</si>
  <si>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</si>
  <si>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</si>
  <si>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</si>
  <si>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</si>
  <si>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</si>
  <si>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</si>
  <si>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</si>
  <si>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</si>
  <si>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</si>
  <si>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</si>
  <si>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</si>
  <si>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</si>
  <si>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</si>
  <si>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</si>
  <si>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</si>
  <si>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</si>
  <si>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</si>
  <si>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</si>
  <si>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</si>
  <si>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</si>
  <si>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</si>
  <si>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</si>
  <si>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</si>
  <si>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</si>
  <si>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</si>
  <si>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</si>
  <si>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</si>
  <si>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</si>
  <si>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</si>
  <si>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</si>
  <si>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</si>
  <si>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</si>
  <si>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</si>
  <si>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</si>
  <si>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</si>
  <si>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</si>
  <si>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</si>
  <si>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</si>
  <si>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</si>
  <si>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</si>
  <si>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</si>
  <si>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</si>
  <si>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</si>
  <si>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</si>
  <si>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</si>
  <si>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</si>
  <si>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</si>
  <si>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</si>
  <si>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</si>
  <si>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</si>
  <si>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</si>
  <si>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</si>
  <si>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</si>
  <si>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</si>
  <si>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</si>
  <si>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</si>
  <si>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</si>
  <si>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</si>
  <si>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</si>
  <si>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</si>
  <si>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</si>
  <si>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</si>
  <si>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</si>
  <si>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</si>
  <si>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</si>
  <si>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</si>
  <si>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</si>
  <si>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</si>
  <si>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</si>
  <si>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</si>
  <si>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</si>
  <si>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</si>
  <si>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</si>
  <si>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</si>
  <si>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</si>
  <si>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</si>
  <si>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</si>
  <si>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</si>
  <si>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</si>
  <si>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</si>
  <si>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</si>
  <si>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</si>
  <si>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</si>
  <si>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</si>
  <si>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</si>
  <si>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</si>
  <si>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</si>
  <si>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</si>
  <si>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</si>
  <si>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</si>
  <si>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</si>
  <si>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</si>
  <si>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</si>
  <si>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</si>
  <si>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</si>
  <si>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</si>
  <si>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</si>
  <si>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</si>
  <si>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</si>
  <si>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</si>
  <si>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</si>
  <si>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</si>
  <si>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</si>
  <si>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</si>
  <si>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</si>
  <si>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</si>
  <si>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</si>
  <si>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</si>
  <si>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</si>
  <si>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</si>
  <si>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</si>
  <si>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</si>
  <si>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</si>
  <si>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</si>
  <si>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</si>
  <si>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</si>
  <si>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</si>
  <si>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</si>
  <si>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</si>
  <si>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</si>
  <si>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</si>
  <si>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</si>
  <si>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</si>
  <si>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</si>
  <si>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</si>
  <si>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</si>
  <si>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</si>
  <si>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</si>
  <si>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</si>
  <si>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</si>
  <si>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</si>
  <si>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</si>
  <si>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</si>
  <si>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</si>
  <si>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</si>
  <si>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</si>
  <si>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</si>
  <si>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</si>
  <si>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</si>
  <si>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</si>
  <si>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</si>
  <si>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</si>
  <si>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</si>
  <si>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</si>
  <si>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</si>
  <si>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</si>
  <si>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</si>
  <si>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</si>
  <si>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</si>
  <si>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</si>
  <si>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</si>
  <si>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</si>
  <si>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</si>
  <si>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</si>
  <si>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</si>
  <si>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</si>
  <si>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</si>
  <si>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</si>
  <si>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</si>
  <si>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</si>
  <si>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</si>
  <si>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</si>
  <si>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</si>
  <si>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</si>
  <si>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</si>
  <si>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</si>
  <si>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</si>
  <si>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</si>
  <si>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</si>
  <si>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</si>
  <si>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</si>
  <si>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</si>
  <si>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</si>
  <si>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</si>
  <si>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</si>
  <si>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</si>
  <si>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</si>
  <si>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</si>
  <si>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</si>
  <si>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</si>
  <si>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</si>
  <si>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</si>
  <si>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</si>
  <si>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</si>
  <si>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</si>
  <si>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</si>
  <si>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</si>
  <si>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</si>
  <si>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</si>
  <si>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</si>
  <si>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</si>
  <si>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</si>
  <si>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</si>
  <si>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</si>
  <si>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</si>
  <si>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</si>
  <si>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</si>
  <si>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</si>
  <si>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</si>
  <si>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</si>
  <si>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</si>
  <si>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</si>
  <si>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</si>
  <si>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</si>
  <si>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</si>
  <si>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</si>
  <si>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</si>
  <si>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</si>
  <si>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</si>
  <si>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</si>
  <si>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</si>
  <si>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</si>
  <si>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</si>
  <si>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</si>
  <si>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</si>
  <si>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</si>
  <si>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</si>
  <si>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</si>
  <si>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</si>
  <si>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</si>
  <si>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</si>
  <si>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</si>
  <si>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</si>
  <si>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</si>
  <si>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</si>
  <si>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</si>
  <si>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</si>
  <si>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</si>
  <si>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</si>
  <si>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</si>
  <si>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</si>
  <si>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</si>
  <si>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</si>
  <si>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</si>
  <si>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</si>
  <si>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</si>
  <si>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</si>
  <si>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</si>
  <si>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</si>
  <si>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</si>
  <si>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</si>
  <si>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</si>
  <si>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</si>
  <si>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</si>
  <si>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</si>
  <si>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</si>
  <si>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</si>
  <si>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</si>
  <si>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</si>
  <si>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</si>
  <si>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</si>
  <si>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</si>
  <si>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</si>
  <si>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</si>
  <si>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</si>
  <si>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</si>
  <si>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</si>
  <si>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</si>
  <si>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</si>
  <si>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</si>
  <si>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</si>
  <si>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</si>
  <si>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</si>
  <si>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</si>
  <si>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</si>
  <si>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</si>
  <si>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</si>
  <si>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</si>
  <si>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</si>
  <si>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</si>
  <si>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</si>
  <si>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</si>
  <si>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</si>
  <si>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</si>
  <si>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</si>
  <si>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</si>
  <si>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</si>
  <si>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</si>
  <si>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</si>
  <si>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</si>
  <si>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</si>
  <si>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</si>
  <si>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</si>
  <si>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</si>
  <si>
    <t xml:space="preserve">SAMPLE-CMP-006.SAMPLE-O-002</t>
  </si>
  <si>
    <t xml:space="preserve">SAMPLE-CMP-006.SAMPLE-O-010</t>
  </si>
  <si>
    <t xml:space="preserve">SAMPLE-CMP-006.SAMPLE-O-007</t>
  </si>
  <si>
    <t xml:space="preserve">SAMPLE-CMP-006.SAMPLE-O-001</t>
  </si>
  <si>
    <t xml:space="preserve">SAMPLE-CMP-006.SAMPLE-O-003</t>
  </si>
  <si>
    <t xml:space="preserve">SAMPLE-CMP-006.SAMPLE-O-004</t>
  </si>
  <si>
    <t xml:space="preserve">SAMPLE-CMP-006.SAMPLE-O-009</t>
  </si>
  <si>
    <t xml:space="preserve">SAMPLE-CMP-006.SAMPLE-O-005</t>
  </si>
  <si>
    <t xml:space="preserve">SAMPLE-CMP-006.SAMPLE-O-008</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</si>
</sst>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46468</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done</v>
      </c>
      <c r="G33" s="11" t="str">
        <f aca="false">IF(INDEX(drops!$A$2:$A$21,2)="","",INDEX(drops!$Y$2:$Y$21,2))</f>
        <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T+30 redemption check</v>
      </c>
      <c r="G34" s="11" t="n">
        <f aca="false">IF(INDEX(drops!$A$2:$A$21,3)="","",INDEX(drops!$Y$2:$Y$21,3))</f>
        <v>46471</v>
      </c>
      <c r="H34" s="10" t="n">
        <f aca="false">IF(INDEX(drops!$A$2:$A$21,3)="","",INDEX(drops!$AA$2:$AA$21,3))</f>
        <v>10</v>
      </c>
      <c r="I34" s="10" t="n">
        <f aca="false">IF(INDEX(drops!$A$2:$A$21,3)="","",INDEX(drops!$Z$2:$Z$21,3))</f>
        <v>1</v>
      </c>
      <c r="J34" s="10" t="n">
        <f aca="false">IF(INDEX(drops!$A$2:$A$21,3)="","",INDEX(drops!$AB$2:$AB$21,3))</f>
        <v>465</v>
      </c>
      <c r="K34" s="12" t="n">
        <f aca="false">IF(INDEX(drops!$A$2:$A$21,3)="","",INDEX(drops!$AC$2:$AC$21,3))</f>
        <v>1350</v>
      </c>
      <c r="L34" s="12" t="n">
        <f aca="false">IF(INDEX(drops!$A$2:$A$21,3)="","",INDEX(drops!$AG$2:$AG$21,3))</f>
        <v>380</v>
      </c>
      <c r="M34" s="12" t="n">
        <f aca="false">IF(INDEX(drops!$A$2:$A$21,3)="","",INDEX(drops!$AH$2:$AH$21,3))</f>
        <v>38</v>
      </c>
      <c r="N34" s="13" t="n">
        <f aca="false">IF(INDEX(drops!$A$2:$A$21,3)="","",INDEX(drops!$AI$2:$AI$21,3))</f>
        <v>20.5</v>
      </c>
      <c r="O34" s="12" t="n">
        <f aca="false">IF(INDEX(drops!$A$2:$A$21,3)="","",INDEX(drops!$AJ$2:$AJ$21,3))</f>
        <v>970</v>
      </c>
      <c r="P34" s="12" t="n">
        <f aca="false">IF(INDEX(drops!$A$2:$A$21,3)="","",INDEX(drops!$AK$2:$AK$21,3))</f>
        <v>47.32</v>
      </c>
      <c r="Q34" s="14" t="n">
        <f aca="false">IF(INDEX(drops!$A$2:$A$21,3)="","",INDEX(drops!$AL$2:$AL$21,3))</f>
        <v>1</v>
      </c>
      <c r="R34" s="10" t="n">
        <f aca="false">IF(INDEX(drops!$A$2:$A$21,3)="","",INDEX(drops!$AM$2:$AM$21,3))</f>
        <v>5</v>
      </c>
      <c r="S34" s="10" t="n">
        <f aca="false">IF(INDEX(drops!$A$2:$A$21,3)="","",INDEX(drops!$AN$2:$AN$21,3))</f>
        <v>0</v>
      </c>
      <c r="T34" s="10" t="n">
        <f aca="false">IF(INDEX(drops!$A$2:$A$21,3)="","",INDEX(drops!$AO$2:$AO$21,3))</f>
        <v>1</v>
      </c>
    </row>
    <row r="35" customFormat="false" ht="15" hidden="false" customHeight="false" outlineLevel="0" collapsed="false">
      <c r="A35" s="0" t="str">
        <f aca="false">IF(INDEX(drops!$A$2:$A$21,4)="","",INDEX(drops!$A$2:$A$21,4))</f>
        <v>SAMPLE-DRP-004</v>
      </c>
      <c r="B35" s="11" t="n">
        <f aca="false">IF(INDEX(drops!$A$2:$A$21,4)="","",INDEX(drops!$B$2:$B$21,4))</f>
        <v>46469</v>
      </c>
      <c r="C35" s="0" t="str">
        <f aca="false">IF(INDEX(drops!$A$2:$A$21,4)="","",INDEX(drops!$C$2:$C$21,4))</f>
        <v>direct-ship</v>
      </c>
      <c r="D35" s="0" t="str">
        <f aca="false">IF(INDEX(drops!$A$2:$A$21,4)="","",INDEX(drops!$D$2:$D$21,4))</f>
        <v>confirmed</v>
      </c>
      <c r="E35" s="0" t="str">
        <f aca="false">IF(INDEX(drops!$A$2:$A$21,4)="","",INDEX(drops!$I$2:$I$21,4))</f>
        <v>OK</v>
      </c>
      <c r="F35" s="0" t="str">
        <f aca="false">IF(INDEX(drops!$A$2:$A$21,4)="","",INDEX(drops!$X$2:$X$21,4))</f>
        <v>T-1 confirm owners, pack</v>
      </c>
      <c r="G35" s="11" t="n">
        <f aca="false">IF(INDEX(drops!$A$2:$A$21,4)="","",INDEX(drops!$Y$2:$Y$21,4))</f>
        <v>46468</v>
      </c>
      <c r="H35" s="10" t="n">
        <f aca="false">IF(INDEX(drops!$A$2:$A$21,4)="","",INDEX(drops!$AA$2:$AA$21,4))</f>
        <v>10</v>
      </c>
      <c r="I35" s="10" t="n">
        <f aca="false">IF(INDEX(drops!$A$2:$A$21,4)="","",INDEX(drops!$Z$2:$Z$21,4))</f>
        <v>2</v>
      </c>
      <c r="J35" s="10" t="n">
        <f aca="false">IF(INDEX(drops!$A$2:$A$21,4)="","",INDEX(drops!$AB$2:$AB$21,4))</f>
        <v>1030</v>
      </c>
      <c r="K35" s="12" t="n">
        <f aca="false">IF(INDEX(drops!$A$2:$A$21,4)="","",INDEX(drops!$AC$2:$AC$21,4))</f>
        <v>1950</v>
      </c>
      <c r="L35" s="12" t="n">
        <f aca="false">IF(INDEX(drops!$A$2:$A$21,4)="","",INDEX(drops!$AG$2:$AG$21,4))</f>
        <v>205</v>
      </c>
      <c r="M35" s="12" t="n">
        <f aca="false">IF(INDEX(drops!$A$2:$A$21,4)="","",INDEX(drops!$AH$2:$AH$21,4))</f>
        <v>20.5</v>
      </c>
      <c r="N35" s="13" t="n">
        <f aca="false">IF(INDEX(drops!$A$2:$A$21,4)="","",INDEX(drops!$AI$2:$AI$21,4))</f>
        <v>8</v>
      </c>
      <c r="O35" s="12" t="n">
        <f aca="false">IF(INDEX(drops!$A$2:$A$21,4)="","",INDEX(drops!$AJ$2:$AJ$21,4))</f>
        <v>1745</v>
      </c>
      <c r="P35" s="12" t="n">
        <f aca="false">IF(INDEX(drops!$A$2:$A$21,4)="","",INDEX(drops!$AK$2:$AK$21,4))</f>
        <v>218.13</v>
      </c>
      <c r="Q35" s="14" t="str">
        <f aca="false">IF(INDEX(drops!$A$2:$A$21,4)="","",INDEX(drops!$AL$2:$AL$21,4))</f>
        <v/>
      </c>
      <c r="R35" s="10" t="n">
        <f aca="false">IF(INDEX(drops!$A$2:$A$21,4)="","",INDEX(drops!$AM$2:$AM$21,4))</f>
        <v>0</v>
      </c>
      <c r="S35" s="10" t="n">
        <f aca="false">IF(INDEX(drops!$A$2:$A$21,4)="","",INDEX(drops!$AN$2:$AN$21,4))</f>
        <v>0</v>
      </c>
      <c r="T35" s="10" t="n">
        <f aca="false">IF(INDEX(drops!$A$2:$A$21,4)="","",INDEX(drops!$AO$2:$AO$21,4))</f>
        <v>0</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17</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8</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21</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9</v>
      </c>
      <c r="H55" s="10" t="n">
        <f aca="false">IF(INDEX(campaigns!$A$2:$A$51,6)="","",INDEX(campaigns!$F$2:$F$51,6))</f>
        <v>10</v>
      </c>
      <c r="I55" s="10" t="n">
        <f aca="false">IF(INDEX(campaigns!$A$2:$A$51,6)="","",INDEX(campaigns!$CB$2:$CB$51,6))</f>
        <v>425</v>
      </c>
      <c r="J55" s="10" t="n">
        <f aca="false">IF(INDEX(campaigns!$A$2:$A$51,6)="","",INDEX(campaigns!$CD$2:$CD$51,6))</f>
        <v>425</v>
      </c>
      <c r="K55" s="14" t="n">
        <f aca="false">IF(INDEX(campaigns!$A$2:$A$51,6)="","",INDEX(campaigns!$CE$2:$CE$51,6))</f>
        <v>1</v>
      </c>
      <c r="L55" s="10" t="n">
        <f aca="false">IF(INDEX(campaigns!$A$2:$A$51,6)="","",INDEX(campaigns!$CF$2:$CF$51,6))</f>
        <v>12</v>
      </c>
      <c r="M55" s="10" t="n">
        <f aca="false">IF(INDEX(campaigns!$A$2:$A$51,6)="","",INDEX(campaigns!$CG$2:$CG$51,6))</f>
        <v>408</v>
      </c>
      <c r="N55" s="10" t="n">
        <f aca="false">IF(INDEX(campaigns!$A$2:$A$51,6)="","",INDEX(campaigns!$CH$2:$CH$51,6))</f>
        <v>62</v>
      </c>
      <c r="O55" s="10" t="n">
        <f aca="false">IF(INDEX(campaigns!$A$2:$A$51,6)="","",INDEX(campaigns!$CI$2:$CI$51,6))</f>
        <v>5</v>
      </c>
      <c r="P55" s="10" t="n">
        <f aca="false">IF(INDEX(campaigns!$A$2:$A$51,6)="","",INDEX(campaigns!$CK$2:$CK$51,6))</f>
        <v>49</v>
      </c>
      <c r="Q55" s="13" t="n">
        <f aca="false">IF(INDEX(campaigns!$A$2:$A$51,6)="","",INDEX(campaigns!$CP$2:$CP$51,6))</f>
        <v>4.4</v>
      </c>
      <c r="R55" s="10" t="n">
        <f aca="false">IF(INDEX(campaigns!$A$2:$A$51,6)="","",INDEX(campaigns!$CX$2:$CX$51,6))</f>
        <v>71</v>
      </c>
      <c r="S55" s="10" t="n">
        <f aca="false">IF(INDEX(campaigns!$A$2:$A$51,6)="","",INDEX(campaigns!$CZ$2:$CZ$51,6))</f>
        <v>7</v>
      </c>
      <c r="T55" s="12" t="n">
        <f aca="false">IF(INDEX(campaigns!$A$2:$A$51,6)="","",INDEX(campaigns!$DC$2:$DC$51,6))</f>
        <v>1350</v>
      </c>
      <c r="U55" s="12" t="n">
        <f aca="false">IF(INDEX(campaigns!$A$2:$A$51,6)="","",INDEX(campaigns!$DM$2:$DM$51,6))</f>
        <v>47.32</v>
      </c>
      <c r="V55" s="0" t="str">
        <f aca="false">IF(INDEX(campaigns!$A$2:$A$51,6)="","",INDEX(campaigns!$DS$2:$DS$51,6))</f>
        <v>pass</v>
      </c>
      <c r="W55" s="0" t="str">
        <f aca="false">IF(INDEX(campaigns!$A$2:$A$51,6)="","",INDEX(campaigns!$DT$2:$DT$51,6))</f>
        <v>pass</v>
      </c>
      <c r="X55" s="0" t="str">
        <f aca="false">IF(INDEX(campaigns!$A$2:$A$51,6)="","",INDEX(campaigns!$DU$2:$DU$51,6))</f>
        <v>pass</v>
      </c>
      <c r="Y55" s="0" t="str">
        <f aca="false">IF(INDEX(campaigns!$A$2:$A$51,6)="","",INDEX(campaigns!$AV$2:$AV$51,6))</f>
        <v>yes</v>
      </c>
      <c r="Z55" s="0" t="str">
        <f aca="false">IF(INDEX(campaigns!$A$2:$A$51,6)="","",INDEX(campaigns!$DV$2:$DV$51,6))</f>
        <v/>
      </c>
    </row>
    <row r="56" customFormat="false" ht="15" hidden="false" customHeight="false" outlineLevel="0" collapsed="false">
      <c r="A56" s="0" t="str">
        <f aca="false">IF(INDEX(campaigns!$A$2:$A$51,7)="","",INDEX(campaigns!$A$2:$A$51,7))</f>
        <v>SAMPLE-CMP-007</v>
      </c>
      <c r="B56" s="0" t="str">
        <f aca="false">IF(INDEX(campaigns!$A$2:$A$51,7)="","",INDEX(campaigns!$BE$2:$BE$51,7))</f>
        <v>SAMPLE Brightside</v>
      </c>
      <c r="C56" s="11" t="n">
        <f aca="false">IF(INDEX(campaigns!$A$2:$A$51,7)="","",INDEX(campaigns!$BG$2:$BG$51,7))</f>
        <v>46469</v>
      </c>
      <c r="D56" s="0" t="str">
        <f aca="false">IF(INDEX(campaigns!$A$2:$A$51,7)="","",INDEX(campaigns!$D$2:$D$51,7))</f>
        <v>founding</v>
      </c>
      <c r="E56" s="0" t="str">
        <f aca="false">IF(INDEX(campaigns!$A$2:$A$51,7)="","",INDEX(campaigns!$BW$2:$BW$51,7))</f>
        <v>RELEASED 2027-03-01: ship by Tue 2027-03-09 (latest Tue 2027-03-09)</v>
      </c>
      <c r="F56" s="10" t="n">
        <f aca="false">IF(INDEX(campaigns!$A$2:$A$51,7)="","",INDEX(campaigns!$BO$2:$BO$51,7))</f>
        <v>10</v>
      </c>
      <c r="G56" s="10" t="n">
        <f aca="false">IF(INDEX(campaigns!$A$2:$A$51,7)="","",INDEX(campaigns!$BP$2:$BP$51,7))</f>
        <v>10</v>
      </c>
      <c r="H56" s="10" t="n">
        <f aca="false">IF(INDEX(campaigns!$A$2:$A$51,7)="","",INDEX(campaigns!$F$2:$F$51,7))</f>
        <v>10</v>
      </c>
      <c r="I56" s="10" t="n">
        <f aca="false">IF(INDEX(campaigns!$A$2:$A$51,7)="","",INDEX(campaigns!$CB$2:$CB$51,7))</f>
        <v>0</v>
      </c>
      <c r="J56" s="10" t="n">
        <f aca="false">IF(INDEX(campaigns!$A$2:$A$51,7)="","",INDEX(campaigns!$CD$2:$CD$51,7))</f>
        <v>0</v>
      </c>
      <c r="K56" s="14" t="str">
        <f aca="false">IF(INDEX(campaigns!$A$2:$A$51,7)="","",INDEX(campaigns!$CE$2:$CE$51,7))</f>
        <v/>
      </c>
      <c r="L56" s="10" t="n">
        <f aca="false">IF(INDEX(campaigns!$A$2:$A$51,7)="","",INDEX(campaigns!$CF$2:$CF$51,7))</f>
        <v>0</v>
      </c>
      <c r="M56" s="0" t="str">
        <f aca="false">IF(INDEX(campaigns!$A$2:$A$51,7)="","",INDEX(campaigns!$CG$2:$CG$51,7))</f>
        <v/>
      </c>
      <c r="N56" s="10" t="n">
        <f aca="false">IF(INDEX(campaigns!$A$2:$A$51,7)="","",INDEX(campaigns!$CH$2:$CH$51,7))</f>
        <v>0</v>
      </c>
      <c r="O56" s="10" t="n">
        <f aca="false">IF(INDEX(campaigns!$A$2:$A$51,7)="","",INDEX(campaigns!$CI$2:$CI$51,7))</f>
        <v>0</v>
      </c>
      <c r="P56" s="10" t="n">
        <f aca="false">IF(INDEX(campaigns!$A$2:$A$51,7)="","",INDEX(campaigns!$CK$2:$CK$51,7))</f>
        <v>0</v>
      </c>
      <c r="Q56" s="13" t="str">
        <f aca="false">IF(INDEX(campaigns!$A$2:$A$51,7)="","",INDEX(campaigns!$CP$2:$CP$51,7))</f>
        <v/>
      </c>
      <c r="R56" s="10" t="n">
        <f aca="false">IF(INDEX(campaigns!$A$2:$A$51,7)="","",INDEX(campaigns!$CX$2:$CX$51,7))</f>
        <v>0</v>
      </c>
      <c r="S56" s="0" t="str">
        <f aca="false">IF(INDEX(campaigns!$A$2:$A$51,7)="","",INDEX(campaigns!$CZ$2:$CZ$51,7))</f>
        <v/>
      </c>
      <c r="T56" s="12" t="n">
        <f aca="false">IF(INDEX(campaigns!$A$2:$A$51,7)="","",INDEX(campaigns!$DC$2:$DC$51,7))</f>
        <v>1200</v>
      </c>
      <c r="U56" s="12" t="n">
        <f aca="false">IF(INDEX(campaigns!$A$2:$A$51,7)="","",INDEX(campaigns!$DM$2:$DM$51,7))</f>
        <v>274.38</v>
      </c>
      <c r="V56" s="0" t="str">
        <f aca="false">IF(INDEX(campaigns!$A$2:$A$51,7)="","",INDEX(campaigns!$DS$2:$DS$51,7))</f>
        <v/>
      </c>
      <c r="W56" s="0" t="str">
        <f aca="false">IF(INDEX(campaigns!$A$2:$A$51,7)="","",INDEX(campaigns!$DT$2:$DT$51,7))</f>
        <v>miss</v>
      </c>
      <c r="X56" s="0" t="str">
        <f aca="false">IF(INDEX(campaigns!$A$2:$A$51,7)="","",INDEX(campaigns!$DU$2:$DU$51,7))</f>
        <v>due</v>
      </c>
      <c r="Y56" s="10" t="n">
        <f aca="false">IF(INDEX(campaigns!$A$2:$A$51,7)="","",INDEX(campaigns!$AV$2:$AV$51,7))</f>
        <v>0</v>
      </c>
      <c r="Z56" s="0" t="str">
        <f aca="false">IF(INDEX(campaigns!$A$2:$A$51,7)="","",INDEX(campaigns!$DV$2:$DV$51,7))</f>
        <v>info: brand insurance ends 2027-06-30: diary the renewal certificate; </v>
      </c>
    </row>
    <row r="57" customFormat="false" ht="15" hidden="false" customHeight="false" outlineLevel="0" collapsed="false">
      <c r="A57" s="0" t="str">
        <f aca="false">IF(INDEX(campaigns!$A$2:$A$51,8)="","",INDEX(campaigns!$A$2:$A$51,8))</f>
        <v>SAMPLE-CMP-008</v>
      </c>
      <c r="B57" s="0" t="str">
        <f aca="false">IF(INDEX(campaigns!$A$2:$A$51,8)="","",INDEX(campaigns!$BE$2:$BE$51,8))</f>
        <v>SAMPLE Tallgrass</v>
      </c>
      <c r="C57" s="11" t="n">
        <f aca="false">IF(INDEX(campaigns!$A$2:$A$51,8)="","",INDEX(campaigns!$BG$2:$BG$51,8))</f>
        <v>46469</v>
      </c>
      <c r="D57" s="0" t="str">
        <f aca="false">IF(INDEX(campaigns!$A$2:$A$51,8)="","",INDEX(campaigns!$D$2:$D$51,8))</f>
        <v>standard</v>
      </c>
      <c r="E57" s="0" t="str">
        <f aca="false">IF(INDEX(campaigns!$A$2:$A$51,8)="","",INDEX(campaigns!$BW$2:$BW$51,8))</f>
        <v>RELEASED 2027-02-26: ship by Tue 2027-03-09 (latest Tue 2027-03-09)</v>
      </c>
      <c r="F57" s="10" t="n">
        <f aca="false">IF(INDEX(campaigns!$A$2:$A$51,8)="","",INDEX(campaigns!$BO$2:$BO$51,8))</f>
        <v>10</v>
      </c>
      <c r="G57" s="10" t="n">
        <f aca="false">IF(INDEX(campaigns!$A$2:$A$51,8)="","",INDEX(campaigns!$BP$2:$BP$51,8))</f>
        <v>10</v>
      </c>
      <c r="H57" s="10" t="n">
        <f aca="false">IF(INDEX(campaigns!$A$2:$A$51,8)="","",INDEX(campaigns!$F$2:$F$51,8))</f>
        <v>10</v>
      </c>
      <c r="I57" s="10" t="n">
        <f aca="false">IF(INDEX(campaigns!$A$2:$A$51,8)="","",INDEX(campaigns!$CB$2:$CB$51,8))</f>
        <v>0</v>
      </c>
      <c r="J57" s="10" t="n">
        <f aca="false">IF(INDEX(campaigns!$A$2:$A$51,8)="","",INDEX(campaigns!$CD$2:$CD$51,8))</f>
        <v>0</v>
      </c>
      <c r="K57" s="14" t="str">
        <f aca="false">IF(INDEX(campaigns!$A$2:$A$51,8)="","",INDEX(campaigns!$CE$2:$CE$51,8))</f>
        <v/>
      </c>
      <c r="L57" s="10" t="n">
        <f aca="false">IF(INDEX(campaigns!$A$2:$A$51,8)="","",INDEX(campaigns!$CF$2:$CF$51,8))</f>
        <v>0</v>
      </c>
      <c r="M57" s="0" t="str">
        <f aca="false">IF(INDEX(campaigns!$A$2:$A$51,8)="","",INDEX(campaigns!$CG$2:$CG$51,8))</f>
        <v/>
      </c>
      <c r="N57" s="10" t="n">
        <f aca="false">IF(INDEX(campaigns!$A$2:$A$51,8)="","",INDEX(campaigns!$CH$2:$CH$51,8))</f>
        <v>0</v>
      </c>
      <c r="O57" s="10" t="n">
        <f aca="false">IF(INDEX(campaigns!$A$2:$A$51,8)="","",INDEX(campaigns!$CI$2:$CI$51,8))</f>
        <v>0</v>
      </c>
      <c r="P57" s="10" t="n">
        <f aca="false">IF(INDEX(campaigns!$A$2:$A$51,8)="","",INDEX(campaigns!$CK$2:$CK$51,8))</f>
        <v>0</v>
      </c>
      <c r="Q57" s="13" t="str">
        <f aca="false">IF(INDEX(campaigns!$A$2:$A$51,8)="","",INDEX(campaigns!$CP$2:$CP$51,8))</f>
        <v/>
      </c>
      <c r="R57" s="10" t="n">
        <f aca="false">IF(INDEX(campaigns!$A$2:$A$51,8)="","",INDEX(campaigns!$CX$2:$CX$51,8))</f>
        <v>0</v>
      </c>
      <c r="S57" s="0" t="str">
        <f aca="false">IF(INDEX(campaigns!$A$2:$A$51,8)="","",INDEX(campaigns!$CZ$2:$CZ$51,8))</f>
        <v/>
      </c>
      <c r="T57" s="12" t="n">
        <f aca="false">IF(INDEX(campaigns!$A$2:$A$51,8)="","",INDEX(campaigns!$DC$2:$DC$51,8))</f>
        <v>750</v>
      </c>
      <c r="U57" s="12" t="n">
        <f aca="false">IF(INDEX(campaigns!$A$2:$A$51,8)="","",INDEX(campaigns!$DM$2:$DM$51,8))</f>
        <v>161.88</v>
      </c>
      <c r="V57" s="0" t="str">
        <f aca="false">IF(INDEX(campaigns!$A$2:$A$51,8)="","",INDEX(campaigns!$DS$2:$DS$51,8))</f>
        <v/>
      </c>
      <c r="W57" s="0" t="str">
        <f aca="false">IF(INDEX(campaigns!$A$2:$A$51,8)="","",INDEX(campaigns!$DT$2:$DT$51,8))</f>
        <v>miss</v>
      </c>
      <c r="X57" s="0" t="str">
        <f aca="false">IF(INDEX(campaigns!$A$2:$A$51,8)="","",INDEX(campaigns!$DU$2:$DU$51,8))</f>
        <v>due</v>
      </c>
      <c r="Y57" s="10" t="n">
        <f aca="false">IF(INDEX(campaigns!$A$2:$A$51,8)="","",INDEX(campaigns!$AV$2:$AV$51,8))</f>
        <v>0</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SAMPLE-DRP-004</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55.5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n">
        <f aca="false">IF(G84="","",SUMIFS(hours!$E$2:$E$1501,hours!$D$2:$D$1501,"brand_sales",hours!$B$2:$B$1501,G84))</f>
        <v>4</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40.5</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n">
        <f aca="false">IF(G84="","",SUMIFS(hours!$E$2:$E$1501,hours!$D$2:$D$1501,"office_coordination",hours!$B$2:$B$1501,G84))</f>
        <v>1.5</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12.5</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n">
        <f aca="false">IF(G84="","",SUMIFS(hours!$E$2:$E$1501,hours!$D$2:$D$1501,"receiving_kitting",hours!$B$2:$B$1501,G84))</f>
        <v>2.5</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17</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4</v>
      </c>
      <c r="G88" s="13" t="n">
        <f aca="false">IF(G84="","",SUMIFS(hours!$E$2:$E$1501,hours!$D$2:$D$1501,"drop_day",hours!$B$2:$B$1501,G84))</f>
        <v>0</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10</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3</v>
      </c>
      <c r="G89" s="13" t="n">
        <f aca="false">IF(G84="","",SUMIFS(hours!$E$2:$E$1501,hours!$D$2:$D$1501,"checks_pickup",hours!$B$2:$B$1501,G84))</f>
        <v>0</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12</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n">
        <f aca="false">IF(F84="","",SUMIFS(hours!$E$2:$E$1501,hours!$D$2:$D$1501,"reporting_debriefs",hours!$B$2:$B$1501,F84))</f>
        <v>2</v>
      </c>
      <c r="G90" s="13" t="n">
        <f aca="false">IF(G84="","",SUMIFS(hours!$E$2:$E$1501,hours!$D$2:$D$1501,"reporting_debriefs",hours!$B$2:$B$1501,G84))</f>
        <v>0</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5</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1</v>
      </c>
      <c r="G91" s="13" t="n">
        <f aca="false">IF(G84="","",SUMIFS(hours!$E$2:$E$1501,hours!$D$2:$D$1501,"admin_invoicing",hours!$B$2:$B$1501,G84))</f>
        <v>0</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152.5</v>
      </c>
      <c r="C92" s="13" t="n">
        <f aca="false">SUM(C85:C91)</f>
        <v>15</v>
      </c>
      <c r="D92" s="13" t="n">
        <f aca="false">IF(D84="","",SUM(D85:D91))</f>
        <v>57</v>
      </c>
      <c r="E92" s="13" t="n">
        <f aca="false">IF(E84="","",SUM(E85:E91))</f>
        <v>52</v>
      </c>
      <c r="F92" s="13" t="n">
        <f aca="false">IF(F84="","",SUM(F85:F91))</f>
        <v>20.5</v>
      </c>
      <c r="G92" s="13" t="n">
        <f aca="false">IF(G84="","",SUM(G85:G91))</f>
        <v>8</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46468</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done</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T+30 redemption check</v>
      </c>
      <c r="Y4" s="31" t="n">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46471</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1350</v>
      </c>
      <c r="AD4" s="32" t="n">
        <f aca="false">IF($A4="","",SUMIFS(costs!$E$2:$E$301,costs!$B$2:$B$301,$A4,costs!$D$2:$D$301,"kit"))</f>
        <v>80</v>
      </c>
      <c r="AE4" s="32" t="n">
        <f aca="false">IF($A4="","",SUMIFS(costs!$E$2:$E$301,costs!$B$2:$B$301,$A4,costs!$D$2:$D$301,"transport"))</f>
        <v>300</v>
      </c>
      <c r="AF4" s="32" t="n">
        <f aca="false">IF($A4="","",SUMIFS(costs!$E$2:$E$301,costs!$B$2:$B$301,$A4,costs!$D$2:$D$301,"other_direct"))</f>
        <v>0</v>
      </c>
      <c r="AG4" s="32" t="n">
        <f aca="false">IF($A4="","",$AD4+$AE4+$AF4)</f>
        <v>380</v>
      </c>
      <c r="AH4" s="32" t="n">
        <f aca="false">IF(OR($A4="",N($AA4)=0),"",ROUND($AG4/$AA4,2))</f>
        <v>38</v>
      </c>
      <c r="AI4" s="33" t="n">
        <f aca="false">IF($A4="","",SUMIFS(hours!$E$2:$E$1501,hours!$B$2:$B$1501,$A4))</f>
        <v>20.5</v>
      </c>
      <c r="AJ4" s="32" t="n">
        <f aca="false">IF($A4="","",$AC4-SUMIFS(campaigns!$DG$2:$DG$51,campaigns!$B$2:$B$51,$A4)-$AG4)</f>
        <v>970</v>
      </c>
      <c r="AK4" s="32" t="n">
        <f aca="false">IF(OR($A4="",N($AI4)=0),"",ROUND($AJ4/$AI4,2))</f>
        <v>47.32</v>
      </c>
      <c r="AL4" s="34" t="n">
        <f aca="false">IF(OR($A4="",SUMIFS(campaigns!$CB$2:$CB$51,campaigns!$B$2:$B$51,$A4)=0),"",SUMIFS(campaigns!$CD$2:$CD$51,campaigns!$B$2:$B$51,$A4)/SUMIFS(campaigns!$CB$2:$CB$51,campaigns!$B$2:$B$51,$A4))</f>
        <v>1</v>
      </c>
      <c r="AM4" s="30" t="n">
        <f aca="false">IF(OR($A4="",COUNTIFS(approvals!$H$2:$H$251,$A4,approvals!$Q$2:$Q$251,"Y")=0),"",SUMPRODUCT(MIN(approvals!$BB$2:$BB$251+(approvals!$H$2:$H$251&lt;&gt;$A4)*1000000)))</f>
        <v>5</v>
      </c>
      <c r="AN4" s="30" t="n">
        <f aca="false">IF(OR($A4="",$T4=""),"",COUNTIFS(campaigns!$B$2:$B$51,$A4,campaigns!$DU$2:$DU$51,"late"))</f>
        <v>0</v>
      </c>
      <c r="AO4" s="30" t="n">
        <f aca="false">IF($A4="","",COUNTIFS(campaigns!$B$2:$B$51,$A4,campaigns!$AV$2:$AV$51,"yes"))</f>
        <v>1</v>
      </c>
    </row>
    <row r="5" customFormat="false" ht="15" hidden="false" customHeight="false" outlineLevel="0" collapsed="false">
      <c r="A5" s="0" t="s">
        <v>353</v>
      </c>
      <c r="B5" s="11" t="n">
        <v>46469</v>
      </c>
      <c r="C5" s="10" t="s">
        <v>354</v>
      </c>
      <c r="D5" s="10" t="s">
        <v>339</v>
      </c>
      <c r="E5" s="10" t="s">
        <v>355</v>
      </c>
      <c r="G5" s="10" t="s">
        <v>356</v>
      </c>
      <c r="H5" s="10" t="s">
        <v>357</v>
      </c>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OK</v>
      </c>
      <c r="J5" s="30" t="str">
        <f aca="false">IF($B5="","",TEXT($B5,"ddd"))</f>
        <v>Tue</v>
      </c>
      <c r="K5" s="31" t="n">
        <f aca="false">IF($I5="OK",WORKDAY($B5,-10,calendar!$A$2:$A$80),"")</f>
        <v>46455</v>
      </c>
      <c r="L5" s="31" t="n">
        <f aca="false">IF($I5="OK",IF(SUMPRODUCT((calendar!$D$2:$D$20&lt;=$M5)*(calendar!$E$2:$E$20&gt;=$K5)*calendar!$D$2:$D$20)=0,$K5,MIN($K5,WORKDAY(SUMPRODUCT((calendar!$D$2:$D$20&lt;=$M5)*(calendar!$E$2:$E$20&gt;=$K5)*calendar!$D$2:$D$20)+5,-1,calendar!$A$2:$A$80))),"")</f>
        <v>46455</v>
      </c>
      <c r="M5" s="31" t="n">
        <f aca="false">IF($I5="OK",WORKDAY($B5,-5,calendar!$A$2:$A$80),"")</f>
        <v>46462</v>
      </c>
      <c r="N5" s="31" t="n">
        <f aca="false">IF($I5="OK",WORKDAY($B5,-3,calendar!$A$2:$A$80),"")</f>
        <v>46464</v>
      </c>
      <c r="O5" s="31" t="n">
        <f aca="false">IF($I5="OK",WORKDAY($B5,-1,calendar!$A$2:$A$80),"")</f>
        <v>46468</v>
      </c>
      <c r="P5" s="31" t="n">
        <f aca="false">IF($I5="OK",WORKDAY($B5,1,calendar!$A$2:$A$80),"")</f>
        <v>46470</v>
      </c>
      <c r="Q5" s="31" t="n">
        <f aca="false">IF($I5="OK",WORKDAY($B5,2,calendar!$A$2:$A$80),"")</f>
        <v>46471</v>
      </c>
      <c r="R5" s="31" t="n">
        <f aca="false">IF($I5="OK",WORKDAY($B5,4,calendar!$A$2:$A$80),"")</f>
        <v>46475</v>
      </c>
      <c r="S5" s="31" t="n">
        <f aca="false">IF($I5="OK",WORKDAY($B5,5,calendar!$A$2:$A$80),"")</f>
        <v>46476</v>
      </c>
      <c r="T5" s="31" t="n">
        <f aca="false">IF($I5="OK",WORKDAY($B5,7,calendar!$A$2:$A$80),"")</f>
        <v>46478</v>
      </c>
      <c r="U5" s="31" t="n">
        <f aca="false">IF($I5="OK",WORKDAY($B5,10,calendar!$A$2:$A$80),"")</f>
        <v>46483</v>
      </c>
      <c r="V5" s="31" t="n">
        <f aca="false">IF($I5="OK",WORKDAY($B5,14,calendar!$A$2:$A$80),"")</f>
        <v>46489</v>
      </c>
      <c r="W5" s="31" t="n">
        <f aca="false">IF($I5="OK",$B5+30,"")</f>
        <v>46499</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T-1 confirm owners, pack</v>
      </c>
      <c r="Y5" s="31" t="n">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46468</v>
      </c>
      <c r="Z5" s="30" t="n">
        <f aca="false">IF($A5="","",COUNTIF(campaigns!$B$2:$B$51,$A5))</f>
        <v>2</v>
      </c>
      <c r="AA5" s="30" t="n">
        <f aca="false">IF($A5="","",COUNTIF(stops!$A$2:$A$151,$A5))</f>
        <v>10</v>
      </c>
      <c r="AB5" s="30" t="n">
        <f aca="false">IF($A5="","",SUMIFS(approvals!$S$2:$S$251,approvals!$H$2:$H$251,$A5,approvals!$P$2:$P$251,"Y"))</f>
        <v>1030</v>
      </c>
      <c r="AC5" s="32" t="n">
        <f aca="false">IF($A5="","",SUMIFS(campaigns!$DC$2:$DC$51,campaigns!$B$2:$B$51,$A5))</f>
        <v>1950</v>
      </c>
      <c r="AD5" s="32" t="n">
        <f aca="false">IF($A5="","",SUMIFS(costs!$E$2:$E$301,costs!$B$2:$B$301,$A5,costs!$D$2:$D$301,"kit"))</f>
        <v>160</v>
      </c>
      <c r="AE5" s="32" t="n">
        <f aca="false">IF($A5="","",SUMIFS(costs!$E$2:$E$301,costs!$B$2:$B$301,$A5,costs!$D$2:$D$301,"transport"))</f>
        <v>0</v>
      </c>
      <c r="AF5" s="32" t="n">
        <f aca="false">IF($A5="","",SUMIFS(costs!$E$2:$E$301,costs!$B$2:$B$301,$A5,costs!$D$2:$D$301,"other_direct"))</f>
        <v>45</v>
      </c>
      <c r="AG5" s="32" t="n">
        <f aca="false">IF($A5="","",$AD5+$AE5+$AF5)</f>
        <v>205</v>
      </c>
      <c r="AH5" s="32" t="n">
        <f aca="false">IF(OR($A5="",N($AA5)=0),"",ROUND($AG5/$AA5,2))</f>
        <v>20.5</v>
      </c>
      <c r="AI5" s="33" t="n">
        <f aca="false">IF($A5="","",SUMIFS(hours!$E$2:$E$1501,hours!$B$2:$B$1501,$A5))</f>
        <v>8</v>
      </c>
      <c r="AJ5" s="32" t="n">
        <f aca="false">IF($A5="","",$AC5-SUMIFS(campaigns!$DG$2:$DG$51,campaigns!$B$2:$B$51,$A5)-$AG5)</f>
        <v>1745</v>
      </c>
      <c r="AK5" s="32" t="n">
        <f aca="false">IF(OR($A5="",N($AI5)=0),"",ROUND($AJ5/$AI5,2))</f>
        <v>218.13</v>
      </c>
      <c r="AL5" s="34" t="str">
        <f aca="false">IF(OR($A5="",SUMIFS(campaigns!$CB$2:$CB$51,campaigns!$B$2:$B$51,$A5)=0),"",SUMIFS(campaigns!$CD$2:$CD$51,campaigns!$B$2:$B$51,$A5)/SUMIFS(campaigns!$CB$2:$CB$51,campaigns!$B$2:$B$51,$A5))</f>
        <v/>
      </c>
      <c r="AM5" s="30" t="n">
        <f aca="false">IF(OR($A5="",COUNTIFS(approvals!$H$2:$H$251,$A5,approvals!$Q$2:$Q$251,"Y")=0),"",SUMPRODUCT(MIN(approvals!$BB$2:$BB$251+(approvals!$H$2:$H$251&lt;&gt;$A5)*1000000)))</f>
        <v>0</v>
      </c>
      <c r="AN5" s="30" t="n">
        <f aca="false">IF(OR($A5="",$T5=""),"",COUNTIFS(campaigns!$B$2:$B$51,$A5,campaigns!$DU$2:$DU$51,"late"))</f>
        <v>0</v>
      </c>
      <c r="AO5" s="30" t="n">
        <f aca="false">IF($A5="","",COUNTIFS(campaigns!$B$2:$B$51,$A5,campaigns!$AV$2:$AV$51,"yes"))</f>
        <v>0</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358</v>
      </c>
      <c r="B1" s="28" t="s">
        <v>299</v>
      </c>
      <c r="C1" s="28" t="s">
        <v>359</v>
      </c>
      <c r="D1" s="28" t="s">
        <v>100</v>
      </c>
      <c r="E1" s="28" t="s">
        <v>360</v>
      </c>
      <c r="F1" s="28" t="s">
        <v>361</v>
      </c>
      <c r="G1" s="28" t="s">
        <v>362</v>
      </c>
      <c r="H1" s="28" t="s">
        <v>363</v>
      </c>
      <c r="I1" s="28" t="s">
        <v>364</v>
      </c>
      <c r="J1" s="28" t="s">
        <v>365</v>
      </c>
      <c r="K1" s="28" t="s">
        <v>366</v>
      </c>
      <c r="L1" s="28" t="s">
        <v>367</v>
      </c>
      <c r="M1" s="28" t="s">
        <v>368</v>
      </c>
      <c r="N1" s="28" t="s">
        <v>369</v>
      </c>
      <c r="O1" s="28" t="s">
        <v>370</v>
      </c>
      <c r="P1" s="28" t="s">
        <v>371</v>
      </c>
      <c r="Q1" s="28" t="s">
        <v>372</v>
      </c>
      <c r="R1" s="28" t="s">
        <v>373</v>
      </c>
      <c r="S1" s="28" t="s">
        <v>374</v>
      </c>
      <c r="T1" s="28" t="s">
        <v>375</v>
      </c>
      <c r="U1" s="28" t="s">
        <v>376</v>
      </c>
      <c r="V1" s="28" t="s">
        <v>377</v>
      </c>
      <c r="W1" s="28" t="s">
        <v>378</v>
      </c>
      <c r="X1" s="28" t="s">
        <v>379</v>
      </c>
      <c r="Y1" s="28" t="s">
        <v>380</v>
      </c>
      <c r="Z1" s="28" t="s">
        <v>381</v>
      </c>
      <c r="AA1" s="28" t="s">
        <v>382</v>
      </c>
      <c r="AB1" s="28" t="s">
        <v>383</v>
      </c>
      <c r="AC1" s="28" t="s">
        <v>384</v>
      </c>
      <c r="AD1" s="28" t="s">
        <v>385</v>
      </c>
      <c r="AE1" s="28" t="s">
        <v>386</v>
      </c>
      <c r="AF1" s="28" t="s">
        <v>387</v>
      </c>
      <c r="AG1" s="28" t="s">
        <v>388</v>
      </c>
      <c r="AH1" s="28" t="s">
        <v>389</v>
      </c>
      <c r="AI1" s="28" t="s">
        <v>390</v>
      </c>
      <c r="AJ1" s="28" t="s">
        <v>391</v>
      </c>
      <c r="AK1" s="28" t="s">
        <v>392</v>
      </c>
      <c r="AL1" s="28" t="s">
        <v>393</v>
      </c>
      <c r="AM1" s="28" t="s">
        <v>394</v>
      </c>
      <c r="AN1" s="28" t="s">
        <v>395</v>
      </c>
      <c r="AO1" s="28" t="s">
        <v>396</v>
      </c>
      <c r="AP1" s="28" t="s">
        <v>397</v>
      </c>
      <c r="AQ1" s="28" t="s">
        <v>398</v>
      </c>
      <c r="AR1" s="28" t="s">
        <v>399</v>
      </c>
      <c r="AS1" s="28" t="s">
        <v>400</v>
      </c>
      <c r="AT1" s="28" t="s">
        <v>401</v>
      </c>
      <c r="AU1" s="28" t="s">
        <v>402</v>
      </c>
      <c r="AV1" s="28" t="s">
        <v>403</v>
      </c>
      <c r="AW1" s="28" t="s">
        <v>404</v>
      </c>
      <c r="AX1" s="28" t="s">
        <v>405</v>
      </c>
      <c r="AY1" s="28" t="s">
        <v>406</v>
      </c>
      <c r="AZ1" s="28" t="s">
        <v>407</v>
      </c>
      <c r="BA1" s="28" t="s">
        <v>408</v>
      </c>
      <c r="BB1" s="28" t="s">
        <v>409</v>
      </c>
      <c r="BC1" s="28" t="s">
        <v>410</v>
      </c>
      <c r="BD1" s="28" t="s">
        <v>305</v>
      </c>
      <c r="BE1" s="29" t="s">
        <v>411</v>
      </c>
      <c r="BF1" s="29" t="s">
        <v>412</v>
      </c>
      <c r="BG1" s="29" t="s">
        <v>300</v>
      </c>
      <c r="BH1" s="29" t="s">
        <v>301</v>
      </c>
      <c r="BI1" s="29" t="s">
        <v>413</v>
      </c>
      <c r="BJ1" s="29" t="s">
        <v>414</v>
      </c>
      <c r="BK1" s="29" t="s">
        <v>415</v>
      </c>
      <c r="BL1" s="29" t="s">
        <v>416</v>
      </c>
      <c r="BM1" s="29" t="s">
        <v>309</v>
      </c>
      <c r="BN1" s="29" t="s">
        <v>417</v>
      </c>
      <c r="BO1" s="29" t="s">
        <v>418</v>
      </c>
      <c r="BP1" s="29" t="s">
        <v>419</v>
      </c>
      <c r="BQ1" s="29" t="s">
        <v>420</v>
      </c>
      <c r="BR1" s="29" t="s">
        <v>324</v>
      </c>
      <c r="BS1" s="29" t="s">
        <v>421</v>
      </c>
      <c r="BT1" s="29" t="s">
        <v>422</v>
      </c>
      <c r="BU1" s="29" t="s">
        <v>423</v>
      </c>
      <c r="BV1" s="29" t="s">
        <v>424</v>
      </c>
      <c r="BW1" s="29" t="s">
        <v>425</v>
      </c>
      <c r="BX1" s="29" t="s">
        <v>426</v>
      </c>
      <c r="BY1" s="29" t="s">
        <v>427</v>
      </c>
      <c r="BZ1" s="29" t="s">
        <v>428</v>
      </c>
      <c r="CA1" s="29" t="s">
        <v>429</v>
      </c>
      <c r="CB1" s="29" t="s">
        <v>430</v>
      </c>
      <c r="CC1" s="29" t="s">
        <v>431</v>
      </c>
      <c r="CD1" s="29" t="s">
        <v>432</v>
      </c>
      <c r="CE1" s="29" t="s">
        <v>433</v>
      </c>
      <c r="CF1" s="29" t="s">
        <v>434</v>
      </c>
      <c r="CG1" s="29" t="s">
        <v>435</v>
      </c>
      <c r="CH1" s="29" t="s">
        <v>436</v>
      </c>
      <c r="CI1" s="29" t="s">
        <v>437</v>
      </c>
      <c r="CJ1" s="29" t="s">
        <v>438</v>
      </c>
      <c r="CK1" s="29" t="s">
        <v>439</v>
      </c>
      <c r="CL1" s="29" t="s">
        <v>440</v>
      </c>
      <c r="CM1" s="29" t="s">
        <v>441</v>
      </c>
      <c r="CN1" s="29" t="s">
        <v>442</v>
      </c>
      <c r="CO1" s="29" t="s">
        <v>443</v>
      </c>
      <c r="CP1" s="29" t="s">
        <v>444</v>
      </c>
      <c r="CQ1" s="29" t="s">
        <v>445</v>
      </c>
      <c r="CR1" s="29" t="s">
        <v>446</v>
      </c>
      <c r="CS1" s="29" t="s">
        <v>447</v>
      </c>
      <c r="CT1" s="29" t="s">
        <v>448</v>
      </c>
      <c r="CU1" s="29" t="s">
        <v>449</v>
      </c>
      <c r="CV1" s="29" t="s">
        <v>450</v>
      </c>
      <c r="CW1" s="29" t="s">
        <v>451</v>
      </c>
      <c r="CX1" s="29" t="s">
        <v>452</v>
      </c>
      <c r="CY1" s="29" t="s">
        <v>453</v>
      </c>
      <c r="CZ1" s="29" t="s">
        <v>454</v>
      </c>
      <c r="DA1" s="29" t="s">
        <v>455</v>
      </c>
      <c r="DB1" s="29" t="s">
        <v>456</v>
      </c>
      <c r="DC1" s="29" t="s">
        <v>325</v>
      </c>
      <c r="DD1" s="29" t="s">
        <v>457</v>
      </c>
      <c r="DE1" s="29" t="s">
        <v>458</v>
      </c>
      <c r="DF1" s="29" t="s">
        <v>459</v>
      </c>
      <c r="DG1" s="29" t="s">
        <v>460</v>
      </c>
      <c r="DH1" s="29" t="s">
        <v>329</v>
      </c>
      <c r="DI1" s="29" t="s">
        <v>461</v>
      </c>
      <c r="DJ1" s="29" t="s">
        <v>462</v>
      </c>
      <c r="DK1" s="29" t="s">
        <v>463</v>
      </c>
      <c r="DL1" s="29" t="s">
        <v>332</v>
      </c>
      <c r="DM1" s="29" t="s">
        <v>333</v>
      </c>
      <c r="DN1" s="29" t="s">
        <v>464</v>
      </c>
      <c r="DO1" s="29" t="s">
        <v>465</v>
      </c>
      <c r="DP1" s="29" t="s">
        <v>466</v>
      </c>
      <c r="DQ1" s="29" t="s">
        <v>467</v>
      </c>
      <c r="DR1" s="29" t="s">
        <v>468</v>
      </c>
      <c r="DS1" s="29" t="s">
        <v>469</v>
      </c>
      <c r="DT1" s="29" t="s">
        <v>470</v>
      </c>
      <c r="DU1" s="29" t="s">
        <v>471</v>
      </c>
      <c r="DV1" s="29" t="s">
        <v>120</v>
      </c>
    </row>
    <row r="2" customFormat="false" ht="41.75" hidden="false" customHeight="false" outlineLevel="0" collapsed="false">
      <c r="A2" s="0" t="s">
        <v>472</v>
      </c>
      <c r="B2" s="0" t="s">
        <v>337</v>
      </c>
      <c r="C2" s="0" t="s">
        <v>473</v>
      </c>
      <c r="D2" s="10" t="s">
        <v>474</v>
      </c>
      <c r="F2" s="0" t="n">
        <v>5</v>
      </c>
      <c r="G2" s="12"/>
      <c r="H2" s="11" t="n">
        <v>46363</v>
      </c>
      <c r="I2" s="10" t="s">
        <v>475</v>
      </c>
      <c r="J2" s="10" t="s">
        <v>476</v>
      </c>
      <c r="L2" s="10" t="s">
        <v>477</v>
      </c>
      <c r="M2" s="10" t="s">
        <v>478</v>
      </c>
      <c r="N2" s="10" t="s">
        <v>479</v>
      </c>
      <c r="O2" s="10" t="s">
        <v>480</v>
      </c>
      <c r="U2" s="10" t="s">
        <v>481</v>
      </c>
      <c r="V2" s="10" t="s">
        <v>482</v>
      </c>
      <c r="W2" s="10" t="s">
        <v>483</v>
      </c>
      <c r="X2" s="10" t="s">
        <v>484</v>
      </c>
      <c r="Y2" s="10" t="s">
        <v>485</v>
      </c>
      <c r="Z2" s="10" t="s">
        <v>486</v>
      </c>
      <c r="AA2" s="10" t="s">
        <v>487</v>
      </c>
      <c r="AB2" s="11" t="n">
        <v>46370</v>
      </c>
      <c r="AC2" s="11" t="n">
        <v>46370</v>
      </c>
      <c r="AD2" s="11" t="n">
        <v>46370</v>
      </c>
      <c r="AF2" s="11" t="n">
        <v>46377</v>
      </c>
      <c r="AG2" s="11" t="n">
        <v>46374</v>
      </c>
      <c r="AH2" s="0" t="n">
        <v>275</v>
      </c>
      <c r="AI2" s="10" t="s">
        <v>488</v>
      </c>
      <c r="AJ2" s="10" t="s">
        <v>489</v>
      </c>
      <c r="AK2" s="10" t="s">
        <v>490</v>
      </c>
      <c r="AL2" s="10" t="s">
        <v>491</v>
      </c>
      <c r="AM2" s="10" t="s">
        <v>492</v>
      </c>
      <c r="AN2" s="10" t="s">
        <v>493</v>
      </c>
      <c r="AO2" s="2" t="s">
        <v>494</v>
      </c>
      <c r="AP2" s="10" t="s">
        <v>495</v>
      </c>
      <c r="AT2" s="11" t="n">
        <v>46409</v>
      </c>
      <c r="AU2" s="11" t="n">
        <v>46414</v>
      </c>
      <c r="AV2" s="10" t="s">
        <v>496</v>
      </c>
      <c r="AW2" s="10" t="s">
        <v>486</v>
      </c>
      <c r="AX2" s="10" t="s">
        <v>497</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498</v>
      </c>
      <c r="B3" s="0" t="s">
        <v>337</v>
      </c>
      <c r="C3" s="0" t="s">
        <v>499</v>
      </c>
      <c r="D3" s="10" t="s">
        <v>474</v>
      </c>
      <c r="F3" s="0" t="n">
        <v>5</v>
      </c>
      <c r="G3" s="12"/>
      <c r="H3" s="11" t="n">
        <v>46364</v>
      </c>
      <c r="I3" s="10" t="s">
        <v>475</v>
      </c>
      <c r="J3" s="10" t="s">
        <v>500</v>
      </c>
      <c r="K3" s="0" t="n">
        <v>24</v>
      </c>
      <c r="L3" s="10" t="s">
        <v>501</v>
      </c>
      <c r="M3" s="10" t="s">
        <v>502</v>
      </c>
      <c r="N3" s="10" t="s">
        <v>503</v>
      </c>
      <c r="U3" s="10" t="s">
        <v>504</v>
      </c>
      <c r="V3" s="10" t="s">
        <v>505</v>
      </c>
      <c r="W3" s="10" t="s">
        <v>483</v>
      </c>
      <c r="Y3" s="10" t="s">
        <v>506</v>
      </c>
      <c r="Z3" s="10" t="s">
        <v>507</v>
      </c>
      <c r="AB3" s="11" t="n">
        <v>46371</v>
      </c>
      <c r="AC3" s="11" t="n">
        <v>46370</v>
      </c>
      <c r="AD3" s="11" t="n">
        <v>46370</v>
      </c>
      <c r="AF3" s="11" t="n">
        <v>46377</v>
      </c>
      <c r="AG3" s="11" t="n">
        <v>46374</v>
      </c>
      <c r="AH3" s="0" t="n">
        <v>275</v>
      </c>
      <c r="AI3" s="10" t="s">
        <v>508</v>
      </c>
      <c r="AJ3" s="10" t="s">
        <v>509</v>
      </c>
      <c r="AL3" s="10" t="s">
        <v>510</v>
      </c>
      <c r="AM3" s="10" t="s">
        <v>511</v>
      </c>
      <c r="AN3" s="10" t="s">
        <v>512</v>
      </c>
      <c r="AO3" s="2" t="s">
        <v>513</v>
      </c>
      <c r="AP3" s="10" t="s">
        <v>514</v>
      </c>
      <c r="AT3" s="11" t="n">
        <v>46409</v>
      </c>
      <c r="AU3" s="11" t="n">
        <v>46414</v>
      </c>
      <c r="AV3" s="10" t="s">
        <v>145</v>
      </c>
      <c r="AW3" s="10" t="s">
        <v>507</v>
      </c>
      <c r="AX3" s="10" t="s">
        <v>515</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516</v>
      </c>
      <c r="B4" s="0" t="s">
        <v>344</v>
      </c>
      <c r="C4" s="0" t="s">
        <v>517</v>
      </c>
      <c r="D4" s="10" t="s">
        <v>518</v>
      </c>
      <c r="F4" s="0" t="n">
        <v>10</v>
      </c>
      <c r="G4" s="12"/>
      <c r="H4" s="11" t="n">
        <v>46391</v>
      </c>
      <c r="I4" s="10" t="s">
        <v>475</v>
      </c>
      <c r="J4" s="10" t="s">
        <v>519</v>
      </c>
      <c r="L4" s="10" t="s">
        <v>520</v>
      </c>
      <c r="M4" s="10" t="s">
        <v>478</v>
      </c>
      <c r="N4" s="10" t="s">
        <v>521</v>
      </c>
      <c r="O4" s="10" t="s">
        <v>522</v>
      </c>
      <c r="U4" s="10" t="s">
        <v>481</v>
      </c>
      <c r="V4" s="10" t="s">
        <v>523</v>
      </c>
      <c r="W4" s="10" t="s">
        <v>483</v>
      </c>
      <c r="Y4" s="10" t="s">
        <v>485</v>
      </c>
      <c r="Z4" s="10" t="s">
        <v>507</v>
      </c>
      <c r="AB4" s="11" t="n">
        <v>46394</v>
      </c>
      <c r="AC4" s="11" t="n">
        <v>46394</v>
      </c>
      <c r="AD4" s="11" t="n">
        <v>46394</v>
      </c>
      <c r="AF4" s="11" t="n">
        <v>46416</v>
      </c>
      <c r="AG4" s="11" t="n">
        <v>46402</v>
      </c>
      <c r="AH4" s="0" t="n">
        <v>567</v>
      </c>
      <c r="AI4" s="10" t="s">
        <v>524</v>
      </c>
      <c r="AJ4" s="10" t="s">
        <v>525</v>
      </c>
      <c r="AL4" s="10" t="s">
        <v>526</v>
      </c>
      <c r="AM4" s="10" t="s">
        <v>527</v>
      </c>
      <c r="AN4" s="10" t="s">
        <v>528</v>
      </c>
      <c r="AO4" s="2" t="s">
        <v>529</v>
      </c>
      <c r="AP4" s="10" t="s">
        <v>530</v>
      </c>
      <c r="AT4" s="11" t="n">
        <v>46437</v>
      </c>
      <c r="AU4" s="11" t="n">
        <v>46442</v>
      </c>
      <c r="AV4" s="10" t="s">
        <v>496</v>
      </c>
      <c r="AW4" s="10" t="s">
        <v>486</v>
      </c>
      <c r="AX4" s="10" t="s">
        <v>531</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17</v>
      </c>
      <c r="DA4" s="31" t="n">
        <f aca="false">IF($A4="","",IFERROR(1/(1/SUMPRODUCT(MAX((redemptions!$A$2:$A$121=$A4)*redemptions!$B$2:$B$121))),""))</f>
        <v>46457</v>
      </c>
      <c r="DB4" s="30" t="n">
        <f aca="false">IF($A4="","",IF(COUNTIFS(redemptions!$A$2:$A$121,$A4,redemptions!$H$2:$H$121,"Y")=0,"",SUMIFS(redemptions!$C$2:$C$121,redemptions!$A$2:$A$121,$A4,redemptions!$B$2:$B$121,SUMPRODUCT(MIN((redemptions!$A$2:$A$121=$A4)*(redemptions!$H$2:$H$121="Y")*redemptions!$B$2:$B$121+((redemptions!$A$2:$A$121&lt;&gt;$A4)+(redemptions!$H$2:$H$121&lt;&gt;"Y")&gt;0)*1000000)))))</f>
        <v>17</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532</v>
      </c>
      <c r="B5" s="0" t="s">
        <v>344</v>
      </c>
      <c r="C5" s="0" t="s">
        <v>533</v>
      </c>
      <c r="D5" s="10" t="s">
        <v>518</v>
      </c>
      <c r="F5" s="0" t="n">
        <v>10</v>
      </c>
      <c r="G5" s="12"/>
      <c r="H5" s="11" t="n">
        <v>46393</v>
      </c>
      <c r="I5" s="10" t="s">
        <v>475</v>
      </c>
      <c r="J5" s="10" t="s">
        <v>534</v>
      </c>
      <c r="L5" s="10" t="s">
        <v>535</v>
      </c>
      <c r="M5" s="10" t="s">
        <v>502</v>
      </c>
      <c r="N5" s="10" t="s">
        <v>536</v>
      </c>
      <c r="O5" s="10" t="s">
        <v>537</v>
      </c>
      <c r="U5" s="10" t="s">
        <v>504</v>
      </c>
      <c r="V5" s="10" t="s">
        <v>538</v>
      </c>
      <c r="W5" s="10" t="s">
        <v>483</v>
      </c>
      <c r="Y5" s="10" t="s">
        <v>506</v>
      </c>
      <c r="Z5" s="10" t="s">
        <v>486</v>
      </c>
      <c r="AA5" s="10" t="s">
        <v>539</v>
      </c>
      <c r="AB5" s="11" t="n">
        <v>46398</v>
      </c>
      <c r="AC5" s="11" t="n">
        <v>46398</v>
      </c>
      <c r="AD5" s="11" t="n">
        <v>46398</v>
      </c>
      <c r="AF5" s="11" t="n">
        <v>46416</v>
      </c>
      <c r="AG5" s="11" t="n">
        <v>46402</v>
      </c>
      <c r="AH5" s="0" t="n">
        <v>501</v>
      </c>
      <c r="AI5" s="10" t="s">
        <v>540</v>
      </c>
      <c r="AJ5" s="10" t="s">
        <v>541</v>
      </c>
      <c r="AK5" s="10" t="s">
        <v>542</v>
      </c>
      <c r="AL5" s="10" t="s">
        <v>543</v>
      </c>
      <c r="AM5" s="10" t="s">
        <v>544</v>
      </c>
      <c r="AN5" s="10" t="s">
        <v>545</v>
      </c>
      <c r="AO5" s="2" t="s">
        <v>546</v>
      </c>
      <c r="AP5" s="10" t="s">
        <v>547</v>
      </c>
      <c r="AT5" s="11" t="n">
        <v>46437</v>
      </c>
      <c r="AU5" s="11" t="n">
        <v>46442</v>
      </c>
      <c r="AV5" s="10" t="s">
        <v>145</v>
      </c>
      <c r="AW5" s="10" t="s">
        <v>548</v>
      </c>
      <c r="AY5" s="11" t="n">
        <v>46435</v>
      </c>
      <c r="AZ5" s="0" t="n">
        <v>4</v>
      </c>
      <c r="BA5" s="11" t="n">
        <v>46435</v>
      </c>
      <c r="BB5" s="11" t="n">
        <v>46465</v>
      </c>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8</v>
      </c>
      <c r="DA5" s="31" t="n">
        <f aca="false">IF($A5="","",IFERROR(1/(1/SUMPRODUCT(MAX((redemptions!$A$2:$A$121=$A5)*redemptions!$B$2:$B$121))),""))</f>
        <v>46457</v>
      </c>
      <c r="DB5" s="30" t="n">
        <f aca="false">IF($A5="","",IF(COUNTIFS(redemptions!$A$2:$A$121,$A5,redemptions!$H$2:$H$121,"Y")=0,"",SUMIFS(redemptions!$C$2:$C$121,redemptions!$A$2:$A$121,$A5,redemptions!$B$2:$B$121,SUMPRODUCT(MIN((redemptions!$A$2:$A$121=$A5)*(redemptions!$H$2:$H$121="Y")*redemptions!$B$2:$B$121+((redemptions!$A$2:$A$121&lt;&gt;$A5)+(redemptions!$H$2:$H$121&lt;&gt;"Y")&gt;0)*1000000)))))</f>
        <v>8</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549</v>
      </c>
      <c r="B6" s="0" t="s">
        <v>344</v>
      </c>
      <c r="C6" s="0" t="s">
        <v>550</v>
      </c>
      <c r="D6" s="10" t="s">
        <v>518</v>
      </c>
      <c r="F6" s="0" t="n">
        <v>10</v>
      </c>
      <c r="G6" s="12"/>
      <c r="H6" s="11" t="n">
        <v>46395</v>
      </c>
      <c r="I6" s="10" t="s">
        <v>475</v>
      </c>
      <c r="J6" s="10" t="s">
        <v>551</v>
      </c>
      <c r="K6" s="0" t="n">
        <v>24</v>
      </c>
      <c r="L6" s="10" t="s">
        <v>552</v>
      </c>
      <c r="M6" s="10" t="s">
        <v>553</v>
      </c>
      <c r="N6" s="10" t="s">
        <v>554</v>
      </c>
      <c r="U6" s="10" t="s">
        <v>481</v>
      </c>
      <c r="V6" s="10" t="s">
        <v>555</v>
      </c>
      <c r="W6" s="10" t="s">
        <v>483</v>
      </c>
      <c r="Y6" s="10" t="s">
        <v>485</v>
      </c>
      <c r="Z6" s="10" t="s">
        <v>507</v>
      </c>
      <c r="AB6" s="11" t="n">
        <v>46399</v>
      </c>
      <c r="AC6" s="11" t="n">
        <v>46399</v>
      </c>
      <c r="AD6" s="11" t="n">
        <v>46399</v>
      </c>
      <c r="AF6" s="11" t="n">
        <v>46416</v>
      </c>
      <c r="AG6" s="11" t="n">
        <v>46402</v>
      </c>
      <c r="AH6" s="0" t="n">
        <v>567</v>
      </c>
      <c r="AI6" s="10" t="s">
        <v>556</v>
      </c>
      <c r="AJ6" s="10" t="s">
        <v>557</v>
      </c>
      <c r="AL6" s="10" t="s">
        <v>558</v>
      </c>
      <c r="AM6" s="10" t="s">
        <v>559</v>
      </c>
      <c r="AN6" s="10" t="s">
        <v>560</v>
      </c>
      <c r="AO6" s="2" t="s">
        <v>561</v>
      </c>
      <c r="AP6" s="10" t="s">
        <v>562</v>
      </c>
      <c r="AT6" s="11" t="n">
        <v>46437</v>
      </c>
      <c r="AU6" s="11" t="n">
        <v>46442</v>
      </c>
      <c r="AV6" s="10" t="s">
        <v>496</v>
      </c>
      <c r="AW6" s="10" t="s">
        <v>548</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21</v>
      </c>
      <c r="DA6" s="31" t="n">
        <f aca="false">IF($A6="","",IFERROR(1/(1/SUMPRODUCT(MAX((redemptions!$A$2:$A$121=$A6)*redemptions!$B$2:$B$121))),""))</f>
        <v>46457</v>
      </c>
      <c r="DB6" s="30" t="n">
        <f aca="false">IF($A6="","",IF(COUNTIFS(redemptions!$A$2:$A$121,$A6,redemptions!$H$2:$H$121,"Y")=0,"",SUMIFS(redemptions!$C$2:$C$121,redemptions!$A$2:$A$121,$A6,redemptions!$B$2:$B$121,SUMPRODUCT(MIN((redemptions!$A$2:$A$121=$A6)*(redemptions!$H$2:$H$121="Y")*redemptions!$B$2:$B$121+((redemptions!$A$2:$A$121&lt;&gt;$A6)+(redemptions!$H$2:$H$121&lt;&gt;"Y")&gt;0)*1000000)))))</f>
        <v>21</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41.75" hidden="false" customHeight="false" outlineLevel="0" collapsed="false">
      <c r="A7" s="0" t="s">
        <v>563</v>
      </c>
      <c r="B7" s="0" t="s">
        <v>349</v>
      </c>
      <c r="C7" s="0" t="s">
        <v>564</v>
      </c>
      <c r="D7" s="10" t="s">
        <v>518</v>
      </c>
      <c r="F7" s="0" t="n">
        <v>10</v>
      </c>
      <c r="G7" s="12"/>
      <c r="H7" s="11" t="n">
        <v>46412</v>
      </c>
      <c r="I7" s="10" t="s">
        <v>475</v>
      </c>
      <c r="J7" s="10" t="s">
        <v>565</v>
      </c>
      <c r="L7" s="10" t="s">
        <v>566</v>
      </c>
      <c r="M7" s="10" t="s">
        <v>553</v>
      </c>
      <c r="N7" s="10" t="s">
        <v>567</v>
      </c>
      <c r="U7" s="10" t="s">
        <v>481</v>
      </c>
      <c r="V7" s="10" t="s">
        <v>568</v>
      </c>
      <c r="W7" s="10" t="s">
        <v>483</v>
      </c>
      <c r="Y7" s="10" t="s">
        <v>485</v>
      </c>
      <c r="Z7" s="10" t="s">
        <v>507</v>
      </c>
      <c r="AB7" s="11" t="n">
        <v>46415</v>
      </c>
      <c r="AC7" s="11" t="n">
        <v>46415</v>
      </c>
      <c r="AD7" s="11" t="n">
        <v>46415</v>
      </c>
      <c r="AF7" s="11" t="n">
        <v>46434</v>
      </c>
      <c r="AG7" s="11" t="n">
        <v>46415</v>
      </c>
      <c r="AH7" s="0" t="n">
        <v>567</v>
      </c>
      <c r="AI7" s="10" t="s">
        <v>569</v>
      </c>
      <c r="AJ7" s="10" t="s">
        <v>570</v>
      </c>
      <c r="AL7" s="10" t="s">
        <v>571</v>
      </c>
      <c r="AM7" s="10" t="s">
        <v>572</v>
      </c>
      <c r="AN7" s="10" t="s">
        <v>573</v>
      </c>
      <c r="AO7" s="2" t="s">
        <v>574</v>
      </c>
      <c r="AP7" s="10" t="s">
        <v>575</v>
      </c>
      <c r="AT7" s="11" t="n">
        <v>46450</v>
      </c>
      <c r="AU7" s="11" t="n">
        <v>46455</v>
      </c>
      <c r="AV7" s="10" t="s">
        <v>496</v>
      </c>
      <c r="AW7" s="10" t="s">
        <v>548</v>
      </c>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9</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0</v>
      </c>
      <c r="CA7" s="30" t="n">
        <f aca="false">IF($A7="","",SUMIFS(inventory!$O$2:$O$801,inventory!$C$2:$C$801,$A7))</f>
        <v>0</v>
      </c>
      <c r="CB7" s="30" t="n">
        <f aca="false">IF($A7="","",SUMIFS(approvals!$U$2:$U$251,approvals!$A$2:$A$251,$A7))</f>
        <v>425</v>
      </c>
      <c r="CC7" s="30" t="n">
        <f aca="false">IF($A7="","",SUMIFS(approvals!$AA$2:$AA$251,approvals!$A$2:$A$251,$A7))</f>
        <v>425</v>
      </c>
      <c r="CD7" s="30" t="n">
        <f aca="false">IF($A7="","",SUMIFS(approvals!$AA$2:$AA$251,approvals!$A$2:$A$251,$A7,approvals!$AB$2:$AB$251,"Y"))</f>
        <v>425</v>
      </c>
      <c r="CE7" s="34" t="n">
        <f aca="false">IF($A7="","",IF(N($CB7)=0,"",$CD7/$CB7))</f>
        <v>1</v>
      </c>
      <c r="CF7" s="30" t="n">
        <f aca="false">IF($A7="","",SUMIFS(approvals!$AD$2:$AD$251,approvals!$A$2:$A$251,$A7))</f>
        <v>12</v>
      </c>
      <c r="CG7" s="30" t="n">
        <f aca="false">IF($A7="","",IF(COUNTIFS(approvals!$A$2:$A$251,$A7,approvals!$Q$2:$Q$251,"Y",approvals!$AG$2:$AG$251,"")&gt;0,"",SUMIFS(approvals!$AG$2:$AG$251,approvals!$A$2:$A$251,$A7,approvals!$Q$2:$Q$251,"Y")))</f>
        <v>408</v>
      </c>
      <c r="CH7" s="30" t="n">
        <f aca="false">IF($A7="","",SUMIFS(approvals!$AL$2:$AL$251,approvals!$A$2:$A$251,$A7,approvals!$Q$2:$Q$251,"Y"))</f>
        <v>62</v>
      </c>
      <c r="CI7" s="30" t="n">
        <f aca="false">IF($A7="","",IF(N($BP7)=0,"",SUMPRODUCT(MIN(approvals!$BB$2:$BB$251+(approvals!$A$2:$A$251&lt;&gt;$A7)*1000000))))</f>
        <v>5</v>
      </c>
      <c r="CJ7" s="30" t="n">
        <f aca="false">IF($A7="","",COUNTIFS(approvals!$A$2:$A$251,$A7,approvals!$Q$2:$Q$251,"Y",approvals!$AL$2:$AL$251,"&lt;"&amp;config!$B$30))</f>
        <v>0</v>
      </c>
      <c r="CK7" s="30" t="n">
        <f aca="false">IF($A7="","",SUMIFS(approvals!$AM$2:$AM$251,approvals!$A$2:$A$251,$A7,approvals!$Q$2:$Q$251,"Y"))</f>
        <v>49</v>
      </c>
      <c r="CL7" s="30" t="n">
        <f aca="false">IF($A7="","",SUMIFS(approvals!$AQ$2:$AQ$251,approvals!$A$2:$A$251,$A7,approvals!$Q$2:$Q$251,"Y"))</f>
        <v>5</v>
      </c>
      <c r="CM7" s="30" t="n">
        <f aca="false">IF($A7="","",SUMIFS(approvals!$AR$2:$AR$251,approvals!$A$2:$A$251,$A7,approvals!$Q$2:$Q$251,"Y"))</f>
        <v>3</v>
      </c>
      <c r="CN7" s="30" t="n">
        <f aca="false">IF($A7="","",SUMIFS(approvals!$AS$2:$AS$251,approvals!$A$2:$A$251,$A7,approvals!$Q$2:$Q$251,"Y"))</f>
        <v>5</v>
      </c>
      <c r="CO7" s="30" t="n">
        <f aca="false">IF($A7="","",SUMIFS(approvals!$AT$2:$AT$251,approvals!$A$2:$A$251,$A7,approvals!$Q$2:$Q$251,"Y"))</f>
        <v>49</v>
      </c>
      <c r="CP7" s="33" t="n">
        <f aca="false">IF($A7="","",IF(N($CO7)=0,"",ROUND(SUMIFS(approvals!$AU$2:$AU$251,approvals!$A$2:$A$251,$A7,approvals!$Q$2:$Q$251,"Y")/$CO7,1)))</f>
        <v>4.4</v>
      </c>
      <c r="CQ7" s="30" t="n">
        <f aca="false">IF($A7="","",SUMIFS(approvals!$AV$2:$AV$251,approvals!$A$2:$A$251,$A7,approvals!$Q$2:$Q$251,"Y"))</f>
        <v>12</v>
      </c>
      <c r="CR7" s="30" t="n">
        <f aca="false">IF($A7="","",SUMIFS(approvals!$AW$2:$AW$251,approvals!$A$2:$A$251,$A7,approvals!$Q$2:$Q$251,"Y"))</f>
        <v>22</v>
      </c>
      <c r="CS7" s="30" t="n">
        <f aca="false">IF($A7="","",SUMIFS(approvals!$AX$2:$AX$251,approvals!$A$2:$A$251,$A7,approvals!$Q$2:$Q$251,"Y"))</f>
        <v>15</v>
      </c>
      <c r="CT7" s="30" t="n">
        <f aca="false">IF($A7="","",SUMIFS(approvals!$AY$2:$AY$251,approvals!$A$2:$A$251,$A7,approvals!$Q$2:$Q$251,"Y"))</f>
        <v>25</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71</v>
      </c>
      <c r="CY7" s="30" t="n">
        <f aca="false">IF($A7="","",SUMIFS(approvals!$AO$2:$AO$251,approvals!$A$2:$A$251,$A7,approvals!$Q$2:$Q$251,"Y"))</f>
        <v>68</v>
      </c>
      <c r="CZ7" s="30" t="n">
        <f aca="false">IF($A7="","",IF($DA7="","",SUMIFS(redemptions!$C$2:$C$121,redemptions!$A$2:$A$121,$A7,redemptions!$B$2:$B$121,$DA7)))</f>
        <v>7</v>
      </c>
      <c r="DA7" s="31" t="n">
        <f aca="false">IF($A7="","",IFERROR(1/(1/SUMPRODUCT(MAX((redemptions!$A$2:$A$121=$A7)*redemptions!$B$2:$B$121))),""))</f>
        <v>46449</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n">
        <f aca="false">IF($A7="","",SUMIFS(invoices!$E$2:$E$151,invoices!$B$2:$B$151,$A7))</f>
        <v>1350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n">
        <f aca="false">IF($A7="","",IFERROR(1/(1/SUMPRODUCT(MAX((invoices!$B$2:$B$151=$A7)*((invoices!$C$2:$C$151="founding_full")+(invoices!$C$2:$C$151="standard_balance"))*invoices!$H$2:$H$151))),""))</f>
        <v>46444</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300</v>
      </c>
      <c r="DJ7" s="33" t="n">
        <f aca="false">IF($A7="","",SUMIFS(hours!$E$2:$E$1501,hours!$C$2:$C$1501,$A7))</f>
        <v>8</v>
      </c>
      <c r="DK7" s="33" t="n">
        <f aca="false">IF($A7="","",ROUND(IF(SUMIFS(campaigns!$BO$2:$BO$51,campaigns!$B$2:$B$51,$B7)=0,0,$BO7/SUMIFS(campaigns!$BO$2:$BO$51,campaigns!$B$2:$B$51,$B7))*(SUMIFS(hours!$E$2:$E$1501,hours!$B$2:$B$1501,$B7)-SUMPRODUCT((hours!$B$2:$B$1501=$B7)*(LEN(hours!$C$2:$C$1501)&gt;0)*hours!$E$2:$E$1501)),2))</f>
        <v>12.5</v>
      </c>
      <c r="DL7" s="32" t="n">
        <f aca="false">IF($A7="","",$DC7-$DG7-$DH7-$DI7)</f>
        <v>970</v>
      </c>
      <c r="DM7" s="32" t="n">
        <f aca="false">IF($A7="","",IF(N($DJ7)+N($DK7)=0,"",ROUND($DL7/($DJ7+$DK7),2)))</f>
        <v>47.32</v>
      </c>
      <c r="DN7" s="34" t="n">
        <f aca="false">IF($A7="","",IF(N($BP7)=0,"",COUNTIFS(approvals!$A$2:$A$251,$A7,approvals!$Q$2:$Q$251,"Y",approvals!$AK$2:$AK$251,"Y")/$BP7))</f>
        <v>1</v>
      </c>
      <c r="DO7" s="33" t="n">
        <f aca="false">IF($A7="","",IF(COUNTIFS(approvals!$A$2:$A$251,$A7,approvals!$AC$2:$AC$251,"&gt;=0")=0,"",ROUND(SUMIFS(approvals!$AC$2:$AC$251,approvals!$A$2:$A$251,$A7)/COUNTIFS(approvals!$A$2:$A$251,$A7,approvals!$AC$2:$AC$251,"&gt;=0"),1)))</f>
        <v>3.4</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pass</v>
      </c>
      <c r="DT7" s="30" t="str">
        <f aca="false">IF($A7="","",IF($CI7="","",IF($CI7&gt;=config!$B$30,"pass","miss")))</f>
        <v>pass</v>
      </c>
      <c r="DU7" s="30" t="str">
        <f aca="true">IF($A7="","",IF($AT7="",IF($DP7="","",IF(IF(config!$B$37&lt;&gt;"",config!$B$37,TODAY())&gt;$DP7,"late","due")),IF($AT7&lt;=$DP7,"pass","late")))</f>
        <v>pass</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A8" s="0" t="s">
        <v>576</v>
      </c>
      <c r="B8" s="0" t="s">
        <v>353</v>
      </c>
      <c r="C8" s="0" t="s">
        <v>473</v>
      </c>
      <c r="D8" s="10" t="s">
        <v>474</v>
      </c>
      <c r="E8" s="0" t="s">
        <v>486</v>
      </c>
      <c r="F8" s="0" t="n">
        <v>10</v>
      </c>
      <c r="G8" s="12"/>
      <c r="H8" s="11" t="n">
        <v>46442</v>
      </c>
      <c r="I8" s="10" t="s">
        <v>475</v>
      </c>
      <c r="J8" s="10" t="s">
        <v>476</v>
      </c>
      <c r="L8" s="10" t="s">
        <v>477</v>
      </c>
      <c r="M8" s="10" t="s">
        <v>478</v>
      </c>
      <c r="N8" s="10" t="s">
        <v>479</v>
      </c>
      <c r="O8" s="10" t="s">
        <v>480</v>
      </c>
      <c r="U8" s="10" t="s">
        <v>481</v>
      </c>
      <c r="V8" s="10" t="s">
        <v>482</v>
      </c>
      <c r="W8" s="10" t="s">
        <v>483</v>
      </c>
      <c r="X8" s="10" t="s">
        <v>484</v>
      </c>
      <c r="Y8" s="10" t="s">
        <v>485</v>
      </c>
      <c r="Z8" s="10" t="s">
        <v>507</v>
      </c>
      <c r="AB8" s="11" t="n">
        <v>46447</v>
      </c>
      <c r="AC8" s="11" t="n">
        <v>46447</v>
      </c>
      <c r="AD8" s="11" t="n">
        <v>46447</v>
      </c>
      <c r="AF8" s="11" t="n">
        <v>46462</v>
      </c>
      <c r="AG8" s="11" t="n">
        <v>46447</v>
      </c>
      <c r="AH8" s="0" t="n">
        <v>567</v>
      </c>
      <c r="AI8" s="10" t="s">
        <v>577</v>
      </c>
      <c r="AJ8" s="10" t="s">
        <v>578</v>
      </c>
      <c r="AT8" s="11"/>
      <c r="AU8" s="11"/>
      <c r="AV8" s="10"/>
      <c r="AW8" s="10"/>
      <c r="AY8" s="11"/>
      <c r="BA8" s="11"/>
      <c r="BB8" s="11"/>
      <c r="BC8" s="11"/>
      <c r="BE8" s="30" t="str">
        <f aca="false">IF($A8="","",IFERROR(IF(INDEX(brands!$K$2:$K$41,MATCH($C8,brands!$A$2:$A$41,0))="","",INDEX(brands!$K$2:$K$41,MATCH($C8,brands!$A$2:$A$41,0))),""))</f>
        <v>SAMPLE Brightside</v>
      </c>
      <c r="BF8" s="30" t="str">
        <f aca="false">IF($A8="","",IFERROR(IF(INDEX(brands!$M$2:$M$41,MATCH($C8,brands!$A$2:$A$41,0))="","",INDEX(brands!$M$2:$M$41,MATCH($C8,brands!$A$2:$A$41,0))),""))</f>
        <v>chips-crisps</v>
      </c>
      <c r="BG8" s="31" t="n">
        <f aca="false">IF($A8="","",IF(IFERROR(IF(INDEX(drops!$I$2:$I$21,MATCH($B8,drops!$A$2:$A$21,0))="","",INDEX(drops!$I$2:$I$21,MATCH($B8,drops!$A$2:$A$21,0))),"")="OK",IFERROR(IF(INDEX(drops!$B$2:$B$21,MATCH($B8,drops!$A$2:$A$21,0))="","",INDEX(drops!$B$2:$B$21,MATCH($B8,drops!$A$2:$A$21,0))),""),""))</f>
        <v>46469</v>
      </c>
      <c r="BH8" s="30" t="str">
        <f aca="false">IF($A8="","",IFERROR(IF(INDEX(drops!$C$2:$C$21,MATCH($B8,drops!$A$2:$A$21,0))="","",INDEX(drops!$C$2:$C$21,MATCH($B8,drops!$A$2:$A$21,0))),""))</f>
        <v>direct-ship</v>
      </c>
      <c r="BI8" s="32" t="n">
        <f aca="false">IF($A8="","",IF($F8="","",IF($D8="founding",IF($E8="Y",config!$B$25*MIN($F8,config!$B$26)+config!$B$24*MAX(0,$F8-config!$B$26),config!$B$20+config!$B$24*MAX(0,$F8-config!$B$21)),IF($D8="standard",config!$B$22+config!$B$24*MAX(0,$F8-config!$B$23),""))))</f>
        <v>1200</v>
      </c>
      <c r="BJ8" s="32" t="n">
        <f aca="false">IF($A8="","",IF($G8&lt;&gt;"",$G8,$BI8))</f>
        <v>1200</v>
      </c>
      <c r="BK8" s="30" t="str">
        <f aca="false">IF($A8="","",IF($D8="founding","100% within "&amp;config!$B$27&amp;" business days of the invoice, before shipping",IF($D8="standard","50% on signing; 50% at placement confirmation (T+1)","")))</f>
        <v>100% within 5 business days of the invoice, before shipping</v>
      </c>
      <c r="BL8" s="31" t="n">
        <f aca="false">IF($A8="","",IFERROR(IF(INDEX(drops!$K$2:$K$21,MATCH($B8,drops!$A$2:$A$21,0))="","",INDEX(drops!$K$2:$K$21,MATCH($B8,drops!$A$2:$A$21,0))),""))</f>
        <v>46455</v>
      </c>
      <c r="BM8" s="31" t="n">
        <f aca="false">IF($A8="","",IFERROR(IF(INDEX(drops!$L$2:$L$21,MATCH($B8,drops!$A$2:$A$21,0))="","",INDEX(drops!$L$2:$L$21,MATCH($B8,drops!$A$2:$A$21,0))),""))</f>
        <v>46455</v>
      </c>
      <c r="BN8" s="30" t="n">
        <f aca="false">IF($A8="","",COUNTIF(approvals!$A$2:$A$251,$A8))</f>
        <v>10</v>
      </c>
      <c r="BO8" s="30" t="n">
        <f aca="false">IF($A8="","",COUNTIFS(approvals!$A$2:$A$251,$A8,approvals!$P$2:$P$251,"Y"))</f>
        <v>10</v>
      </c>
      <c r="BP8" s="30" t="n">
        <f aca="false">IF($A8="","",COUNTIFS(approvals!$A$2:$A$251,$A8,approvals!$Q$2:$Q$251,"Y"))</f>
        <v>10</v>
      </c>
      <c r="BQ8" s="30" t="n">
        <f aca="false">IF($A8="","",COUNTIFS(approvals!$A$2:$A$251,$A8,approvals!$P$2:$P$251,"pending"))</f>
        <v>0</v>
      </c>
      <c r="BR8" s="30" t="n">
        <f aca="false">IF($A8="","",SUMIFS(approvals!$S$2:$S$251,approvals!$A$2:$A$251,$A8,approvals!$P$2:$P$251,"Y"))</f>
        <v>515</v>
      </c>
      <c r="BS8" s="30" t="n">
        <f aca="false">IF($A8="","",ROUNDUP($BR8*config!$B$18,0))</f>
        <v>52</v>
      </c>
      <c r="BT8" s="30" t="n">
        <f aca="false">IF($A8="","",$BR8+$BS8)</f>
        <v>567</v>
      </c>
      <c r="BU8" s="32" t="n">
        <f aca="false">IF($A8="","",SUMIFS(invoices!$I$2:$I$151,invoices!$B$2:$B$151,$A8,invoices!$R$2:$R$151,"Y",invoices!$H$2:$H$151,"&gt;0"))</f>
        <v>1200</v>
      </c>
      <c r="BV8" s="32" t="n">
        <f aca="false">IF($A8="","",IF($BJ8="","",IF($D8="founding",$BJ8,ROUND($BJ8*config!$B$28,2))))</f>
        <v>1200</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RELEASED 2027-03-01: ship by Tue 2027-03-09 (latest Tue 2027-03-09)</v>
      </c>
      <c r="BX8" s="30" t="n">
        <f aca="false">IF($A8="","",SUMIFS(inventory!$G$2:$G$801,inventory!$C$2:$C$801,$A8,inventory!$E$2:$E$801,"received"))</f>
        <v>127</v>
      </c>
      <c r="BY8" s="30" t="n">
        <f aca="false">IF($A8="","",SUMIFS(inventory!$G$2:$G$801,inventory!$C$2:$C$801,$A8,inventory!$E$2:$E$801,"rejected"))</f>
        <v>0</v>
      </c>
      <c r="BZ8" s="30" t="n">
        <f aca="false">IF($A8="","",SUMIFS(inventory!$M$2:$M$801,inventory!$C$2:$C$801,$A8))</f>
        <v>127</v>
      </c>
      <c r="CA8" s="30" t="n">
        <f aca="false">IF($A8="","",SUMIFS(inventory!$O$2:$O$801,inventory!$C$2:$C$801,$A8))</f>
        <v>0</v>
      </c>
      <c r="CB8" s="30" t="n">
        <f aca="false">IF($A8="","",SUMIFS(approvals!$U$2:$U$251,approvals!$A$2:$A$251,$A8))</f>
        <v>0</v>
      </c>
      <c r="CC8" s="30" t="n">
        <f aca="false">IF($A8="","",SUMIFS(approvals!$AA$2:$AA$251,approvals!$A$2:$A$251,$A8))</f>
        <v>0</v>
      </c>
      <c r="CD8" s="30" t="n">
        <f aca="false">IF($A8="","",SUMIFS(approvals!$AA$2:$AA$251,approvals!$A$2:$A$251,$A8,approvals!$AB$2:$AB$251,"Y"))</f>
        <v>0</v>
      </c>
      <c r="CE8" s="34" t="str">
        <f aca="false">IF($A8="","",IF(N($CB8)=0,"",$CD8/$CB8))</f>
        <v/>
      </c>
      <c r="CF8" s="30" t="n">
        <f aca="false">IF($A8="","",SUMIFS(approvals!$AD$2:$AD$251,approvals!$A$2:$A$251,$A8))</f>
        <v>0</v>
      </c>
      <c r="CG8" s="30" t="str">
        <f aca="false">IF($A8="","",IF(COUNTIFS(approvals!$A$2:$A$251,$A8,approvals!$Q$2:$Q$251,"Y",approvals!$AG$2:$AG$251,"")&gt;0,"",SUMIFS(approvals!$AG$2:$AG$251,approvals!$A$2:$A$251,$A8,approvals!$Q$2:$Q$251,"Y")))</f>
        <v/>
      </c>
      <c r="CH8" s="30" t="n">
        <f aca="false">IF($A8="","",SUMIFS(approvals!$AL$2:$AL$251,approvals!$A$2:$A$251,$A8,approvals!$Q$2:$Q$251,"Y"))</f>
        <v>0</v>
      </c>
      <c r="CI8" s="30" t="n">
        <f aca="false">IF($A8="","",IF(N($BP8)=0,"",SUMPRODUCT(MIN(approvals!$BB$2:$BB$251+(approvals!$A$2:$A$251&lt;&gt;$A8)*1000000))))</f>
        <v>0</v>
      </c>
      <c r="CJ8" s="30" t="n">
        <f aca="false">IF($A8="","",COUNTIFS(approvals!$A$2:$A$251,$A8,approvals!$Q$2:$Q$251,"Y",approvals!$AL$2:$AL$251,"&lt;"&amp;config!$B$30))</f>
        <v>10</v>
      </c>
      <c r="CK8" s="30" t="n">
        <f aca="false">IF($A8="","",SUMIFS(approvals!$AM$2:$AM$251,approvals!$A$2:$A$251,$A8,approvals!$Q$2:$Q$251,"Y"))</f>
        <v>0</v>
      </c>
      <c r="CL8" s="30" t="n">
        <f aca="false">IF($A8="","",SUMIFS(approvals!$AQ$2:$AQ$251,approvals!$A$2:$A$251,$A8,approvals!$Q$2:$Q$251,"Y"))</f>
        <v>0</v>
      </c>
      <c r="CM8" s="30" t="n">
        <f aca="false">IF($A8="","",SUMIFS(approvals!$AR$2:$AR$251,approvals!$A$2:$A$251,$A8,approvals!$Q$2:$Q$251,"Y"))</f>
        <v>0</v>
      </c>
      <c r="CN8" s="30" t="n">
        <f aca="false">IF($A8="","",SUMIFS(approvals!$AS$2:$AS$251,approvals!$A$2:$A$251,$A8,approvals!$Q$2:$Q$251,"Y"))</f>
        <v>0</v>
      </c>
      <c r="CO8" s="30" t="n">
        <f aca="false">IF($A8="","",SUMIFS(approvals!$AT$2:$AT$251,approvals!$A$2:$A$251,$A8,approvals!$Q$2:$Q$251,"Y"))</f>
        <v>0</v>
      </c>
      <c r="CP8" s="33" t="str">
        <f aca="false">IF($A8="","",IF(N($CO8)=0,"",ROUND(SUMIFS(approvals!$AU$2:$AU$251,approvals!$A$2:$A$251,$A8,approvals!$Q$2:$Q$251,"Y")/$CO8,1)))</f>
        <v/>
      </c>
      <c r="CQ8" s="30" t="n">
        <f aca="false">IF($A8="","",SUMIFS(approvals!$AV$2:$AV$251,approvals!$A$2:$A$251,$A8,approvals!$Q$2:$Q$251,"Y"))</f>
        <v>0</v>
      </c>
      <c r="CR8" s="30" t="n">
        <f aca="false">IF($A8="","",SUMIFS(approvals!$AW$2:$AW$251,approvals!$A$2:$A$251,$A8,approvals!$Q$2:$Q$251,"Y"))</f>
        <v>0</v>
      </c>
      <c r="CS8" s="30" t="n">
        <f aca="false">IF($A8="","",SUMIFS(approvals!$AX$2:$AX$251,approvals!$A$2:$A$251,$A8,approvals!$Q$2:$Q$251,"Y"))</f>
        <v>0</v>
      </c>
      <c r="CT8" s="30" t="n">
        <f aca="false">IF($A8="","",SUMIFS(approvals!$AY$2:$AY$251,approvals!$A$2:$A$251,$A8,approvals!$Q$2:$Q$251,"Y"))</f>
        <v>0</v>
      </c>
      <c r="CU8" s="30" t="n">
        <f aca="true">IF($A8="","",IF(OR($BG8="",$BC8&lt;&gt;""),"",IFERROR(COUNT(INDIRECT("'"&amp;$A8&amp;"'!$A$2:$A$501")),0)-IFERROR(COUNTIFS(INDIRECT("'"&amp;$A8&amp;"'!$A$2:$A$501"),"&gt;="&amp;$BG8,INDIRECT("'"&amp;$A8&amp;"'!$A$2:$A$501"),"&lt;"&amp;(IFERROR(IF(INDEX(drops!$R$2:$R$21,MATCH($B8,drops!$A$2:$A$21,0))="","",INDEX(drops!$R$2:$R$21,MATCH($B8,drops!$A$2:$A$21,0))),"")+1)),0)))</f>
        <v>0</v>
      </c>
      <c r="CV8" s="30" t="n">
        <f aca="true">IF($A8="","",IF(OR($BG8="",$BC8&lt;&gt;""),"",IFERROR(COUNTIFS(INDIRECT("'"&amp;$A8&amp;"'!$A$2:$A$501"),"&gt;="&amp;$BG8,INDIRECT("'"&amp;$A8&amp;"'!$A$2:$A$501"),"&lt;"&amp;(IFERROR(IF(INDEX(drops!$R$2:$R$21,MATCH($B8,drops!$A$2:$A$21,0))="","",INDEX(drops!$R$2:$R$21,MATCH($B8,drops!$A$2:$A$21,0))),"")+1)),0)-N($CH8)-N($CW8)))</f>
        <v>0</v>
      </c>
      <c r="CW8" s="30" t="n">
        <f aca="false">IF($A8="","",IF($BG8="","",SUMIFS(approvals!$AL$2:$AL$251,approvals!$A$2:$A$251,$A8,approvals!$Q$2:$Q$251,"&lt;&gt;Y")))</f>
        <v>0</v>
      </c>
      <c r="CX8" s="30" t="n">
        <f aca="false">IF($A8="","",SUMIFS(approvals!$AN$2:$AN$251,approvals!$A$2:$A$251,$A8,approvals!$Q$2:$Q$251,"Y"))</f>
        <v>0</v>
      </c>
      <c r="CY8" s="30" t="n">
        <f aca="false">IF($A8="","",SUMIFS(approvals!$AO$2:$AO$251,approvals!$A$2:$A$251,$A8,approvals!$Q$2:$Q$251,"Y"))</f>
        <v>0</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n">
        <f aca="false">IF($A8="","",SUMIFS(invoices!$E$2:$E$151,invoices!$B$2:$B$151,$A8))</f>
        <v>1200</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n">
        <f aca="false">IF($A8="","",IFERROR(1/(1/SUMPRODUCT(MAX((invoices!$B$2:$B$151=$A8)*((invoices!$C$2:$C$151="founding_full")+(invoices!$C$2:$C$151="standard_balance"))*invoices!$H$2:$H$151))),""))</f>
        <v>46447</v>
      </c>
      <c r="DG8" s="32" t="n">
        <f aca="false">IF($A8="","",SUMIFS(invoices!$L$2:$L$151,invoices!$B$2:$B$151,$A8))</f>
        <v>0</v>
      </c>
      <c r="DH8" s="32" t="n">
        <f aca="false">IF($A8="","",SUMIFS(costs!$E$2:$E$301,costs!$C$2:$C$301,$A8))</f>
        <v>80</v>
      </c>
      <c r="DI8" s="32" t="n">
        <f aca="false">IF($A8="","",ROUND(IF(SUMIFS(campaigns!$BO$2:$BO$51,campaigns!$B$2:$B$51,$B8)=0,0,$BO8/SUMIFS(campaigns!$BO$2:$BO$51,campaigns!$B$2:$B$51,$B8))*(SUMIFS(costs!$E$2:$E$301,costs!$B$2:$B$301,$B8)-SUMPRODUCT((costs!$B$2:$B$301=$B8)*(LEN(costs!$C$2:$C$301)&gt;0)*costs!$E$2:$E$301)),2))</f>
        <v>22.5</v>
      </c>
      <c r="DJ8" s="33" t="n">
        <f aca="false">IF($A8="","",SUMIFS(hours!$E$2:$E$1501,hours!$C$2:$C$1501,$A8))</f>
        <v>2</v>
      </c>
      <c r="DK8" s="33" t="n">
        <f aca="false">IF($A8="","",ROUND(IF(SUMIFS(campaigns!$BO$2:$BO$51,campaigns!$B$2:$B$51,$B8)=0,0,$BO8/SUMIFS(campaigns!$BO$2:$BO$51,campaigns!$B$2:$B$51,$B8))*(SUMIFS(hours!$E$2:$E$1501,hours!$B$2:$B$1501,$B8)-SUMPRODUCT((hours!$B$2:$B$1501=$B8)*(LEN(hours!$C$2:$C$1501)&gt;0)*hours!$E$2:$E$1501)),2))</f>
        <v>2</v>
      </c>
      <c r="DL8" s="32" t="n">
        <f aca="false">IF($A8="","",$DC8-$DG8-$DH8-$DI8)</f>
        <v>1097.5</v>
      </c>
      <c r="DM8" s="32" t="n">
        <f aca="false">IF($A8="","",IF(N($DJ8)+N($DK8)=0,"",ROUND($DL8/($DJ8+$DK8),2)))</f>
        <v>274.38</v>
      </c>
      <c r="DN8" s="34" t="n">
        <f aca="false">IF($A8="","",IF(N($BP8)=0,"",COUNTIFS(approvals!$A$2:$A$251,$A8,approvals!$Q$2:$Q$251,"Y",approvals!$AK$2:$AK$251,"Y")/$BP8))</f>
        <v>0</v>
      </c>
      <c r="DO8" s="33" t="str">
        <f aca="false">IF($A8="","",IF(COUNTIFS(approvals!$A$2:$A$251,$A8,approvals!$AC$2:$AC$251,"&gt;=0")=0,"",ROUND(SUMIFS(approvals!$AC$2:$AC$251,approvals!$A$2:$A$251,$A8)/COUNTIFS(approvals!$A$2:$A$251,$A8,approvals!$AC$2:$AC$251,"&gt;=0"),1)))</f>
        <v/>
      </c>
      <c r="DP8" s="31" t="n">
        <f aca="false">IF($A8="","",IFERROR(IF(INDEX(drops!$T$2:$T$21,MATCH($B8,drops!$A$2:$A$21,0))="","",INDEX(drops!$T$2:$T$21,MATCH($B8,drops!$A$2:$A$21,0))),""))</f>
        <v>46478</v>
      </c>
      <c r="DQ8" s="31" t="n">
        <f aca="false">IF($A8="","",IFERROR(IF(INDEX(drops!$U$2:$U$21,MATCH($B8,drops!$A$2:$A$21,0))="","",INDEX(drops!$U$2:$U$21,MATCH($B8,drops!$A$2:$A$21,0))),""))</f>
        <v>46483</v>
      </c>
      <c r="DR8" s="31" t="n">
        <f aca="false">IF($A8="","",IFERROR(IF(INDEX(drops!$W$2:$W$21,MATCH($B8,drops!$A$2:$A$21,0))="","",INDEX(drops!$W$2:$W$21,MATCH($B8,drops!$A$2:$A$21,0))),""))</f>
        <v>46499</v>
      </c>
      <c r="DS8" s="30" t="str">
        <f aca="false">IF($A8="","",IF($CE8="","",IF($CE8&gt;=config!$B$31,"pass","miss")))</f>
        <v/>
      </c>
      <c r="DT8" s="30" t="str">
        <f aca="false">IF($A8="","",IF($CI8="","",IF($CI8&gt;=config!$B$30,"pass","miss")))</f>
        <v>miss</v>
      </c>
      <c r="DU8" s="30" t="str">
        <f aca="true">IF($A8="","",IF($AT8="",IF($DP8="","",IF(IF(config!$B$37&lt;&gt;"",config!$B$37,TODAY())&gt;$DP8,"late","due")),IF($AT8&lt;=$DP8,"pass","late")))</f>
        <v>due</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info: brand insurance ends 2027-06-30: diary the renewal certificate; </v>
      </c>
    </row>
    <row r="9" customFormat="false" ht="15" hidden="false" customHeight="false" outlineLevel="0" collapsed="false">
      <c r="A9" s="0" t="s">
        <v>579</v>
      </c>
      <c r="B9" s="0" t="s">
        <v>353</v>
      </c>
      <c r="C9" s="0" t="s">
        <v>517</v>
      </c>
      <c r="D9" s="10" t="s">
        <v>518</v>
      </c>
      <c r="F9" s="0" t="n">
        <v>10</v>
      </c>
      <c r="G9" s="12"/>
      <c r="H9" s="11" t="n">
        <v>46442</v>
      </c>
      <c r="I9" s="10" t="s">
        <v>475</v>
      </c>
      <c r="J9" s="10" t="s">
        <v>519</v>
      </c>
      <c r="L9" s="10" t="s">
        <v>520</v>
      </c>
      <c r="M9" s="10" t="s">
        <v>478</v>
      </c>
      <c r="N9" s="10" t="s">
        <v>521</v>
      </c>
      <c r="O9" s="10" t="s">
        <v>522</v>
      </c>
      <c r="U9" s="10" t="s">
        <v>481</v>
      </c>
      <c r="V9" s="10" t="s">
        <v>523</v>
      </c>
      <c r="W9" s="10" t="s">
        <v>483</v>
      </c>
      <c r="Y9" s="10" t="s">
        <v>485</v>
      </c>
      <c r="Z9" s="10" t="s">
        <v>507</v>
      </c>
      <c r="AB9" s="11" t="n">
        <v>46444</v>
      </c>
      <c r="AC9" s="11" t="n">
        <v>46444</v>
      </c>
      <c r="AD9" s="11" t="n">
        <v>46444</v>
      </c>
      <c r="AF9" s="11" t="n">
        <v>46462</v>
      </c>
      <c r="AG9" s="11" t="n">
        <v>46444</v>
      </c>
      <c r="AH9" s="0" t="n">
        <v>567</v>
      </c>
      <c r="AI9" s="10" t="s">
        <v>580</v>
      </c>
      <c r="AJ9" s="10" t="s">
        <v>581</v>
      </c>
      <c r="AT9" s="11"/>
      <c r="AU9" s="11"/>
      <c r="AV9" s="10"/>
      <c r="AW9" s="10"/>
      <c r="AY9" s="11"/>
      <c r="BA9" s="11"/>
      <c r="BB9" s="11"/>
      <c r="BC9" s="11"/>
      <c r="BE9" s="30" t="str">
        <f aca="false">IF($A9="","",IFERROR(IF(INDEX(brands!$K$2:$K$41,MATCH($C9,brands!$A$2:$A$41,0))="","",INDEX(brands!$K$2:$K$41,MATCH($C9,brands!$A$2:$A$41,0))),""))</f>
        <v>SAMPLE Tallgrass</v>
      </c>
      <c r="BF9" s="30" t="str">
        <f aca="false">IF($A9="","",IFERROR(IF(INDEX(brands!$M$2:$M$41,MATCH($C9,brands!$A$2:$A$41,0))="","",INDEX(brands!$M$2:$M$41,MATCH($C9,brands!$A$2:$A$41,0))),""))</f>
        <v>bars</v>
      </c>
      <c r="BG9" s="31" t="n">
        <f aca="false">IF($A9="","",IF(IFERROR(IF(INDEX(drops!$I$2:$I$21,MATCH($B9,drops!$A$2:$A$21,0))="","",INDEX(drops!$I$2:$I$21,MATCH($B9,drops!$A$2:$A$21,0))),"")="OK",IFERROR(IF(INDEX(drops!$B$2:$B$21,MATCH($B9,drops!$A$2:$A$21,0))="","",INDEX(drops!$B$2:$B$21,MATCH($B9,drops!$A$2:$A$21,0))),""),""))</f>
        <v>46469</v>
      </c>
      <c r="BH9" s="30" t="str">
        <f aca="false">IF($A9="","",IFERROR(IF(INDEX(drops!$C$2:$C$21,MATCH($B9,drops!$A$2:$A$21,0))="","",INDEX(drops!$C$2:$C$21,MATCH($B9,drops!$A$2:$A$21,0))),""))</f>
        <v>direct-ship</v>
      </c>
      <c r="BI9" s="32" t="n">
        <f aca="false">IF($A9="","",IF($F9="","",IF($D9="founding",IF($E9="Y",config!$B$25*MIN($F9,config!$B$26)+config!$B$24*MAX(0,$F9-config!$B$26),config!$B$20+config!$B$24*MAX(0,$F9-config!$B$21)),IF($D9="standard",config!$B$22+config!$B$24*MAX(0,$F9-config!$B$23),""))))</f>
        <v>1500</v>
      </c>
      <c r="BJ9" s="32" t="n">
        <f aca="false">IF($A9="","",IF($G9&lt;&gt;"",$G9,$BI9))</f>
        <v>1500</v>
      </c>
      <c r="BK9" s="30" t="str">
        <f aca="false">IF($A9="","",IF($D9="founding","100% within "&amp;config!$B$27&amp;" business days of the invoice, before shipping",IF($D9="standard","50% on signing; 50% at placement confirmation (T+1)","")))</f>
        <v>50% on signing; 50% at placement confirmation (T+1)</v>
      </c>
      <c r="BL9" s="31" t="n">
        <f aca="false">IF($A9="","",IFERROR(IF(INDEX(drops!$K$2:$K$21,MATCH($B9,drops!$A$2:$A$21,0))="","",INDEX(drops!$K$2:$K$21,MATCH($B9,drops!$A$2:$A$21,0))),""))</f>
        <v>46455</v>
      </c>
      <c r="BM9" s="31" t="n">
        <f aca="false">IF($A9="","",IFERROR(IF(INDEX(drops!$L$2:$L$21,MATCH($B9,drops!$A$2:$A$21,0))="","",INDEX(drops!$L$2:$L$21,MATCH($B9,drops!$A$2:$A$21,0))),""))</f>
        <v>46455</v>
      </c>
      <c r="BN9" s="30" t="n">
        <f aca="false">IF($A9="","",COUNTIF(approvals!$A$2:$A$251,$A9))</f>
        <v>10</v>
      </c>
      <c r="BO9" s="30" t="n">
        <f aca="false">IF($A9="","",COUNTIFS(approvals!$A$2:$A$251,$A9,approvals!$P$2:$P$251,"Y"))</f>
        <v>10</v>
      </c>
      <c r="BP9" s="30" t="n">
        <f aca="false">IF($A9="","",COUNTIFS(approvals!$A$2:$A$251,$A9,approvals!$Q$2:$Q$251,"Y"))</f>
        <v>10</v>
      </c>
      <c r="BQ9" s="30" t="n">
        <f aca="false">IF($A9="","",COUNTIFS(approvals!$A$2:$A$251,$A9,approvals!$P$2:$P$251,"pending"))</f>
        <v>0</v>
      </c>
      <c r="BR9" s="30" t="n">
        <f aca="false">IF($A9="","",SUMIFS(approvals!$S$2:$S$251,approvals!$A$2:$A$251,$A9,approvals!$P$2:$P$251,"Y"))</f>
        <v>515</v>
      </c>
      <c r="BS9" s="30" t="n">
        <f aca="false">IF($A9="","",ROUNDUP($BR9*config!$B$18,0))</f>
        <v>52</v>
      </c>
      <c r="BT9" s="30" t="n">
        <f aca="false">IF($A9="","",$BR9+$BS9)</f>
        <v>567</v>
      </c>
      <c r="BU9" s="32" t="n">
        <f aca="false">IF($A9="","",SUMIFS(invoices!$I$2:$I$151,invoices!$B$2:$B$151,$A9,invoices!$R$2:$R$151,"Y",invoices!$H$2:$H$151,"&gt;0"))</f>
        <v>750</v>
      </c>
      <c r="BV9" s="32" t="n">
        <f aca="false">IF($A9="","",IF($BJ9="","",IF($D9="founding",$BJ9,ROUND($BJ9*config!$B$28,2))))</f>
        <v>750</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RELEASED 2027-02-26: ship by Tue 2027-03-09 (latest Tue 2027-03-09)</v>
      </c>
      <c r="BX9" s="30" t="n">
        <f aca="false">IF($A9="","",SUMIFS(inventory!$G$2:$G$801,inventory!$C$2:$C$801,$A9,inventory!$E$2:$E$801,"received"))</f>
        <v>127</v>
      </c>
      <c r="BY9" s="30" t="n">
        <f aca="false">IF($A9="","",SUMIFS(inventory!$G$2:$G$801,inventory!$C$2:$C$801,$A9,inventory!$E$2:$E$801,"rejected"))</f>
        <v>0</v>
      </c>
      <c r="BZ9" s="30" t="n">
        <f aca="false">IF($A9="","",SUMIFS(inventory!$M$2:$M$801,inventory!$C$2:$C$801,$A9))</f>
        <v>127</v>
      </c>
      <c r="CA9" s="30" t="n">
        <f aca="false">IF($A9="","",SUMIFS(inventory!$O$2:$O$801,inventory!$C$2:$C$801,$A9))</f>
        <v>0</v>
      </c>
      <c r="CB9" s="30" t="n">
        <f aca="false">IF($A9="","",SUMIFS(approvals!$U$2:$U$251,approvals!$A$2:$A$251,$A9))</f>
        <v>0</v>
      </c>
      <c r="CC9" s="30" t="n">
        <f aca="false">IF($A9="","",SUMIFS(approvals!$AA$2:$AA$251,approvals!$A$2:$A$251,$A9))</f>
        <v>0</v>
      </c>
      <c r="CD9" s="30" t="n">
        <f aca="false">IF($A9="","",SUMIFS(approvals!$AA$2:$AA$251,approvals!$A$2:$A$251,$A9,approvals!$AB$2:$AB$251,"Y"))</f>
        <v>0</v>
      </c>
      <c r="CE9" s="34" t="str">
        <f aca="false">IF($A9="","",IF(N($CB9)=0,"",$CD9/$CB9))</f>
        <v/>
      </c>
      <c r="CF9" s="30" t="n">
        <f aca="false">IF($A9="","",SUMIFS(approvals!$AD$2:$AD$251,approvals!$A$2:$A$251,$A9))</f>
        <v>0</v>
      </c>
      <c r="CG9" s="30" t="str">
        <f aca="false">IF($A9="","",IF(COUNTIFS(approvals!$A$2:$A$251,$A9,approvals!$Q$2:$Q$251,"Y",approvals!$AG$2:$AG$251,"")&gt;0,"",SUMIFS(approvals!$AG$2:$AG$251,approvals!$A$2:$A$251,$A9,approvals!$Q$2:$Q$251,"Y")))</f>
        <v/>
      </c>
      <c r="CH9" s="30" t="n">
        <f aca="false">IF($A9="","",SUMIFS(approvals!$AL$2:$AL$251,approvals!$A$2:$A$251,$A9,approvals!$Q$2:$Q$251,"Y"))</f>
        <v>0</v>
      </c>
      <c r="CI9" s="30" t="n">
        <f aca="false">IF($A9="","",IF(N($BP9)=0,"",SUMPRODUCT(MIN(approvals!$BB$2:$BB$251+(approvals!$A$2:$A$251&lt;&gt;$A9)*1000000))))</f>
        <v>0</v>
      </c>
      <c r="CJ9" s="30" t="n">
        <f aca="false">IF($A9="","",COUNTIFS(approvals!$A$2:$A$251,$A9,approvals!$Q$2:$Q$251,"Y",approvals!$AL$2:$AL$251,"&lt;"&amp;config!$B$30))</f>
        <v>10</v>
      </c>
      <c r="CK9" s="30" t="n">
        <f aca="false">IF($A9="","",SUMIFS(approvals!$AM$2:$AM$251,approvals!$A$2:$A$251,$A9,approvals!$Q$2:$Q$251,"Y"))</f>
        <v>0</v>
      </c>
      <c r="CL9" s="30" t="n">
        <f aca="false">IF($A9="","",SUMIFS(approvals!$AQ$2:$AQ$251,approvals!$A$2:$A$251,$A9,approvals!$Q$2:$Q$251,"Y"))</f>
        <v>0</v>
      </c>
      <c r="CM9" s="30" t="n">
        <f aca="false">IF($A9="","",SUMIFS(approvals!$AR$2:$AR$251,approvals!$A$2:$A$251,$A9,approvals!$Q$2:$Q$251,"Y"))</f>
        <v>0</v>
      </c>
      <c r="CN9" s="30" t="n">
        <f aca="false">IF($A9="","",SUMIFS(approvals!$AS$2:$AS$251,approvals!$A$2:$A$251,$A9,approvals!$Q$2:$Q$251,"Y"))</f>
        <v>0</v>
      </c>
      <c r="CO9" s="30" t="n">
        <f aca="false">IF($A9="","",SUMIFS(approvals!$AT$2:$AT$251,approvals!$A$2:$A$251,$A9,approvals!$Q$2:$Q$251,"Y"))</f>
        <v>0</v>
      </c>
      <c r="CP9" s="33" t="str">
        <f aca="false">IF($A9="","",IF(N($CO9)=0,"",ROUND(SUMIFS(approvals!$AU$2:$AU$251,approvals!$A$2:$A$251,$A9,approvals!$Q$2:$Q$251,"Y")/$CO9,1)))</f>
        <v/>
      </c>
      <c r="CQ9" s="30" t="n">
        <f aca="false">IF($A9="","",SUMIFS(approvals!$AV$2:$AV$251,approvals!$A$2:$A$251,$A9,approvals!$Q$2:$Q$251,"Y"))</f>
        <v>0</v>
      </c>
      <c r="CR9" s="30" t="n">
        <f aca="false">IF($A9="","",SUMIFS(approvals!$AW$2:$AW$251,approvals!$A$2:$A$251,$A9,approvals!$Q$2:$Q$251,"Y"))</f>
        <v>0</v>
      </c>
      <c r="CS9" s="30" t="n">
        <f aca="false">IF($A9="","",SUMIFS(approvals!$AX$2:$AX$251,approvals!$A$2:$A$251,$A9,approvals!$Q$2:$Q$251,"Y"))</f>
        <v>0</v>
      </c>
      <c r="CT9" s="30" t="n">
        <f aca="false">IF($A9="","",SUMIFS(approvals!$AY$2:$AY$251,approvals!$A$2:$A$251,$A9,approvals!$Q$2:$Q$251,"Y"))</f>
        <v>0</v>
      </c>
      <c r="CU9" s="30" t="n">
        <f aca="true">IF($A9="","",IF(OR($BG9="",$BC9&lt;&gt;""),"",IFERROR(COUNT(INDIRECT("'"&amp;$A9&amp;"'!$A$2:$A$501")),0)-IFERROR(COUNTIFS(INDIRECT("'"&amp;$A9&amp;"'!$A$2:$A$501"),"&gt;="&amp;$BG9,INDIRECT("'"&amp;$A9&amp;"'!$A$2:$A$501"),"&lt;"&amp;(IFERROR(IF(INDEX(drops!$R$2:$R$21,MATCH($B9,drops!$A$2:$A$21,0))="","",INDEX(drops!$R$2:$R$21,MATCH($B9,drops!$A$2:$A$21,0))),"")+1)),0)))</f>
        <v>0</v>
      </c>
      <c r="CV9" s="30" t="n">
        <f aca="true">IF($A9="","",IF(OR($BG9="",$BC9&lt;&gt;""),"",IFERROR(COUNTIFS(INDIRECT("'"&amp;$A9&amp;"'!$A$2:$A$501"),"&gt;="&amp;$BG9,INDIRECT("'"&amp;$A9&amp;"'!$A$2:$A$501"),"&lt;"&amp;(IFERROR(IF(INDEX(drops!$R$2:$R$21,MATCH($B9,drops!$A$2:$A$21,0))="","",INDEX(drops!$R$2:$R$21,MATCH($B9,drops!$A$2:$A$21,0))),"")+1)),0)-N($CH9)-N($CW9)))</f>
        <v>0</v>
      </c>
      <c r="CW9" s="30" t="n">
        <f aca="false">IF($A9="","",IF($BG9="","",SUMIFS(approvals!$AL$2:$AL$251,approvals!$A$2:$A$251,$A9,approvals!$Q$2:$Q$251,"&lt;&gt;Y")))</f>
        <v>0</v>
      </c>
      <c r="CX9" s="30" t="n">
        <f aca="false">IF($A9="","",SUMIFS(approvals!$AN$2:$AN$251,approvals!$A$2:$A$251,$A9,approvals!$Q$2:$Q$251,"Y"))</f>
        <v>0</v>
      </c>
      <c r="CY9" s="30" t="n">
        <f aca="false">IF($A9="","",SUMIFS(approvals!$AO$2:$AO$251,approvals!$A$2:$A$251,$A9,approvals!$Q$2:$Q$251,"Y"))</f>
        <v>0</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n">
        <f aca="false">IF($A9="","",SUMIFS(invoices!$E$2:$E$151,invoices!$B$2:$B$151,$A9))</f>
        <v>750</v>
      </c>
      <c r="DD9" s="32" t="n">
        <f aca="false">IF($A9="","",IF(COUNTIFS(invoices!$B$2:$B$151,$A9,invoices!$C$2:$C$151,"standard_deposit",invoices!$H$2:$H$151,"&gt;0")=0,"",SUMIFS(invoices!$I$2:$I$151,invoices!$B$2:$B$151,$A9,invoices!$C$2:$C$151,"standard_deposit")))</f>
        <v>750</v>
      </c>
      <c r="DE9" s="31" t="n">
        <f aca="false">IF($A9="","",IFERROR(1/(1/SUMPRODUCT(MAX((invoices!$B$2:$B$151=$A9)*(invoices!$C$2:$C$151="standard_deposit")*invoices!$H$2:$H$151))),""))</f>
        <v>46444</v>
      </c>
      <c r="DF9" s="31" t="str">
        <f aca="false">IF($A9="","",IFERROR(1/(1/SUMPRODUCT(MAX((invoices!$B$2:$B$151=$A9)*((invoices!$C$2:$C$151="founding_full")+(invoices!$C$2:$C$151="standard_balance"))*invoices!$H$2:$H$151))),""))</f>
        <v/>
      </c>
      <c r="DG9" s="32" t="n">
        <f aca="false">IF($A9="","",SUMIFS(invoices!$L$2:$L$151,invoices!$B$2:$B$151,$A9))</f>
        <v>0</v>
      </c>
      <c r="DH9" s="32" t="n">
        <f aca="false">IF($A9="","",SUMIFS(costs!$E$2:$E$301,costs!$C$2:$C$301,$A9))</f>
        <v>80</v>
      </c>
      <c r="DI9" s="32" t="n">
        <f aca="false">IF($A9="","",ROUND(IF(SUMIFS(campaigns!$BO$2:$BO$51,campaigns!$B$2:$B$51,$B9)=0,0,$BO9/SUMIFS(campaigns!$BO$2:$BO$51,campaigns!$B$2:$B$51,$B9))*(SUMIFS(costs!$E$2:$E$301,costs!$B$2:$B$301,$B9)-SUMPRODUCT((costs!$B$2:$B$301=$B9)*(LEN(costs!$C$2:$C$301)&gt;0)*costs!$E$2:$E$301)),2))</f>
        <v>22.5</v>
      </c>
      <c r="DJ9" s="33" t="n">
        <f aca="false">IF($A9="","",SUMIFS(hours!$E$2:$E$1501,hours!$C$2:$C$1501,$A9))</f>
        <v>2</v>
      </c>
      <c r="DK9" s="33" t="n">
        <f aca="false">IF($A9="","",ROUND(IF(SUMIFS(campaigns!$BO$2:$BO$51,campaigns!$B$2:$B$51,$B9)=0,0,$BO9/SUMIFS(campaigns!$BO$2:$BO$51,campaigns!$B$2:$B$51,$B9))*(SUMIFS(hours!$E$2:$E$1501,hours!$B$2:$B$1501,$B9)-SUMPRODUCT((hours!$B$2:$B$1501=$B9)*(LEN(hours!$C$2:$C$1501)&gt;0)*hours!$E$2:$E$1501)),2))</f>
        <v>2</v>
      </c>
      <c r="DL9" s="32" t="n">
        <f aca="false">IF($A9="","",$DC9-$DG9-$DH9-$DI9)</f>
        <v>647.5</v>
      </c>
      <c r="DM9" s="32" t="n">
        <f aca="false">IF($A9="","",IF(N($DJ9)+N($DK9)=0,"",ROUND($DL9/($DJ9+$DK9),2)))</f>
        <v>161.88</v>
      </c>
      <c r="DN9" s="34" t="n">
        <f aca="false">IF($A9="","",IF(N($BP9)=0,"",COUNTIFS(approvals!$A$2:$A$251,$A9,approvals!$Q$2:$Q$251,"Y",approvals!$AK$2:$AK$251,"Y")/$BP9))</f>
        <v>0</v>
      </c>
      <c r="DO9" s="33" t="str">
        <f aca="false">IF($A9="","",IF(COUNTIFS(approvals!$A$2:$A$251,$A9,approvals!$AC$2:$AC$251,"&gt;=0")=0,"",ROUND(SUMIFS(approvals!$AC$2:$AC$251,approvals!$A$2:$A$251,$A9)/COUNTIFS(approvals!$A$2:$A$251,$A9,approvals!$AC$2:$AC$251,"&gt;=0"),1)))</f>
        <v/>
      </c>
      <c r="DP9" s="31" t="n">
        <f aca="false">IF($A9="","",IFERROR(IF(INDEX(drops!$T$2:$T$21,MATCH($B9,drops!$A$2:$A$21,0))="","",INDEX(drops!$T$2:$T$21,MATCH($B9,drops!$A$2:$A$21,0))),""))</f>
        <v>46478</v>
      </c>
      <c r="DQ9" s="31" t="n">
        <f aca="false">IF($A9="","",IFERROR(IF(INDEX(drops!$U$2:$U$21,MATCH($B9,drops!$A$2:$A$21,0))="","",INDEX(drops!$U$2:$U$21,MATCH($B9,drops!$A$2:$A$21,0))),""))</f>
        <v>46483</v>
      </c>
      <c r="DR9" s="31" t="n">
        <f aca="false">IF($A9="","",IFERROR(IF(INDEX(drops!$W$2:$W$21,MATCH($B9,drops!$A$2:$A$21,0))="","",INDEX(drops!$W$2:$W$21,MATCH($B9,drops!$A$2:$A$21,0))),""))</f>
        <v>46499</v>
      </c>
      <c r="DS9" s="30" t="str">
        <f aca="false">IF($A9="","",IF($CE9="","",IF($CE9&gt;=config!$B$31,"pass","miss")))</f>
        <v/>
      </c>
      <c r="DT9" s="30" t="str">
        <f aca="false">IF($A9="","",IF($CI9="","",IF($CI9&gt;=config!$B$30,"pass","miss")))</f>
        <v>miss</v>
      </c>
      <c r="DU9" s="30" t="str">
        <f aca="true">IF($A9="","",IF($AT9="",IF($DP9="","",IF(IF(config!$B$37&lt;&gt;"",config!$B$37,TODAY())&gt;$DP9,"late","due")),IF($AT9&lt;=$DP9,"pass","late")))</f>
        <v>due</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359</v>
      </c>
      <c r="B1" s="28" t="s">
        <v>582</v>
      </c>
      <c r="C1" s="28" t="s">
        <v>583</v>
      </c>
      <c r="D1" s="28" t="s">
        <v>584</v>
      </c>
      <c r="E1" s="28" t="s">
        <v>585</v>
      </c>
      <c r="F1" s="28" t="s">
        <v>586</v>
      </c>
      <c r="G1" s="28" t="s">
        <v>587</v>
      </c>
      <c r="H1" s="28" t="s">
        <v>588</v>
      </c>
      <c r="I1" s="28" t="s">
        <v>79</v>
      </c>
      <c r="J1" s="28" t="s">
        <v>305</v>
      </c>
      <c r="K1" s="29" t="s">
        <v>411</v>
      </c>
      <c r="L1" s="29" t="s">
        <v>589</v>
      </c>
      <c r="M1" s="29" t="s">
        <v>412</v>
      </c>
      <c r="N1" s="29" t="s">
        <v>365</v>
      </c>
      <c r="O1" s="29" t="s">
        <v>590</v>
      </c>
      <c r="P1" s="29" t="s">
        <v>591</v>
      </c>
      <c r="Q1" s="29" t="s">
        <v>592</v>
      </c>
      <c r="R1" s="29" t="s">
        <v>593</v>
      </c>
      <c r="S1" s="29" t="s">
        <v>594</v>
      </c>
      <c r="T1" s="29" t="s">
        <v>595</v>
      </c>
      <c r="U1" s="29" t="s">
        <v>596</v>
      </c>
      <c r="V1" s="29" t="s">
        <v>597</v>
      </c>
      <c r="W1" s="29" t="s">
        <v>598</v>
      </c>
      <c r="X1" s="29" t="s">
        <v>599</v>
      </c>
      <c r="Y1" s="29" t="s">
        <v>600</v>
      </c>
      <c r="Z1" s="29" t="s">
        <v>601</v>
      </c>
      <c r="AA1" s="29" t="s">
        <v>602</v>
      </c>
      <c r="AB1" s="29" t="s">
        <v>603</v>
      </c>
      <c r="AC1" s="29" t="s">
        <v>604</v>
      </c>
      <c r="AD1" s="29" t="s">
        <v>605</v>
      </c>
      <c r="AE1" s="29" t="s">
        <v>606</v>
      </c>
      <c r="AF1" s="29" t="s">
        <v>607</v>
      </c>
      <c r="AG1" s="29" t="s">
        <v>608</v>
      </c>
      <c r="AH1" s="29" t="s">
        <v>323</v>
      </c>
      <c r="AI1" s="29" t="s">
        <v>609</v>
      </c>
      <c r="AJ1" s="29" t="s">
        <v>610</v>
      </c>
    </row>
    <row r="2" customFormat="false" ht="15" hidden="false" customHeight="false" outlineLevel="0" collapsed="false">
      <c r="A2" s="0" t="s">
        <v>473</v>
      </c>
      <c r="B2" s="35" t="s">
        <v>611</v>
      </c>
      <c r="C2" s="10" t="s">
        <v>612</v>
      </c>
      <c r="D2" s="10" t="s">
        <v>613</v>
      </c>
      <c r="E2" s="10" t="s">
        <v>614</v>
      </c>
      <c r="F2" s="10" t="s">
        <v>615</v>
      </c>
      <c r="G2" s="10" t="s">
        <v>486</v>
      </c>
      <c r="H2" s="11" t="n">
        <v>46568</v>
      </c>
      <c r="I2" s="10" t="s">
        <v>616</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2</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499</v>
      </c>
      <c r="B3" s="35" t="s">
        <v>617</v>
      </c>
      <c r="C3" s="10" t="s">
        <v>618</v>
      </c>
      <c r="D3" s="10" t="s">
        <v>613</v>
      </c>
      <c r="E3" s="10" t="s">
        <v>619</v>
      </c>
      <c r="F3" s="10" t="s">
        <v>615</v>
      </c>
      <c r="G3" s="10" t="s">
        <v>486</v>
      </c>
      <c r="H3" s="11" t="n">
        <v>46843</v>
      </c>
      <c r="I3" s="10" t="s">
        <v>616</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517</v>
      </c>
      <c r="B4" s="35" t="s">
        <v>620</v>
      </c>
      <c r="C4" s="10" t="s">
        <v>621</v>
      </c>
      <c r="D4" s="10" t="s">
        <v>613</v>
      </c>
      <c r="E4" s="10" t="s">
        <v>622</v>
      </c>
      <c r="F4" s="10" t="s">
        <v>615</v>
      </c>
      <c r="G4" s="10" t="s">
        <v>486</v>
      </c>
      <c r="H4" s="11" t="n">
        <v>46843</v>
      </c>
      <c r="I4" s="10" t="s">
        <v>616</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2</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533</v>
      </c>
      <c r="B5" s="35" t="s">
        <v>623</v>
      </c>
      <c r="C5" s="10" t="s">
        <v>624</v>
      </c>
      <c r="D5" s="10" t="s">
        <v>613</v>
      </c>
      <c r="E5" s="10" t="s">
        <v>625</v>
      </c>
      <c r="F5" s="10" t="s">
        <v>615</v>
      </c>
      <c r="G5" s="10" t="s">
        <v>486</v>
      </c>
      <c r="H5" s="11" t="n">
        <v>46843</v>
      </c>
      <c r="I5" s="10" t="s">
        <v>616</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550</v>
      </c>
      <c r="B6" s="35" t="s">
        <v>626</v>
      </c>
      <c r="C6" s="10" t="s">
        <v>627</v>
      </c>
      <c r="D6" s="10" t="s">
        <v>613</v>
      </c>
      <c r="E6" s="10" t="s">
        <v>628</v>
      </c>
      <c r="F6" s="10" t="s">
        <v>615</v>
      </c>
      <c r="G6" s="10" t="s">
        <v>486</v>
      </c>
      <c r="H6" s="11" t="n">
        <v>46843</v>
      </c>
      <c r="I6" s="10" t="s">
        <v>616</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564</v>
      </c>
      <c r="B7" s="35" t="s">
        <v>629</v>
      </c>
      <c r="C7" s="10" t="s">
        <v>630</v>
      </c>
      <c r="D7" s="10" t="s">
        <v>613</v>
      </c>
      <c r="E7" s="10" t="s">
        <v>631</v>
      </c>
      <c r="F7" s="10" t="s">
        <v>615</v>
      </c>
      <c r="G7" s="10" t="s">
        <v>486</v>
      </c>
      <c r="H7" s="11" t="n">
        <v>46843</v>
      </c>
      <c r="I7" s="10" t="s">
        <v>616</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632</v>
      </c>
      <c r="B1" s="28" t="s">
        <v>633</v>
      </c>
      <c r="C1" s="28" t="s">
        <v>634</v>
      </c>
      <c r="D1" s="28" t="s">
        <v>635</v>
      </c>
      <c r="E1" s="28" t="s">
        <v>636</v>
      </c>
      <c r="F1" s="28" t="s">
        <v>637</v>
      </c>
      <c r="G1" s="28" t="s">
        <v>638</v>
      </c>
      <c r="H1" s="28" t="s">
        <v>639</v>
      </c>
      <c r="I1" s="28" t="s">
        <v>640</v>
      </c>
      <c r="J1" s="28" t="s">
        <v>641</v>
      </c>
      <c r="K1" s="28" t="s">
        <v>79</v>
      </c>
      <c r="L1" s="28" t="s">
        <v>642</v>
      </c>
      <c r="M1" s="28" t="s">
        <v>305</v>
      </c>
      <c r="N1" s="28" t="s">
        <v>643</v>
      </c>
      <c r="O1" s="29" t="s">
        <v>138</v>
      </c>
      <c r="P1" s="29" t="s">
        <v>644</v>
      </c>
      <c r="Q1" s="29" t="s">
        <v>645</v>
      </c>
      <c r="R1" s="29" t="s">
        <v>646</v>
      </c>
      <c r="S1" s="29" t="s">
        <v>591</v>
      </c>
      <c r="T1" s="29" t="s">
        <v>594</v>
      </c>
      <c r="U1" s="29" t="s">
        <v>593</v>
      </c>
      <c r="V1" s="29" t="s">
        <v>647</v>
      </c>
      <c r="W1" s="29" t="s">
        <v>648</v>
      </c>
      <c r="X1" s="29" t="s">
        <v>649</v>
      </c>
      <c r="Y1" s="29" t="s">
        <v>650</v>
      </c>
      <c r="Z1" s="29" t="s">
        <v>651</v>
      </c>
      <c r="AA1" s="29" t="s">
        <v>652</v>
      </c>
      <c r="AB1" s="29" t="s">
        <v>653</v>
      </c>
      <c r="AC1" s="29" t="s">
        <v>654</v>
      </c>
      <c r="AD1" s="29" t="s">
        <v>655</v>
      </c>
      <c r="AE1" s="29" t="s">
        <v>363</v>
      </c>
      <c r="AF1" s="29" t="s">
        <v>656</v>
      </c>
      <c r="AG1" s="29" t="s">
        <v>657</v>
      </c>
      <c r="AH1" s="29" t="s">
        <v>658</v>
      </c>
      <c r="AI1" s="29" t="s">
        <v>659</v>
      </c>
      <c r="AJ1" s="29" t="s">
        <v>660</v>
      </c>
      <c r="AK1" s="29" t="s">
        <v>661</v>
      </c>
      <c r="AL1" s="29" t="s">
        <v>662</v>
      </c>
      <c r="AM1" s="29" t="s">
        <v>663</v>
      </c>
      <c r="AN1" s="29" t="s">
        <v>664</v>
      </c>
      <c r="AO1" s="29" t="s">
        <v>665</v>
      </c>
      <c r="AP1" s="29" t="s">
        <v>666</v>
      </c>
      <c r="AQ1" s="29" t="s">
        <v>667</v>
      </c>
      <c r="AR1" s="29" t="s">
        <v>120</v>
      </c>
    </row>
    <row r="2" customFormat="false" ht="15" hidden="false" customHeight="false" outlineLevel="0" collapsed="false">
      <c r="A2" s="0" t="s">
        <v>668</v>
      </c>
      <c r="C2" s="36" t="n">
        <v>40.7398</v>
      </c>
      <c r="D2" s="36" t="n">
        <v>-73.9893</v>
      </c>
      <c r="G2" s="10" t="s">
        <v>507</v>
      </c>
      <c r="H2" s="10" t="s">
        <v>669</v>
      </c>
      <c r="I2" s="10" t="s">
        <v>670</v>
      </c>
      <c r="J2" s="11"/>
      <c r="K2" s="10" t="s">
        <v>616</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3</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671</v>
      </c>
      <c r="C3" s="36" t="n">
        <v>40.7411</v>
      </c>
      <c r="D3" s="36" t="n">
        <v>-73.9874</v>
      </c>
      <c r="G3" s="10" t="s">
        <v>486</v>
      </c>
      <c r="H3" s="10" t="s">
        <v>672</v>
      </c>
      <c r="I3" s="10" t="s">
        <v>670</v>
      </c>
      <c r="J3" s="11"/>
      <c r="K3" s="10" t="s">
        <v>616</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3</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673</v>
      </c>
      <c r="C4" s="36" t="n">
        <v>40.7389</v>
      </c>
      <c r="D4" s="36" t="n">
        <v>-73.9917</v>
      </c>
      <c r="G4" s="10" t="s">
        <v>507</v>
      </c>
      <c r="H4" s="10" t="s">
        <v>674</v>
      </c>
      <c r="I4" s="10" t="s">
        <v>675</v>
      </c>
      <c r="J4" s="11" t="n">
        <v>46379</v>
      </c>
      <c r="K4" s="10" t="s">
        <v>616</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3</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676</v>
      </c>
      <c r="C5" s="36" t="n">
        <v>40.7376</v>
      </c>
      <c r="D5" s="36" t="n">
        <v>-73.9879</v>
      </c>
      <c r="G5" s="10" t="s">
        <v>486</v>
      </c>
      <c r="H5" s="10" t="s">
        <v>677</v>
      </c>
      <c r="I5" s="10" t="s">
        <v>670</v>
      </c>
      <c r="J5" s="11"/>
      <c r="K5" s="10" t="s">
        <v>616</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3</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678</v>
      </c>
      <c r="C6" s="36" t="n">
        <v>40.7425</v>
      </c>
      <c r="D6" s="36" t="n">
        <v>-73.9901</v>
      </c>
      <c r="G6" s="10" t="s">
        <v>486</v>
      </c>
      <c r="H6" s="10" t="s">
        <v>679</v>
      </c>
      <c r="I6" s="10" t="s">
        <v>675</v>
      </c>
      <c r="J6" s="11" t="n">
        <v>46379</v>
      </c>
      <c r="K6" s="10" t="s">
        <v>616</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3</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680</v>
      </c>
      <c r="C7" s="36" t="n">
        <v>40.7433</v>
      </c>
      <c r="D7" s="36" t="n">
        <v>-73.9878</v>
      </c>
      <c r="G7" s="10" t="s">
        <v>507</v>
      </c>
      <c r="H7" s="10" t="s">
        <v>681</v>
      </c>
      <c r="I7" s="10" t="s">
        <v>670</v>
      </c>
      <c r="J7" s="11"/>
      <c r="K7" s="10" t="s">
        <v>616</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2</v>
      </c>
      <c r="AO7" s="30" t="n">
        <f aca="false">IF($A7="","",COUNTIFS(stops!$B$2:$B$151,$A7,stops!$AF$2:$AF$151,"Y"))</f>
        <v>1</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682</v>
      </c>
      <c r="C8" s="36" t="n">
        <v>40.7402</v>
      </c>
      <c r="D8" s="36" t="n">
        <v>-73.9851</v>
      </c>
      <c r="G8" s="10" t="s">
        <v>486</v>
      </c>
      <c r="H8" s="10" t="s">
        <v>683</v>
      </c>
      <c r="I8" s="10" t="s">
        <v>670</v>
      </c>
      <c r="J8" s="11"/>
      <c r="K8" s="10" t="s">
        <v>616</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2</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684</v>
      </c>
      <c r="C9" s="36" t="n">
        <v>40.7417</v>
      </c>
      <c r="D9" s="36" t="n">
        <v>-73.9925</v>
      </c>
      <c r="G9" s="10" t="s">
        <v>486</v>
      </c>
      <c r="H9" s="10" t="s">
        <v>685</v>
      </c>
      <c r="I9" s="10" t="s">
        <v>675</v>
      </c>
      <c r="J9" s="11" t="n">
        <v>46416</v>
      </c>
      <c r="K9" s="10" t="s">
        <v>616</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2</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686</v>
      </c>
      <c r="C10" s="36" t="n">
        <v>40.7381</v>
      </c>
      <c r="D10" s="36" t="n">
        <v>-73.9937</v>
      </c>
      <c r="G10" s="10" t="s">
        <v>507</v>
      </c>
      <c r="H10" s="10" t="s">
        <v>687</v>
      </c>
      <c r="I10" s="10" t="s">
        <v>670</v>
      </c>
      <c r="J10" s="11"/>
      <c r="K10" s="10" t="s">
        <v>616</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2</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688</v>
      </c>
      <c r="C11" s="36" t="n">
        <v>40.7369</v>
      </c>
      <c r="D11" s="36" t="n">
        <v>-73.9906</v>
      </c>
      <c r="G11" s="10" t="s">
        <v>507</v>
      </c>
      <c r="H11" s="10" t="s">
        <v>689</v>
      </c>
      <c r="I11" s="10" t="s">
        <v>670</v>
      </c>
      <c r="J11" s="11"/>
      <c r="K11" s="10" t="s">
        <v>616</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2</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358</v>
      </c>
      <c r="B1" s="28" t="s">
        <v>632</v>
      </c>
      <c r="C1" s="28" t="s">
        <v>690</v>
      </c>
      <c r="D1" s="28" t="s">
        <v>691</v>
      </c>
      <c r="E1" s="28" t="s">
        <v>692</v>
      </c>
      <c r="F1" s="28" t="s">
        <v>693</v>
      </c>
      <c r="G1" s="28" t="s">
        <v>694</v>
      </c>
      <c r="H1" s="29" t="s">
        <v>299</v>
      </c>
      <c r="I1" s="29" t="s">
        <v>300</v>
      </c>
      <c r="J1" s="29" t="s">
        <v>411</v>
      </c>
      <c r="K1" s="29" t="s">
        <v>138</v>
      </c>
      <c r="L1" s="29" t="s">
        <v>695</v>
      </c>
      <c r="M1" s="29" t="s">
        <v>696</v>
      </c>
      <c r="N1" s="29" t="s">
        <v>697</v>
      </c>
      <c r="O1" s="29" t="s">
        <v>698</v>
      </c>
      <c r="P1" s="29" t="s">
        <v>699</v>
      </c>
      <c r="Q1" s="29" t="s">
        <v>700</v>
      </c>
      <c r="R1" s="29" t="s">
        <v>701</v>
      </c>
      <c r="S1" s="29" t="s">
        <v>324</v>
      </c>
      <c r="T1" s="29" t="s">
        <v>702</v>
      </c>
      <c r="U1" s="29" t="s">
        <v>430</v>
      </c>
      <c r="V1" s="29" t="s">
        <v>703</v>
      </c>
      <c r="W1" s="29" t="s">
        <v>704</v>
      </c>
      <c r="X1" s="29" t="s">
        <v>705</v>
      </c>
      <c r="Y1" s="29" t="s">
        <v>706</v>
      </c>
      <c r="Z1" s="29" t="s">
        <v>707</v>
      </c>
      <c r="AA1" s="29" t="s">
        <v>431</v>
      </c>
      <c r="AB1" s="29" t="s">
        <v>708</v>
      </c>
      <c r="AC1" s="29" t="s">
        <v>709</v>
      </c>
      <c r="AD1" s="29" t="s">
        <v>434</v>
      </c>
      <c r="AE1" s="29" t="s">
        <v>710</v>
      </c>
      <c r="AF1" s="29" t="s">
        <v>711</v>
      </c>
      <c r="AG1" s="29" t="s">
        <v>435</v>
      </c>
      <c r="AH1" s="29" t="s">
        <v>712</v>
      </c>
      <c r="AI1" s="29" t="s">
        <v>713</v>
      </c>
      <c r="AJ1" s="29" t="s">
        <v>714</v>
      </c>
      <c r="AK1" s="29" t="s">
        <v>715</v>
      </c>
      <c r="AL1" s="29" t="s">
        <v>436</v>
      </c>
      <c r="AM1" s="29" t="s">
        <v>716</v>
      </c>
      <c r="AN1" s="29" t="s">
        <v>452</v>
      </c>
      <c r="AO1" s="29" t="s">
        <v>453</v>
      </c>
      <c r="AP1" s="29" t="s">
        <v>120</v>
      </c>
      <c r="AQ1" s="29" t="s">
        <v>440</v>
      </c>
      <c r="AR1" s="29" t="s">
        <v>441</v>
      </c>
      <c r="AS1" s="29" t="s">
        <v>442</v>
      </c>
      <c r="AT1" s="29" t="s">
        <v>717</v>
      </c>
      <c r="AU1" s="29" t="s">
        <v>718</v>
      </c>
      <c r="AV1" s="29" t="s">
        <v>719</v>
      </c>
      <c r="AW1" s="29" t="s">
        <v>720</v>
      </c>
      <c r="AX1" s="29" t="s">
        <v>721</v>
      </c>
      <c r="AY1" s="29" t="s">
        <v>147</v>
      </c>
      <c r="AZ1" s="29" t="s">
        <v>722</v>
      </c>
      <c r="BA1" s="29" t="s">
        <v>723</v>
      </c>
      <c r="BB1" s="29" t="s">
        <v>724</v>
      </c>
      <c r="BC1" s="29" t="s">
        <v>725</v>
      </c>
      <c r="BD1" s="29" t="s">
        <v>726</v>
      </c>
    </row>
    <row r="2" customFormat="false" ht="15" hidden="false" customHeight="false" outlineLevel="0" collapsed="false">
      <c r="A2" s="0" t="s">
        <v>472</v>
      </c>
      <c r="B2" s="0" t="s">
        <v>668</v>
      </c>
      <c r="C2" s="11" t="n">
        <v>46370</v>
      </c>
      <c r="D2" s="10" t="s">
        <v>496</v>
      </c>
      <c r="E2" s="11" t="n">
        <v>46372</v>
      </c>
      <c r="F2" s="10" t="s">
        <v>727</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472</v>
      </c>
      <c r="B3" s="0" t="s">
        <v>671</v>
      </c>
      <c r="C3" s="11" t="n">
        <v>46370</v>
      </c>
      <c r="D3" s="10" t="s">
        <v>496</v>
      </c>
      <c r="E3" s="11" t="n">
        <v>46372</v>
      </c>
      <c r="F3" s="10" t="s">
        <v>727</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472</v>
      </c>
      <c r="B4" s="0" t="s">
        <v>673</v>
      </c>
      <c r="C4" s="11" t="n">
        <v>46370</v>
      </c>
      <c r="D4" s="10" t="s">
        <v>496</v>
      </c>
      <c r="E4" s="11" t="n">
        <v>46372</v>
      </c>
      <c r="F4" s="10" t="s">
        <v>727</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472</v>
      </c>
      <c r="B5" s="0" t="s">
        <v>676</v>
      </c>
      <c r="C5" s="11" t="n">
        <v>46370</v>
      </c>
      <c r="D5" s="10" t="s">
        <v>496</v>
      </c>
      <c r="E5" s="11" t="n">
        <v>46374</v>
      </c>
      <c r="F5" s="10" t="s">
        <v>727</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472</v>
      </c>
      <c r="B6" s="0" t="s">
        <v>678</v>
      </c>
      <c r="C6" s="11" t="n">
        <v>46370</v>
      </c>
      <c r="D6" s="10" t="s">
        <v>496</v>
      </c>
      <c r="E6" s="11" t="n">
        <v>46372</v>
      </c>
      <c r="F6" s="10" t="s">
        <v>727</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498</v>
      </c>
      <c r="B7" s="0" t="s">
        <v>668</v>
      </c>
      <c r="C7" s="11" t="n">
        <v>46370</v>
      </c>
      <c r="D7" s="10" t="s">
        <v>496</v>
      </c>
      <c r="E7" s="11" t="n">
        <v>46372</v>
      </c>
      <c r="F7" s="10" t="s">
        <v>727</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498</v>
      </c>
      <c r="B8" s="0" t="s">
        <v>671</v>
      </c>
      <c r="C8" s="11" t="n">
        <v>46370</v>
      </c>
      <c r="D8" s="10" t="s">
        <v>496</v>
      </c>
      <c r="E8" s="11" t="n">
        <v>46372</v>
      </c>
      <c r="F8" s="10" t="s">
        <v>727</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498</v>
      </c>
      <c r="B9" s="0" t="s">
        <v>673</v>
      </c>
      <c r="C9" s="11" t="n">
        <v>46370</v>
      </c>
      <c r="D9" s="10" t="s">
        <v>496</v>
      </c>
      <c r="E9" s="11" t="n">
        <v>46372</v>
      </c>
      <c r="F9" s="10" t="s">
        <v>727</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498</v>
      </c>
      <c r="B10" s="0" t="s">
        <v>676</v>
      </c>
      <c r="C10" s="11" t="n">
        <v>46370</v>
      </c>
      <c r="D10" s="10" t="s">
        <v>496</v>
      </c>
      <c r="E10" s="11" t="n">
        <v>46374</v>
      </c>
      <c r="F10" s="10" t="s">
        <v>727</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498</v>
      </c>
      <c r="B11" s="0" t="s">
        <v>678</v>
      </c>
      <c r="C11" s="11" t="n">
        <v>46370</v>
      </c>
      <c r="D11" s="10" t="s">
        <v>496</v>
      </c>
      <c r="E11" s="11" t="n">
        <v>46372</v>
      </c>
      <c r="F11" s="10" t="s">
        <v>727</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516</v>
      </c>
      <c r="B12" s="0" t="s">
        <v>668</v>
      </c>
      <c r="C12" s="11" t="n">
        <v>46391</v>
      </c>
      <c r="D12" s="10" t="s">
        <v>496</v>
      </c>
      <c r="E12" s="11" t="n">
        <v>46392</v>
      </c>
      <c r="F12" s="10" t="s">
        <v>727</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516</v>
      </c>
      <c r="B13" s="0" t="s">
        <v>671</v>
      </c>
      <c r="C13" s="11" t="n">
        <v>46391</v>
      </c>
      <c r="D13" s="10" t="s">
        <v>496</v>
      </c>
      <c r="E13" s="11" t="n">
        <v>46393</v>
      </c>
      <c r="F13" s="10" t="s">
        <v>727</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516</v>
      </c>
      <c r="B14" s="0" t="s">
        <v>673</v>
      </c>
      <c r="C14" s="11" t="n">
        <v>46391</v>
      </c>
      <c r="D14" s="10" t="s">
        <v>496</v>
      </c>
      <c r="E14" s="11" t="n">
        <v>46394</v>
      </c>
      <c r="F14" s="10" t="s">
        <v>727</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516</v>
      </c>
      <c r="B15" s="0" t="s">
        <v>676</v>
      </c>
      <c r="C15" s="11" t="n">
        <v>46391</v>
      </c>
      <c r="D15" s="10" t="s">
        <v>496</v>
      </c>
      <c r="E15" s="11" t="n">
        <v>46392</v>
      </c>
      <c r="F15" s="10" t="s">
        <v>727</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516</v>
      </c>
      <c r="B16" s="0" t="s">
        <v>678</v>
      </c>
      <c r="C16" s="11" t="n">
        <v>46391</v>
      </c>
      <c r="D16" s="10" t="s">
        <v>496</v>
      </c>
      <c r="E16" s="11" t="n">
        <v>46393</v>
      </c>
      <c r="F16" s="10" t="s">
        <v>727</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516</v>
      </c>
      <c r="B17" s="0" t="s">
        <v>680</v>
      </c>
      <c r="C17" s="11" t="n">
        <v>46392</v>
      </c>
      <c r="D17" s="10" t="s">
        <v>496</v>
      </c>
      <c r="E17" s="11" t="n">
        <v>46395</v>
      </c>
      <c r="F17" s="10" t="s">
        <v>727</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516</v>
      </c>
      <c r="B18" s="0" t="s">
        <v>682</v>
      </c>
      <c r="C18" s="11" t="n">
        <v>46393</v>
      </c>
      <c r="D18" s="10" t="s">
        <v>496</v>
      </c>
      <c r="E18" s="11" t="n">
        <v>46394</v>
      </c>
      <c r="F18" s="10" t="s">
        <v>727</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516</v>
      </c>
      <c r="B19" s="0" t="s">
        <v>684</v>
      </c>
      <c r="C19" s="11" t="n">
        <v>46394</v>
      </c>
      <c r="D19" s="10" t="s">
        <v>496</v>
      </c>
      <c r="E19" s="11" t="n">
        <v>46396</v>
      </c>
      <c r="F19" s="10" t="s">
        <v>727</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516</v>
      </c>
      <c r="B20" s="0" t="s">
        <v>686</v>
      </c>
      <c r="C20" s="11" t="n">
        <v>46395</v>
      </c>
      <c r="D20" s="10" t="s">
        <v>496</v>
      </c>
      <c r="E20" s="11" t="n">
        <v>46398</v>
      </c>
      <c r="F20" s="10" t="s">
        <v>727</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516</v>
      </c>
      <c r="B21" s="0" t="s">
        <v>688</v>
      </c>
      <c r="C21" s="11" t="n">
        <v>46400</v>
      </c>
      <c r="D21" s="10" t="s">
        <v>496</v>
      </c>
      <c r="E21" s="11" t="n">
        <v>46401</v>
      </c>
      <c r="F21" s="10" t="s">
        <v>727</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532</v>
      </c>
      <c r="B22" s="0" t="s">
        <v>668</v>
      </c>
      <c r="C22" s="11" t="n">
        <v>46393</v>
      </c>
      <c r="D22" s="10" t="s">
        <v>496</v>
      </c>
      <c r="E22" s="11" t="n">
        <v>46394</v>
      </c>
      <c r="F22" s="10" t="s">
        <v>727</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532</v>
      </c>
      <c r="B23" s="0" t="s">
        <v>671</v>
      </c>
      <c r="C23" s="11" t="n">
        <v>46393</v>
      </c>
      <c r="D23" s="10" t="s">
        <v>496</v>
      </c>
      <c r="E23" s="11" t="n">
        <v>46395</v>
      </c>
      <c r="F23" s="10" t="s">
        <v>727</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532</v>
      </c>
      <c r="B24" s="0" t="s">
        <v>673</v>
      </c>
      <c r="C24" s="11" t="n">
        <v>46393</v>
      </c>
      <c r="D24" s="10" t="s">
        <v>496</v>
      </c>
      <c r="E24" s="11" t="n">
        <v>46396</v>
      </c>
      <c r="F24" s="10" t="s">
        <v>727</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532</v>
      </c>
      <c r="B25" s="0" t="s">
        <v>676</v>
      </c>
      <c r="C25" s="11" t="n">
        <v>46393</v>
      </c>
      <c r="D25" s="10" t="s">
        <v>496</v>
      </c>
      <c r="E25" s="11" t="n">
        <v>46394</v>
      </c>
      <c r="F25" s="10" t="s">
        <v>727</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532</v>
      </c>
      <c r="B26" s="0" t="s">
        <v>678</v>
      </c>
      <c r="C26" s="11" t="n">
        <v>46393</v>
      </c>
      <c r="D26" s="10" t="s">
        <v>496</v>
      </c>
      <c r="E26" s="11" t="n">
        <v>46395</v>
      </c>
      <c r="F26" s="10" t="s">
        <v>727</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532</v>
      </c>
      <c r="B27" s="0" t="s">
        <v>680</v>
      </c>
      <c r="C27" s="11" t="n">
        <v>46393</v>
      </c>
      <c r="D27" s="10" t="s">
        <v>496</v>
      </c>
      <c r="E27" s="11" t="n">
        <v>46396</v>
      </c>
      <c r="F27" s="10" t="s">
        <v>727</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532</v>
      </c>
      <c r="B28" s="0" t="s">
        <v>682</v>
      </c>
      <c r="C28" s="11" t="n">
        <v>46393</v>
      </c>
      <c r="D28" s="10" t="s">
        <v>146</v>
      </c>
      <c r="E28" s="11" t="n">
        <v>46395</v>
      </c>
      <c r="F28" s="10" t="s">
        <v>727</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532</v>
      </c>
      <c r="B29" s="0" t="s">
        <v>684</v>
      </c>
      <c r="C29" s="11" t="n">
        <v>46394</v>
      </c>
      <c r="D29" s="10" t="s">
        <v>496</v>
      </c>
      <c r="E29" s="11" t="n">
        <v>46396</v>
      </c>
      <c r="F29" s="10" t="s">
        <v>727</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532</v>
      </c>
      <c r="B30" s="0" t="s">
        <v>686</v>
      </c>
      <c r="C30" s="11" t="n">
        <v>46395</v>
      </c>
      <c r="D30" s="10" t="s">
        <v>496</v>
      </c>
      <c r="E30" s="11" t="n">
        <v>46398</v>
      </c>
      <c r="F30" s="10" t="s">
        <v>727</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532</v>
      </c>
      <c r="B31" s="0" t="s">
        <v>688</v>
      </c>
      <c r="C31" s="11" t="n">
        <v>46400</v>
      </c>
      <c r="D31" s="10" t="s">
        <v>496</v>
      </c>
      <c r="E31" s="11" t="n">
        <v>46401</v>
      </c>
      <c r="F31" s="10" t="s">
        <v>727</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549</v>
      </c>
      <c r="B32" s="0" t="s">
        <v>668</v>
      </c>
      <c r="C32" s="11" t="n">
        <v>46395</v>
      </c>
      <c r="D32" s="10" t="s">
        <v>496</v>
      </c>
      <c r="E32" s="11" t="n">
        <v>46396</v>
      </c>
      <c r="F32" s="10" t="s">
        <v>727</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549</v>
      </c>
      <c r="B33" s="0" t="s">
        <v>671</v>
      </c>
      <c r="C33" s="11" t="n">
        <v>46395</v>
      </c>
      <c r="D33" s="10" t="s">
        <v>496</v>
      </c>
      <c r="E33" s="11" t="n">
        <v>46397</v>
      </c>
      <c r="F33" s="10" t="s">
        <v>727</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549</v>
      </c>
      <c r="B34" s="0" t="s">
        <v>673</v>
      </c>
      <c r="C34" s="11" t="n">
        <v>46395</v>
      </c>
      <c r="D34" s="10" t="s">
        <v>496</v>
      </c>
      <c r="E34" s="11" t="n">
        <v>46398</v>
      </c>
      <c r="F34" s="10" t="s">
        <v>727</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549</v>
      </c>
      <c r="B35" s="0" t="s">
        <v>676</v>
      </c>
      <c r="C35" s="11" t="n">
        <v>46395</v>
      </c>
      <c r="D35" s="10" t="s">
        <v>496</v>
      </c>
      <c r="E35" s="11" t="n">
        <v>46396</v>
      </c>
      <c r="F35" s="10" t="s">
        <v>727</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549</v>
      </c>
      <c r="B36" s="0" t="s">
        <v>678</v>
      </c>
      <c r="C36" s="11" t="n">
        <v>46395</v>
      </c>
      <c r="D36" s="10" t="s">
        <v>496</v>
      </c>
      <c r="E36" s="11" t="n">
        <v>46397</v>
      </c>
      <c r="F36" s="10" t="s">
        <v>727</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549</v>
      </c>
      <c r="B37" s="0" t="s">
        <v>680</v>
      </c>
      <c r="C37" s="11" t="n">
        <v>46395</v>
      </c>
      <c r="D37" s="10" t="s">
        <v>496</v>
      </c>
      <c r="E37" s="11" t="n">
        <v>46398</v>
      </c>
      <c r="F37" s="10" t="s">
        <v>727</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549</v>
      </c>
      <c r="B38" s="0" t="s">
        <v>682</v>
      </c>
      <c r="C38" s="11" t="n">
        <v>46395</v>
      </c>
      <c r="D38" s="10" t="s">
        <v>496</v>
      </c>
      <c r="E38" s="11" t="n">
        <v>46396</v>
      </c>
      <c r="F38" s="10" t="s">
        <v>727</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549</v>
      </c>
      <c r="B39" s="0" t="s">
        <v>684</v>
      </c>
      <c r="C39" s="11" t="n">
        <v>46395</v>
      </c>
      <c r="D39" s="10" t="s">
        <v>496</v>
      </c>
      <c r="E39" s="11" t="n">
        <v>46397</v>
      </c>
      <c r="F39" s="10" t="s">
        <v>727</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549</v>
      </c>
      <c r="B40" s="0" t="s">
        <v>686</v>
      </c>
      <c r="C40" s="11" t="n">
        <v>46395</v>
      </c>
      <c r="D40" s="10" t="s">
        <v>496</v>
      </c>
      <c r="E40" s="11" t="n">
        <v>46398</v>
      </c>
      <c r="F40" s="10" t="s">
        <v>727</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549</v>
      </c>
      <c r="B41" s="0" t="s">
        <v>688</v>
      </c>
      <c r="C41" s="11" t="n">
        <v>46400</v>
      </c>
      <c r="D41" s="10" t="s">
        <v>496</v>
      </c>
      <c r="E41" s="11" t="n">
        <v>46401</v>
      </c>
      <c r="F41" s="10" t="s">
        <v>727</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563</v>
      </c>
      <c r="B42" s="0" t="s">
        <v>668</v>
      </c>
      <c r="C42" s="11" t="n">
        <v>46412</v>
      </c>
      <c r="D42" s="10" t="s">
        <v>496</v>
      </c>
      <c r="E42" s="11" t="n">
        <v>46414</v>
      </c>
      <c r="F42" s="10" t="s">
        <v>727</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35</v>
      </c>
      <c r="V42" s="37" t="n">
        <f aca="false">IF($A42="","",IFERROR(1/(1/SUMPRODUCT(MAX((inventory!$C$2:$C$801=$A42)*(inventory!$D$2:$D$801=$B42)*(inventory!$E$2:$E$801="delivered")*(inventory!$A$2:$A$801+inventory!$B$2:$B$801)))),""))</f>
        <v>46441.3375</v>
      </c>
      <c r="W42" s="30" t="str">
        <f aca="false">IF($A42="","",IFERROR(IF(INDEX(inventory!$J$2:$J$801,MATCH($A42&amp;"|"&amp;$B42&amp;"|delivered",inventory!$R$2:$R$801,0))="","",INDEX(inventory!$J$2:$J$801,MATCH($A42&amp;"|"&amp;$B42&amp;"|delivered",inventory!$R$2:$R$801,0))),""))</f>
        <v>courier_count</v>
      </c>
      <c r="X42" s="30" t="str">
        <f aca="false">IF($A42="","",IFERROR(IF(INDEX(photos!$H$2:$H$701,MATCH($A42&amp;"|"&amp;$B42&amp;"|placement|Y",photos!$R$2:$R$701,0))="","",INDEX(photos!$H$2:$H$701,MATCH($A42&amp;"|"&amp;$B42&amp;"|placement|Y",photos!$R$2:$R$701,0))),""))</f>
        <v>SAMPLE-CMP-006_SAMPLE-O-001_placement_2027-02-23.jpg</v>
      </c>
      <c r="Y42" s="31" t="n">
        <f aca="false">IF($A42="","",IFERROR(IF(INDEX(photos!$E$2:$E$701,MATCH($A42&amp;"|"&amp;$B42&amp;"|placement|Y",photos!$R$2:$R$701,0))="","",INDEX(photos!$E$2:$E$701,MATCH($A42&amp;"|"&amp;$B42&amp;"|placement|Y",photos!$R$2:$R$701,0))),""))</f>
        <v>46441</v>
      </c>
      <c r="Z42" s="30" t="n">
        <f aca="false">IF($A42="","",IF(COUNTIFS(counts!$C$2:$C$701,$A42,counts!$D$2:$D$701,$B42,counts!$E$2:$E$701,"placed")=0,"",SUMIFS(counts!$F$2:$F$701,counts!$C$2:$C$701,$A42,counts!$D$2:$D$701,$B42,counts!$E$2:$E$701,"placed")))</f>
        <v>35</v>
      </c>
      <c r="AA42" s="30" t="n">
        <f aca="false">IF($A42="","",IF($Y42="",0,N($Z42)))</f>
        <v>35</v>
      </c>
      <c r="AB42" s="30" t="str">
        <f aca="false">IF($A42="","",IF(OR($Y42="",$I42=""),"N",IF($Y42&lt;=WORKDAY(N($I42),1,calendar!$A$2:$A$80),"Y","N")))</f>
        <v>Y</v>
      </c>
      <c r="AC42" s="33" t="n">
        <f aca="false">IF(OR($A42="",$V42="",$Y42=""),"",ROUND(($Y42+N(IFERROR(IF(INDEX(photos!$F$2:$F$701,MATCH($A42&amp;"|"&amp;$B42&amp;"|placement|Y",photos!$R$2:$R$701,0))="","",INDEX(photos!$F$2:$F$701,MATCH($A42&amp;"|"&amp;$B42&amp;"|placement|Y",photos!$R$2:$R$701,0))),""))-$V42)*24,1))</f>
        <v>4.9</v>
      </c>
      <c r="AD42" s="30" t="n">
        <f aca="false">IF($A42="","",SUMIFS(inventory!$G$2:$G$801,inventory!$C$2:$C$801,$A42,inventory!$D$2:$D$801,$B42,inventory!$E$2:$E$801,"topped_up"))</f>
        <v>0</v>
      </c>
      <c r="AE42" s="30" t="n">
        <f aca="false">IF($A42="","",IF(COUNTIFS(counts!$C$2:$C$701,$A42,counts!$D$2:$D$701,$B42,counts!$E$2:$E$701,"remaining_day3")=0,"",SUMIFS(counts!$F$2:$F$701,counts!$C$2:$C$701,$A42,counts!$D$2:$D$701,$B42,counts!$E$2:$E$701,"remaining_day3")))</f>
        <v>7</v>
      </c>
      <c r="AF42" s="30" t="n">
        <f aca="false">IF($A42="","",IF(COUNTIFS(counts!$C$2:$C$701,$A42,counts!$D$2:$D$701,$B42,counts!$E$2:$E$701,"remaining_day5")=0,"",SUMIFS(counts!$F$2:$F$701,counts!$C$2:$C$701,$A42,counts!$D$2:$D$701,$B42,counts!$E$2:$E$701,"remaining_day5")))</f>
        <v>1</v>
      </c>
      <c r="AG42" s="30" t="n">
        <f aca="false">IF(OR($A42="",$AF42=""),"",MAX(0,$AA42+$AD42-$AF42))</f>
        <v>34</v>
      </c>
      <c r="AH42" s="30" t="str">
        <f aca="false">IF(OR($A42="",$AI42=""),"",IFERROR(IF(INDEX(photos!$H$2:$H$701,MATCH($A42&amp;"|"&amp;$B42&amp;"|later|Y|"&amp;$AI42,photos!$S$2:$S$701,0))="","",INDEX(photos!$H$2:$H$701,MATCH($A42&amp;"|"&amp;$B42&amp;"|later|Y|"&amp;$AI42,photos!$S$2:$S$701,0))),""))</f>
        <v>SAMPLE-CMP-006_SAMPLE-O-001_later_2027-03-01.jpg</v>
      </c>
      <c r="AI42" s="31" t="n">
        <f aca="false">IF($A42="","",IFERROR(1/(1/SUMPRODUCT(MAX((photos!$B$2:$B$701=$A42)*(photos!$C$2:$C$701=$B42)*(photos!$D$2:$D$701="later")*(photos!$O$2:$O$701="Y")*photos!$E$2:$E$701))),""))</f>
        <v>46447</v>
      </c>
      <c r="AJ42" s="30" t="n">
        <f aca="false">IF(OR($A42="",$AI42="",$I42=""),"",NETWORKDAYS($I42,$AI42,calendar!$A$2:$A$80))</f>
        <v>5</v>
      </c>
      <c r="AK42" s="30" t="str">
        <f aca="false">IF($A42="","",IF(AND($X42&lt;&gt;"",$AH42&lt;&gt;""),"Y","N"))</f>
        <v>Y</v>
      </c>
      <c r="AL42" s="30" t="n">
        <f aca="true">IF(OR($A42="",$I42=""),"",IF($BC42="Y",SUMIFS(survey_frozen!$C$2:$C$251,survey_frozen!$P$2:$P$251,$A42&amp;"|"&amp;$B42),IFERROR(COUNTIFS(INDIRECT("'"&amp;$A42&amp;"'!$B$2:$B$501"),$T42,INDIRECT("'"&amp;$A42&amp;"'!$A$2:$A$501"),"&gt;="&amp;$I42,INDIRECT("'"&amp;$A42&amp;"'!$A$2:$A$501"),"&lt;"&amp;($BA42+1)),0)))</f>
        <v>9</v>
      </c>
      <c r="AM42" s="30" t="n">
        <f aca="true">IF(OR($A42="",$I42=""),"",IF($BC42="Y",SUMIFS(survey_frozen!$D$2:$D$251,survey_frozen!$P$2:$P$251,$A42&amp;"|"&amp;$B42),IFERROR(COUNTIFS(INDIRECT("'"&amp;$A42&amp;"'!$B$2:$B$501"),$T42,INDIRECT("'"&amp;$A42&amp;"'!$A$2:$A$501"),"&gt;="&amp;$I42,INDIRECT("'"&amp;$A42&amp;"'!$A$2:$A$501"),"&lt;"&amp;($BA42+1),INDIRECT("'"&amp;$A42&amp;"'!$C$2:$C$501"),"Yes"),0)))</f>
        <v>8</v>
      </c>
      <c r="AN42" s="30" t="n">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10</v>
      </c>
      <c r="AO42" s="30" t="n">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3</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1</v>
      </c>
      <c r="AT42" s="30" t="n">
        <f aca="true">IF(OR($A42="",$I42=""),"",IF($BC42="Y",SUMIFS(survey_frozen!$H$2:$H$251,survey_frozen!$P$2:$P$251,$A42&amp;"|"&amp;$B42),IFERROR(COUNTIFS(INDIRECT("'"&amp;$A42&amp;"'!$B$2:$B$501"),$T42,INDIRECT("'"&amp;$A42&amp;"'!$A$2:$A$501"),"&gt;="&amp;$I42,INDIRECT("'"&amp;$A42&amp;"'!$A$2:$A$501"),"&lt;"&amp;($BA42+1),INDIRECT("'"&amp;$A42&amp;"'!$D$2:$D$501"),"&gt;=1"),0)))</f>
        <v>8</v>
      </c>
      <c r="AU42" s="30" t="n">
        <f aca="true">IF(OR($A42="",$I42=""),"",IF($BC42="Y",SUMIFS(survey_frozen!$I$2:$I$251,survey_frozen!$P$2:$P$251,$A42&amp;"|"&amp;$B42),IFERROR(SUMIFS(INDIRECT("'"&amp;$A42&amp;"'!$D$2:$D$501"),INDIRECT("'"&amp;$A42&amp;"'!$B$2:$B$501"),$T42,INDIRECT("'"&amp;$A42&amp;"'!$A$2:$A$501"),"&gt;="&amp;$I42,INDIRECT("'"&amp;$A42&amp;"'!$A$2:$A$501"),"&lt;"&amp;($BA42+1)),0)))</f>
        <v>33</v>
      </c>
      <c r="AV42" s="30" t="n">
        <f aca="true">IF(OR($A42="",$I42=""),"",IF($BC42="Y",SUMIFS(survey_frozen!$J$2:$J$251,survey_frozen!$P$2:$P$251,$A42&amp;"|"&amp;$B42),IFERROR(COUNTIFS(INDIRECT("'"&amp;$A42&amp;"'!$B$2:$B$501"),$T42,INDIRECT("'"&amp;$A42&amp;"'!$A$2:$A$501"),"&gt;="&amp;$I42,INDIRECT("'"&amp;$A42&amp;"'!$A$2:$A$501"),"&lt;"&amp;($BA42+1),INDIRECT("'"&amp;$A42&amp;"'!$E$2:$E$501"),"Yes"),0)))</f>
        <v>4</v>
      </c>
      <c r="AW42" s="30" t="n">
        <f aca="true">IF(OR($A42="",$I42=""),"",IF($BC42="Y",SUMIFS(survey_frozen!$K$2:$K$251,survey_frozen!$P$2:$P$251,$A42&amp;"|"&amp;$B42),IFERROR(COUNTIFS(INDIRECT("'"&amp;$A42&amp;"'!$B$2:$B$501"),$T42,INDIRECT("'"&amp;$A42&amp;"'!$A$2:$A$501"),"&gt;="&amp;$I42,INDIRECT("'"&amp;$A42&amp;"'!$A$2:$A$501"),"&lt;"&amp;($BA42+1),INDIRECT("'"&amp;$A42&amp;"'!$E$2:$E$501"),"Maybe"),0)))</f>
        <v>3</v>
      </c>
      <c r="AX42" s="30" t="n">
        <f aca="true">IF(OR($A42="",$I42=""),"",IF($BC42="Y",SUMIFS(survey_frozen!$L$2:$L$251,survey_frozen!$P$2:$P$251,$A42&amp;"|"&amp;$B42),IFERROR(COUNTIFS(INDIRECT("'"&amp;$A42&amp;"'!$B$2:$B$501"),$T42,INDIRECT("'"&amp;$A42&amp;"'!$A$2:$A$501"),"&gt;="&amp;$I42,INDIRECT("'"&amp;$A42&amp;"'!$A$2:$A$501"),"&lt;"&amp;($BA42+1),INDIRECT("'"&amp;$A42&amp;"'!$E$2:$E$501"),"No"),0)))</f>
        <v>1</v>
      </c>
      <c r="AY42" s="30" t="n">
        <f aca="true">IF(OR($A42="",$I42=""),"",IF($BC42="Y",SUMIFS(survey_frozen!$M$2:$M$251,survey_frozen!$P$2:$P$251,$A42&amp;"|"&amp;$B42),IFERROR(COUNTIFS(INDIRECT("'"&amp;$A42&amp;"'!$B$2:$B$501"),$T42,INDIRECT("'"&amp;$A42&amp;"'!$A$2:$A$501"),"&gt;="&amp;$I42,INDIRECT("'"&amp;$A42&amp;"'!$A$2:$A$501"),"&lt;"&amp;($BA42+1),INDIRECT("'"&amp;$A42&amp;"'!$G$2:$G$501"),"&lt;&gt;"),0)))</f>
        <v>2</v>
      </c>
      <c r="AZ42" s="30" t="str">
        <f aca="false">IF($A42="","",$A42&amp;"|"&amp;$L42)</f>
        <v>SAMPLE-CMP-006|1</v>
      </c>
      <c r="BA42" s="31" t="n">
        <f aca="false">IF($A42="","",IFERROR(IF(INDEX(drops!$R$2:$R$21,MATCH($H42,drops!$A$2:$A$21,0))="","",INDEX(drops!$R$2:$R$21,MATCH($H42,drops!$A$2:$A$21,0))),""))</f>
        <v>46447</v>
      </c>
      <c r="BB42" s="30" t="n">
        <f aca="false">IF(OR($A42="",$Q42&lt;&gt;"Y"),1000000,N($AL42))</f>
        <v>9</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563</v>
      </c>
      <c r="B43" s="0" t="s">
        <v>671</v>
      </c>
      <c r="C43" s="11" t="n">
        <v>46412</v>
      </c>
      <c r="D43" s="10" t="s">
        <v>496</v>
      </c>
      <c r="E43" s="11" t="n">
        <v>46414</v>
      </c>
      <c r="F43" s="10" t="s">
        <v>727</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35</v>
      </c>
      <c r="V43" s="37" t="n">
        <f aca="false">IF($A43="","",IFERROR(1/(1/SUMPRODUCT(MAX((inventory!$C$2:$C$801=$A43)*(inventory!$D$2:$D$801=$B43)*(inventory!$E$2:$E$801="delivered")*(inventory!$A$2:$A$801+inventory!$B$2:$B$801)))),""))</f>
        <v>46441.3895833333</v>
      </c>
      <c r="W43" s="30" t="str">
        <f aca="false">IF($A43="","",IFERROR(IF(INDEX(inventory!$J$2:$J$801,MATCH($A43&amp;"|"&amp;$B43&amp;"|delivered",inventory!$R$2:$R$801,0))="","",INDEX(inventory!$J$2:$J$801,MATCH($A43&amp;"|"&amp;$B43&amp;"|delivered",inventory!$R$2:$R$801,0))),""))</f>
        <v>courier_count</v>
      </c>
      <c r="X43" s="30" t="str">
        <f aca="false">IF($A43="","",IFERROR(IF(INDEX(photos!$H$2:$H$701,MATCH($A43&amp;"|"&amp;$B43&amp;"|placement|Y",photos!$R$2:$R$701,0))="","",INDEX(photos!$H$2:$H$701,MATCH($A43&amp;"|"&amp;$B43&amp;"|placement|Y",photos!$R$2:$R$701,0))),""))</f>
        <v>SAMPLE-CMP-006_SAMPLE-O-002_placement_2027-02-23.jpg</v>
      </c>
      <c r="Y43" s="31" t="n">
        <f aca="false">IF($A43="","",IFERROR(IF(INDEX(photos!$E$2:$E$701,MATCH($A43&amp;"|"&amp;$B43&amp;"|placement|Y",photos!$R$2:$R$701,0))="","",INDEX(photos!$E$2:$E$701,MATCH($A43&amp;"|"&amp;$B43&amp;"|placement|Y",photos!$R$2:$R$701,0))),""))</f>
        <v>46441</v>
      </c>
      <c r="Z43" s="30" t="n">
        <f aca="false">IF($A43="","",IF(COUNTIFS(counts!$C$2:$C$701,$A43,counts!$D$2:$D$701,$B43,counts!$E$2:$E$701,"placed")=0,"",SUMIFS(counts!$F$2:$F$701,counts!$C$2:$C$701,$A43,counts!$D$2:$D$701,$B43,counts!$E$2:$E$701,"placed")))</f>
        <v>35</v>
      </c>
      <c r="AA43" s="30" t="n">
        <f aca="false">IF($A43="","",IF($Y43="",0,N($Z43)))</f>
        <v>35</v>
      </c>
      <c r="AB43" s="30" t="str">
        <f aca="false">IF($A43="","",IF(OR($Y43="",$I43=""),"N",IF($Y43&lt;=WORKDAY(N($I43),1,calendar!$A$2:$A$80),"Y","N")))</f>
        <v>Y</v>
      </c>
      <c r="AC43" s="33" t="n">
        <f aca="false">IF(OR($A43="",$V43="",$Y43=""),"",ROUND(($Y43+N(IFERROR(IF(INDEX(photos!$F$2:$F$701,MATCH($A43&amp;"|"&amp;$B43&amp;"|placement|Y",photos!$R$2:$R$701,0))="","",INDEX(photos!$F$2:$F$701,MATCH($A43&amp;"|"&amp;$B43&amp;"|placement|Y",photos!$R$2:$R$701,0))),""))-$V43)*24,1))</f>
        <v>3.7</v>
      </c>
      <c r="AD43" s="30" t="n">
        <f aca="false">IF($A43="","",SUMIFS(inventory!$G$2:$G$801,inventory!$C$2:$C$801,$A43,inventory!$D$2:$D$801,$B43,inventory!$E$2:$E$801,"topped_up"))</f>
        <v>0</v>
      </c>
      <c r="AE43" s="30" t="n">
        <f aca="false">IF($A43="","",IF(COUNTIFS(counts!$C$2:$C$701,$A43,counts!$D$2:$D$701,$B43,counts!$E$2:$E$701,"remaining_day3")=0,"",SUMIFS(counts!$F$2:$F$701,counts!$C$2:$C$701,$A43,counts!$D$2:$D$701,$B43,counts!$E$2:$E$701,"remaining_day3")))</f>
        <v>9</v>
      </c>
      <c r="AF43" s="30" t="n">
        <f aca="false">IF($A43="","",IF(COUNTIFS(counts!$C$2:$C$701,$A43,counts!$D$2:$D$701,$B43,counts!$E$2:$E$701,"remaining_day5")=0,"",SUMIFS(counts!$F$2:$F$701,counts!$C$2:$C$701,$A43,counts!$D$2:$D$701,$B43,counts!$E$2:$E$701,"remaining_day5")))</f>
        <v>2</v>
      </c>
      <c r="AG43" s="30" t="n">
        <f aca="false">IF(OR($A43="",$AF43=""),"",MAX(0,$AA43+$AD43-$AF43))</f>
        <v>33</v>
      </c>
      <c r="AH43" s="30" t="str">
        <f aca="false">IF(OR($A43="",$AI43=""),"",IFERROR(IF(INDEX(photos!$H$2:$H$701,MATCH($A43&amp;"|"&amp;$B43&amp;"|later|Y|"&amp;$AI43,photos!$S$2:$S$701,0))="","",INDEX(photos!$H$2:$H$701,MATCH($A43&amp;"|"&amp;$B43&amp;"|later|Y|"&amp;$AI43,photos!$S$2:$S$701,0))),""))</f>
        <v>SAMPLE-CMP-006_SAMPLE-O-002_later_2027-03-01.jpg</v>
      </c>
      <c r="AI43" s="31" t="n">
        <f aca="false">IF($A43="","",IFERROR(1/(1/SUMPRODUCT(MAX((photos!$B$2:$B$701=$A43)*(photos!$C$2:$C$701=$B43)*(photos!$D$2:$D$701="later")*(photos!$O$2:$O$701="Y")*photos!$E$2:$E$701))),""))</f>
        <v>46447</v>
      </c>
      <c r="AJ43" s="30" t="n">
        <f aca="false">IF(OR($A43="",$AI43="",$I43=""),"",NETWORKDAYS($I43,$AI43,calendar!$A$2:$A$80))</f>
        <v>5</v>
      </c>
      <c r="AK43" s="30" t="str">
        <f aca="false">IF($A43="","",IF(AND($X43&lt;&gt;"",$AH43&lt;&gt;""),"Y","N"))</f>
        <v>Y</v>
      </c>
      <c r="AL43" s="30" t="n">
        <f aca="true">IF(OR($A43="",$I43=""),"",IF($BC43="Y",SUMIFS(survey_frozen!$C$2:$C$251,survey_frozen!$P$2:$P$251,$A43&amp;"|"&amp;$B43),IFERROR(COUNTIFS(INDIRECT("'"&amp;$A43&amp;"'!$B$2:$B$501"),$T43,INDIRECT("'"&amp;$A43&amp;"'!$A$2:$A$501"),"&gt;="&amp;$I43,INDIRECT("'"&amp;$A43&amp;"'!$A$2:$A$501"),"&lt;"&amp;($BA43+1)),0)))</f>
        <v>6</v>
      </c>
      <c r="AM43" s="30" t="n">
        <f aca="true">IF(OR($A43="",$I43=""),"",IF($BC43="Y",SUMIFS(survey_frozen!$D$2:$D$251,survey_frozen!$P$2:$P$251,$A43&amp;"|"&amp;$B43),IFERROR(COUNTIFS(INDIRECT("'"&amp;$A43&amp;"'!$B$2:$B$501"),$T43,INDIRECT("'"&amp;$A43&amp;"'!$A$2:$A$501"),"&gt;="&amp;$I43,INDIRECT("'"&amp;$A43&amp;"'!$A$2:$A$501"),"&lt;"&amp;($BA43+1),INDIRECT("'"&amp;$A43&amp;"'!$C$2:$C$501"),"Yes"),0)))</f>
        <v>5</v>
      </c>
      <c r="AN43" s="30" t="n">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12</v>
      </c>
      <c r="AO43" s="30" t="n">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5</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1</v>
      </c>
      <c r="AT43" s="30" t="n">
        <f aca="true">IF(OR($A43="",$I43=""),"",IF($BC43="Y",SUMIFS(survey_frozen!$H$2:$H$251,survey_frozen!$P$2:$P$251,$A43&amp;"|"&amp;$B43),IFERROR(COUNTIFS(INDIRECT("'"&amp;$A43&amp;"'!$B$2:$B$501"),$T43,INDIRECT("'"&amp;$A43&amp;"'!$A$2:$A$501"),"&gt;="&amp;$I43,INDIRECT("'"&amp;$A43&amp;"'!$A$2:$A$501"),"&lt;"&amp;($BA43+1),INDIRECT("'"&amp;$A43&amp;"'!$D$2:$D$501"),"&gt;=1"),0)))</f>
        <v>5</v>
      </c>
      <c r="AU43" s="30" t="n">
        <f aca="true">IF(OR($A43="",$I43=""),"",IF($BC43="Y",SUMIFS(survey_frozen!$I$2:$I$251,survey_frozen!$P$2:$P$251,$A43&amp;"|"&amp;$B43),IFERROR(SUMIFS(INDIRECT("'"&amp;$A43&amp;"'!$D$2:$D$501"),INDIRECT("'"&amp;$A43&amp;"'!$B$2:$B$501"),$T43,INDIRECT("'"&amp;$A43&amp;"'!$A$2:$A$501"),"&gt;="&amp;$I43,INDIRECT("'"&amp;$A43&amp;"'!$A$2:$A$501"),"&lt;"&amp;($BA43+1)),0)))</f>
        <v>22</v>
      </c>
      <c r="AV43" s="30" t="n">
        <f aca="true">IF(OR($A43="",$I43=""),"",IF($BC43="Y",SUMIFS(survey_frozen!$J$2:$J$251,survey_frozen!$P$2:$P$251,$A43&amp;"|"&amp;$B43),IFERROR(COUNTIFS(INDIRECT("'"&amp;$A43&amp;"'!$B$2:$B$501"),$T43,INDIRECT("'"&amp;$A43&amp;"'!$A$2:$A$501"),"&gt;="&amp;$I43,INDIRECT("'"&amp;$A43&amp;"'!$A$2:$A$501"),"&lt;"&amp;($BA43+1),INDIRECT("'"&amp;$A43&amp;"'!$E$2:$E$501"),"Yes"),0)))</f>
        <v>2</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3</v>
      </c>
      <c r="AY43" s="30" t="n">
        <f aca="true">IF(OR($A43="",$I43=""),"",IF($BC43="Y",SUMIFS(survey_frozen!$M$2:$M$251,survey_frozen!$P$2:$P$251,$A43&amp;"|"&amp;$B43),IFERROR(COUNTIFS(INDIRECT("'"&amp;$A43&amp;"'!$B$2:$B$501"),$T43,INDIRECT("'"&amp;$A43&amp;"'!$A$2:$A$501"),"&gt;="&amp;$I43,INDIRECT("'"&amp;$A43&amp;"'!$A$2:$A$501"),"&lt;"&amp;($BA43+1),INDIRECT("'"&amp;$A43&amp;"'!$G$2:$G$501"),"&lt;&gt;"),0)))</f>
        <v>4</v>
      </c>
      <c r="AZ43" s="30" t="str">
        <f aca="false">IF($A43="","",$A43&amp;"|"&amp;$L43)</f>
        <v>SAMPLE-CMP-006|2</v>
      </c>
      <c r="BA43" s="31" t="n">
        <f aca="false">IF($A43="","",IFERROR(IF(INDEX(drops!$R$2:$R$21,MATCH($H43,drops!$A$2:$A$21,0))="","",INDEX(drops!$R$2:$R$21,MATCH($H43,drops!$A$2:$A$21,0))),""))</f>
        <v>46447</v>
      </c>
      <c r="BB43" s="30" t="n">
        <f aca="false">IF(OR($A43="",$Q43&lt;&gt;"Y"),1000000,N($AL43))</f>
        <v>6</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563</v>
      </c>
      <c r="B44" s="0" t="s">
        <v>673</v>
      </c>
      <c r="C44" s="11" t="n">
        <v>46412</v>
      </c>
      <c r="D44" s="10" t="s">
        <v>496</v>
      </c>
      <c r="E44" s="11" t="n">
        <v>46414</v>
      </c>
      <c r="F44" s="10" t="s">
        <v>727</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45</v>
      </c>
      <c r="V44" s="37" t="n">
        <f aca="false">IF($A44="","",IFERROR(1/(1/SUMPRODUCT(MAX((inventory!$C$2:$C$801=$A44)*(inventory!$D$2:$D$801=$B44)*(inventory!$E$2:$E$801="delivered")*(inventory!$A$2:$A$801+inventory!$B$2:$B$801)))),""))</f>
        <v>46441.3770833333</v>
      </c>
      <c r="W44" s="30" t="str">
        <f aca="false">IF($A44="","",IFERROR(IF(INDEX(inventory!$J$2:$J$801,MATCH($A44&amp;"|"&amp;$B44&amp;"|delivered",inventory!$R$2:$R$801,0))="","",INDEX(inventory!$J$2:$J$801,MATCH($A44&amp;"|"&amp;$B44&amp;"|delivered",inventory!$R$2:$R$801,0))),""))</f>
        <v>courier_count</v>
      </c>
      <c r="X44" s="30" t="str">
        <f aca="false">IF($A44="","",IFERROR(IF(INDEX(photos!$H$2:$H$701,MATCH($A44&amp;"|"&amp;$B44&amp;"|placement|Y",photos!$R$2:$R$701,0))="","",INDEX(photos!$H$2:$H$701,MATCH($A44&amp;"|"&amp;$B44&amp;"|placement|Y",photos!$R$2:$R$701,0))),""))</f>
        <v>SAMPLE-CMP-006_SAMPLE-O-003_placement_2027-02-23.jpg</v>
      </c>
      <c r="Y44" s="31" t="n">
        <f aca="false">IF($A44="","",IFERROR(IF(INDEX(photos!$E$2:$E$701,MATCH($A44&amp;"|"&amp;$B44&amp;"|placement|Y",photos!$R$2:$R$701,0))="","",INDEX(photos!$E$2:$E$701,MATCH($A44&amp;"|"&amp;$B44&amp;"|placement|Y",photos!$R$2:$R$701,0))),""))</f>
        <v>46441</v>
      </c>
      <c r="Z44" s="30" t="n">
        <f aca="false">IF($A44="","",IF(COUNTIFS(counts!$C$2:$C$701,$A44,counts!$D$2:$D$701,$B44,counts!$E$2:$E$701,"placed")=0,"",SUMIFS(counts!$F$2:$F$701,counts!$C$2:$C$701,$A44,counts!$D$2:$D$701,$B44,counts!$E$2:$E$701,"placed")))</f>
        <v>45</v>
      </c>
      <c r="AA44" s="30" t="n">
        <f aca="false">IF($A44="","",IF($Y44="",0,N($Z44)))</f>
        <v>45</v>
      </c>
      <c r="AB44" s="30" t="str">
        <f aca="false">IF($A44="","",IF(OR($Y44="",$I44=""),"N",IF($Y44&lt;=WORKDAY(N($I44),1,calendar!$A$2:$A$80),"Y","N")))</f>
        <v>Y</v>
      </c>
      <c r="AC44" s="33" t="n">
        <f aca="false">IF(OR($A44="",$V44="",$Y44=""),"",ROUND(($Y44+N(IFERROR(IF(INDEX(photos!$F$2:$F$701,MATCH($A44&amp;"|"&amp;$B44&amp;"|placement|Y",photos!$R$2:$R$701,0))="","",INDEX(photos!$F$2:$F$701,MATCH($A44&amp;"|"&amp;$B44&amp;"|placement|Y",photos!$R$2:$R$701,0))),""))-$V44)*24,1))</f>
        <v>4</v>
      </c>
      <c r="AD44" s="30" t="n">
        <f aca="false">IF($A44="","",SUMIFS(inventory!$G$2:$G$801,inventory!$C$2:$C$801,$A44,inventory!$D$2:$D$801,$B44,inventory!$E$2:$E$801,"topped_up"))</f>
        <v>0</v>
      </c>
      <c r="AE44" s="30" t="n">
        <f aca="false">IF($A44="","",IF(COUNTIFS(counts!$C$2:$C$701,$A44,counts!$D$2:$D$701,$B44,counts!$E$2:$E$701,"remaining_day3")=0,"",SUMIFS(counts!$F$2:$F$701,counts!$C$2:$C$701,$A44,counts!$D$2:$D$701,$B44,counts!$E$2:$E$701,"remaining_day3")))</f>
        <v>12</v>
      </c>
      <c r="AF44" s="30" t="n">
        <f aca="false">IF($A44="","",IF(COUNTIFS(counts!$C$2:$C$701,$A44,counts!$D$2:$D$701,$B44,counts!$E$2:$E$701,"remaining_day5")=0,"",SUMIFS(counts!$F$2:$F$701,counts!$C$2:$C$701,$A44,counts!$D$2:$D$701,$B44,counts!$E$2:$E$701,"remaining_day5")))</f>
        <v>4</v>
      </c>
      <c r="AG44" s="30" t="n">
        <f aca="false">IF(OR($A44="",$AF44=""),"",MAX(0,$AA44+$AD44-$AF44))</f>
        <v>41</v>
      </c>
      <c r="AH44" s="30" t="str">
        <f aca="false">IF(OR($A44="",$AI44=""),"",IFERROR(IF(INDEX(photos!$H$2:$H$701,MATCH($A44&amp;"|"&amp;$B44&amp;"|later|Y|"&amp;$AI44,photos!$S$2:$S$701,0))="","",INDEX(photos!$H$2:$H$701,MATCH($A44&amp;"|"&amp;$B44&amp;"|later|Y|"&amp;$AI44,photos!$S$2:$S$701,0))),""))</f>
        <v>SAMPLE-CMP-006_SAMPLE-O-003_later_2027-03-01.jpg</v>
      </c>
      <c r="AI44" s="31" t="n">
        <f aca="false">IF($A44="","",IFERROR(1/(1/SUMPRODUCT(MAX((photos!$B$2:$B$701=$A44)*(photos!$C$2:$C$701=$B44)*(photos!$D$2:$D$701="later")*(photos!$O$2:$O$701="Y")*photos!$E$2:$E$701))),""))</f>
        <v>46447</v>
      </c>
      <c r="AJ44" s="30" t="n">
        <f aca="false">IF(OR($A44="",$AI44="",$I44=""),"",NETWORKDAYS($I44,$AI44,calendar!$A$2:$A$80))</f>
        <v>5</v>
      </c>
      <c r="AK44" s="30" t="str">
        <f aca="false">IF($A44="","",IF(AND($X44&lt;&gt;"",$AH44&lt;&gt;""),"Y","N"))</f>
        <v>Y</v>
      </c>
      <c r="AL44" s="30" t="n">
        <f aca="true">IF(OR($A44="",$I44=""),"",IF($BC44="Y",SUMIFS(survey_frozen!$C$2:$C$251,survey_frozen!$P$2:$P$251,$A44&amp;"|"&amp;$B44),IFERROR(COUNTIFS(INDIRECT("'"&amp;$A44&amp;"'!$B$2:$B$501"),$T44,INDIRECT("'"&amp;$A44&amp;"'!$A$2:$A$501"),"&gt;="&amp;$I44,INDIRECT("'"&amp;$A44&amp;"'!$A$2:$A$501"),"&lt;"&amp;($BA44+1)),0)))</f>
        <v>8</v>
      </c>
      <c r="AM44" s="30" t="n">
        <f aca="true">IF(OR($A44="",$I44=""),"",IF($BC44="Y",SUMIFS(survey_frozen!$D$2:$D$251,survey_frozen!$P$2:$P$251,$A44&amp;"|"&amp;$B44),IFERROR(COUNTIFS(INDIRECT("'"&amp;$A44&amp;"'!$B$2:$B$501"),$T44,INDIRECT("'"&amp;$A44&amp;"'!$A$2:$A$501"),"&gt;="&amp;$I44,INDIRECT("'"&amp;$A44&amp;"'!$A$2:$A$501"),"&lt;"&amp;($BA44+1),INDIRECT("'"&amp;$A44&amp;"'!$C$2:$C$501"),"Yes"),0)))</f>
        <v>8</v>
      </c>
      <c r="AN44" s="30" t="n">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4</v>
      </c>
      <c r="AO44" s="30" t="n">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7</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8</v>
      </c>
      <c r="AU44" s="30" t="n">
        <f aca="true">IF(OR($A44="",$I44=""),"",IF($BC44="Y",SUMIFS(survey_frozen!$I$2:$I$251,survey_frozen!$P$2:$P$251,$A44&amp;"|"&amp;$B44),IFERROR(SUMIFS(INDIRECT("'"&amp;$A44&amp;"'!$D$2:$D$501"),INDIRECT("'"&amp;$A44&amp;"'!$B$2:$B$501"),$T44,INDIRECT("'"&amp;$A44&amp;"'!$A$2:$A$501"),"&gt;="&amp;$I44,INDIRECT("'"&amp;$A44&amp;"'!$A$2:$A$501"),"&lt;"&amp;($BA44+1)),0)))</f>
        <v>36</v>
      </c>
      <c r="AV44" s="30" t="n">
        <f aca="true">IF(OR($A44="",$I44=""),"",IF($BC44="Y",SUMIFS(survey_frozen!$J$2:$J$251,survey_frozen!$P$2:$P$251,$A44&amp;"|"&amp;$B44),IFERROR(COUNTIFS(INDIRECT("'"&amp;$A44&amp;"'!$B$2:$B$501"),$T44,INDIRECT("'"&amp;$A44&amp;"'!$A$2:$A$501"),"&gt;="&amp;$I44,INDIRECT("'"&amp;$A44&amp;"'!$A$2:$A$501"),"&lt;"&amp;($BA44+1),INDIRECT("'"&amp;$A44&amp;"'!$E$2:$E$501"),"Yes"),0)))</f>
        <v>1</v>
      </c>
      <c r="AW44" s="30" t="n">
        <f aca="true">IF(OR($A44="",$I44=""),"",IF($BC44="Y",SUMIFS(survey_frozen!$K$2:$K$251,survey_frozen!$P$2:$P$251,$A44&amp;"|"&amp;$B44),IFERROR(COUNTIFS(INDIRECT("'"&amp;$A44&amp;"'!$B$2:$B$501"),$T44,INDIRECT("'"&amp;$A44&amp;"'!$A$2:$A$501"),"&gt;="&amp;$I44,INDIRECT("'"&amp;$A44&amp;"'!$A$2:$A$501"),"&lt;"&amp;($BA44+1),INDIRECT("'"&amp;$A44&amp;"'!$E$2:$E$501"),"Maybe"),0)))</f>
        <v>5</v>
      </c>
      <c r="AX44" s="30" t="n">
        <f aca="true">IF(OR($A44="",$I44=""),"",IF($BC44="Y",SUMIFS(survey_frozen!$L$2:$L$251,survey_frozen!$P$2:$P$251,$A44&amp;"|"&amp;$B44),IFERROR(COUNTIFS(INDIRECT("'"&amp;$A44&amp;"'!$B$2:$B$501"),$T44,INDIRECT("'"&amp;$A44&amp;"'!$A$2:$A$501"),"&gt;="&amp;$I44,INDIRECT("'"&amp;$A44&amp;"'!$A$2:$A$501"),"&lt;"&amp;($BA44+1),INDIRECT("'"&amp;$A44&amp;"'!$E$2:$E$501"),"No"),0)))</f>
        <v>2</v>
      </c>
      <c r="AY44" s="30" t="n">
        <f aca="true">IF(OR($A44="",$I44=""),"",IF($BC44="Y",SUMIFS(survey_frozen!$M$2:$M$251,survey_frozen!$P$2:$P$251,$A44&amp;"|"&amp;$B44),IFERROR(COUNTIFS(INDIRECT("'"&amp;$A44&amp;"'!$B$2:$B$501"),$T44,INDIRECT("'"&amp;$A44&amp;"'!$A$2:$A$501"),"&gt;="&amp;$I44,INDIRECT("'"&amp;$A44&amp;"'!$A$2:$A$501"),"&lt;"&amp;($BA44+1),INDIRECT("'"&amp;$A44&amp;"'!$G$2:$G$501"),"&lt;&gt;"),0)))</f>
        <v>4</v>
      </c>
      <c r="AZ44" s="30" t="str">
        <f aca="false">IF($A44="","",$A44&amp;"|"&amp;$L44)</f>
        <v>SAMPLE-CMP-006|3</v>
      </c>
      <c r="BA44" s="31" t="n">
        <f aca="false">IF($A44="","",IFERROR(IF(INDEX(drops!$R$2:$R$21,MATCH($H44,drops!$A$2:$A$21,0))="","",INDEX(drops!$R$2:$R$21,MATCH($H44,drops!$A$2:$A$21,0))),""))</f>
        <v>46447</v>
      </c>
      <c r="BB44" s="30" t="n">
        <f aca="false">IF(OR($A44="",$Q44&lt;&gt;"Y"),1000000,N($AL44))</f>
        <v>8</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563</v>
      </c>
      <c r="B45" s="0" t="s">
        <v>676</v>
      </c>
      <c r="C45" s="11" t="n">
        <v>46412</v>
      </c>
      <c r="D45" s="10" t="s">
        <v>496</v>
      </c>
      <c r="E45" s="11" t="n">
        <v>46414</v>
      </c>
      <c r="F45" s="10" t="s">
        <v>727</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45</v>
      </c>
      <c r="V45" s="37" t="n">
        <f aca="false">IF($A45="","",IFERROR(1/(1/SUMPRODUCT(MAX((inventory!$C$2:$C$801=$A45)*(inventory!$D$2:$D$801=$B45)*(inventory!$E$2:$E$801="delivered")*(inventory!$A$2:$A$801+inventory!$B$2:$B$801)))),""))</f>
        <v>46441.4298611111</v>
      </c>
      <c r="W45" s="30" t="str">
        <f aca="false">IF($A45="","",IFERROR(IF(INDEX(inventory!$J$2:$J$801,MATCH($A45&amp;"|"&amp;$B45&amp;"|delivered",inventory!$R$2:$R$801,0))="","",INDEX(inventory!$J$2:$J$801,MATCH($A45&amp;"|"&amp;$B45&amp;"|delivered",inventory!$R$2:$R$801,0))),""))</f>
        <v>courier_count</v>
      </c>
      <c r="X45" s="30" t="str">
        <f aca="false">IF($A45="","",IFERROR(IF(INDEX(photos!$H$2:$H$701,MATCH($A45&amp;"|"&amp;$B45&amp;"|placement|Y",photos!$R$2:$R$701,0))="","",INDEX(photos!$H$2:$H$701,MATCH($A45&amp;"|"&amp;$B45&amp;"|placement|Y",photos!$R$2:$R$701,0))),""))</f>
        <v>SAMPLE-CMP-006_SAMPLE-O-004_placement_2027-02-23.jpg</v>
      </c>
      <c r="Y45" s="31" t="n">
        <f aca="false">IF($A45="","",IFERROR(IF(INDEX(photos!$E$2:$E$701,MATCH($A45&amp;"|"&amp;$B45&amp;"|placement|Y",photos!$R$2:$R$701,0))="","",INDEX(photos!$E$2:$E$701,MATCH($A45&amp;"|"&amp;$B45&amp;"|placement|Y",photos!$R$2:$R$701,0))),""))</f>
        <v>46441</v>
      </c>
      <c r="Z45" s="30" t="n">
        <f aca="false">IF($A45="","",IF(COUNTIFS(counts!$C$2:$C$701,$A45,counts!$D$2:$D$701,$B45,counts!$E$2:$E$701,"placed")=0,"",SUMIFS(counts!$F$2:$F$701,counts!$C$2:$C$701,$A45,counts!$D$2:$D$701,$B45,counts!$E$2:$E$701,"placed")))</f>
        <v>45</v>
      </c>
      <c r="AA45" s="30" t="n">
        <f aca="false">IF($A45="","",IF($Y45="",0,N($Z45)))</f>
        <v>45</v>
      </c>
      <c r="AB45" s="30" t="str">
        <f aca="false">IF($A45="","",IF(OR($Y45="",$I45=""),"N",IF($Y45&lt;=WORKDAY(N($I45),1,calendar!$A$2:$A$80),"Y","N")))</f>
        <v>Y</v>
      </c>
      <c r="AC45" s="33" t="n">
        <f aca="false">IF(OR($A45="",$V45="",$Y45=""),"",ROUND(($Y45+N(IFERROR(IF(INDEX(photos!$F$2:$F$701,MATCH($A45&amp;"|"&amp;$B45&amp;"|placement|Y",photos!$R$2:$R$701,0))="","",INDEX(photos!$F$2:$F$701,MATCH($A45&amp;"|"&amp;$B45&amp;"|placement|Y",photos!$R$2:$R$701,0))),""))-$V45)*24,1))</f>
        <v>2.7</v>
      </c>
      <c r="AD45" s="30" t="n">
        <f aca="false">IF($A45="","",SUMIFS(inventory!$G$2:$G$801,inventory!$C$2:$C$801,$A45,inventory!$D$2:$D$801,$B45,inventory!$E$2:$E$801,"topped_up"))</f>
        <v>0</v>
      </c>
      <c r="AE45" s="30" t="n">
        <f aca="false">IF($A45="","",IF(COUNTIFS(counts!$C$2:$C$701,$A45,counts!$D$2:$D$701,$B45,counts!$E$2:$E$701,"remaining_day3")=0,"",SUMIFS(counts!$F$2:$F$701,counts!$C$2:$C$701,$A45,counts!$D$2:$D$701,$B45,counts!$E$2:$E$701,"remaining_day3")))</f>
        <v>16</v>
      </c>
      <c r="AF45" s="30" t="n">
        <f aca="false">IF($A45="","",IF(COUNTIFS(counts!$C$2:$C$701,$A45,counts!$D$2:$D$701,$B45,counts!$E$2:$E$701,"remaining_day5")=0,"",SUMIFS(counts!$F$2:$F$701,counts!$C$2:$C$701,$A45,counts!$D$2:$D$701,$B45,counts!$E$2:$E$701,"remaining_day5")))</f>
        <v>5</v>
      </c>
      <c r="AG45" s="30" t="n">
        <f aca="false">IF(OR($A45="",$AF45=""),"",MAX(0,$AA45+$AD45-$AF45))</f>
        <v>40</v>
      </c>
      <c r="AH45" s="30" t="str">
        <f aca="false">IF(OR($A45="",$AI45=""),"",IFERROR(IF(INDEX(photos!$H$2:$H$701,MATCH($A45&amp;"|"&amp;$B45&amp;"|later|Y|"&amp;$AI45,photos!$S$2:$S$701,0))="","",INDEX(photos!$H$2:$H$701,MATCH($A45&amp;"|"&amp;$B45&amp;"|later|Y|"&amp;$AI45,photos!$S$2:$S$701,0))),""))</f>
        <v>SAMPLE-CMP-006_SAMPLE-O-004_later_2027-03-01.jpg</v>
      </c>
      <c r="AI45" s="31" t="n">
        <f aca="false">IF($A45="","",IFERROR(1/(1/SUMPRODUCT(MAX((photos!$B$2:$B$701=$A45)*(photos!$C$2:$C$701=$B45)*(photos!$D$2:$D$701="later")*(photos!$O$2:$O$701="Y")*photos!$E$2:$E$701))),""))</f>
        <v>46447</v>
      </c>
      <c r="AJ45" s="30" t="n">
        <f aca="false">IF(OR($A45="",$AI45="",$I45=""),"",NETWORKDAYS($I45,$AI45,calendar!$A$2:$A$80))</f>
        <v>5</v>
      </c>
      <c r="AK45" s="30" t="str">
        <f aca="false">IF($A45="","",IF(AND($X45&lt;&gt;"",$AH45&lt;&gt;""),"Y","N"))</f>
        <v>Y</v>
      </c>
      <c r="AL45" s="30" t="n">
        <f aca="true">IF(OR($A45="",$I45=""),"",IF($BC45="Y",SUMIFS(survey_frozen!$C$2:$C$251,survey_frozen!$P$2:$P$251,$A45&amp;"|"&amp;$B45),IFERROR(COUNTIFS(INDIRECT("'"&amp;$A45&amp;"'!$B$2:$B$501"),$T45,INDIRECT("'"&amp;$A45&amp;"'!$A$2:$A$501"),"&gt;="&amp;$I45,INDIRECT("'"&amp;$A45&amp;"'!$A$2:$A$501"),"&lt;"&amp;($BA45+1)),0)))</f>
        <v>5</v>
      </c>
      <c r="AM45" s="30" t="n">
        <f aca="true">IF(OR($A45="",$I45=""),"",IF($BC45="Y",SUMIFS(survey_frozen!$D$2:$D$251,survey_frozen!$P$2:$P$251,$A45&amp;"|"&amp;$B45),IFERROR(COUNTIFS(INDIRECT("'"&amp;$A45&amp;"'!$B$2:$B$501"),$T45,INDIRECT("'"&amp;$A45&amp;"'!$A$2:$A$501"),"&gt;="&amp;$I45,INDIRECT("'"&amp;$A45&amp;"'!$A$2:$A$501"),"&lt;"&amp;($BA45+1),INDIRECT("'"&amp;$A45&amp;"'!$C$2:$C$501"),"Yes"),0)))</f>
        <v>3</v>
      </c>
      <c r="AN45" s="30" t="n">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6</v>
      </c>
      <c r="AO45" s="30" t="n">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9</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1</v>
      </c>
      <c r="AR45" s="30" t="n">
        <f aca="true">IF(OR($A45="",$I45=""),"",IF($BC45="Y",SUMIFS(survey_frozen!$F$2:$F$251,survey_frozen!$P$2:$P$251,$A45&amp;"|"&amp;$B45),IFERROR(COUNTIFS(INDIRECT("'"&amp;$A45&amp;"'!$B$2:$B$501"),$T45,INDIRECT("'"&amp;$A45&amp;"'!$A$2:$A$501"),"&gt;="&amp;$I45,INDIRECT("'"&amp;$A45&amp;"'!$A$2:$A$501"),"&lt;"&amp;($BA45+1),INDIRECT("'"&amp;$A45&amp;"'!$F$2:$F$501"),"Not for me"),0)))</f>
        <v>1</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3</v>
      </c>
      <c r="AU45" s="30" t="n">
        <f aca="true">IF(OR($A45="",$I45=""),"",IF($BC45="Y",SUMIFS(survey_frozen!$I$2:$I$251,survey_frozen!$P$2:$P$251,$A45&amp;"|"&amp;$B45),IFERROR(SUMIFS(INDIRECT("'"&amp;$A45&amp;"'!$D$2:$D$501"),INDIRECT("'"&amp;$A45&amp;"'!$B$2:$B$501"),$T45,INDIRECT("'"&amp;$A45&amp;"'!$A$2:$A$501"),"&gt;="&amp;$I45,INDIRECT("'"&amp;$A45&amp;"'!$A$2:$A$501"),"&lt;"&amp;($BA45+1)),0)))</f>
        <v>14</v>
      </c>
      <c r="AV45" s="30" t="n">
        <f aca="true">IF(OR($A45="",$I45=""),"",IF($BC45="Y",SUMIFS(survey_frozen!$J$2:$J$251,survey_frozen!$P$2:$P$251,$A45&amp;"|"&amp;$B45),IFERROR(COUNTIFS(INDIRECT("'"&amp;$A45&amp;"'!$B$2:$B$501"),$T45,INDIRECT("'"&amp;$A45&amp;"'!$A$2:$A$501"),"&gt;="&amp;$I45,INDIRECT("'"&amp;$A45&amp;"'!$A$2:$A$501"),"&lt;"&amp;($BA45+1),INDIRECT("'"&amp;$A45&amp;"'!$E$2:$E$501"),"Yes"),0)))</f>
        <v>1</v>
      </c>
      <c r="AW45" s="30" t="n">
        <f aca="true">IF(OR($A45="",$I45=""),"",IF($BC45="Y",SUMIFS(survey_frozen!$K$2:$K$251,survey_frozen!$P$2:$P$251,$A45&amp;"|"&amp;$B45),IFERROR(COUNTIFS(INDIRECT("'"&amp;$A45&amp;"'!$B$2:$B$501"),$T45,INDIRECT("'"&amp;$A45&amp;"'!$A$2:$A$501"),"&gt;="&amp;$I45,INDIRECT("'"&amp;$A45&amp;"'!$A$2:$A$501"),"&lt;"&amp;($BA45+1),INDIRECT("'"&amp;$A45&amp;"'!$E$2:$E$501"),"Maybe"),0)))</f>
        <v>1</v>
      </c>
      <c r="AX45" s="30" t="n">
        <f aca="true">IF(OR($A45="",$I45=""),"",IF($BC45="Y",SUMIFS(survey_frozen!$L$2:$L$251,survey_frozen!$P$2:$P$251,$A45&amp;"|"&amp;$B45),IFERROR(COUNTIFS(INDIRECT("'"&amp;$A45&amp;"'!$B$2:$B$501"),$T45,INDIRECT("'"&amp;$A45&amp;"'!$A$2:$A$501"),"&gt;="&amp;$I45,INDIRECT("'"&amp;$A45&amp;"'!$A$2:$A$501"),"&lt;"&amp;($BA45+1),INDIRECT("'"&amp;$A45&amp;"'!$E$2:$E$501"),"No"),0)))</f>
        <v>1</v>
      </c>
      <c r="AY45" s="30" t="n">
        <f aca="true">IF(OR($A45="",$I45=""),"",IF($BC45="Y",SUMIFS(survey_frozen!$M$2:$M$251,survey_frozen!$P$2:$P$251,$A45&amp;"|"&amp;$B45),IFERROR(COUNTIFS(INDIRECT("'"&amp;$A45&amp;"'!$B$2:$B$501"),$T45,INDIRECT("'"&amp;$A45&amp;"'!$A$2:$A$501"),"&gt;="&amp;$I45,INDIRECT("'"&amp;$A45&amp;"'!$A$2:$A$501"),"&lt;"&amp;($BA45+1),INDIRECT("'"&amp;$A45&amp;"'!$G$2:$G$501"),"&lt;&gt;"),0)))</f>
        <v>2</v>
      </c>
      <c r="AZ45" s="30" t="str">
        <f aca="false">IF($A45="","",$A45&amp;"|"&amp;$L45)</f>
        <v>SAMPLE-CMP-006|4</v>
      </c>
      <c r="BA45" s="31" t="n">
        <f aca="false">IF($A45="","",IFERROR(IF(INDEX(drops!$R$2:$R$21,MATCH($H45,drops!$A$2:$A$21,0))="","",INDEX(drops!$R$2:$R$21,MATCH($H45,drops!$A$2:$A$21,0))),""))</f>
        <v>46447</v>
      </c>
      <c r="BB45" s="30" t="n">
        <f aca="false">IF(OR($A45="",$Q45&lt;&gt;"Y"),1000000,N($AL45))</f>
        <v>5</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563</v>
      </c>
      <c r="B46" s="0" t="s">
        <v>678</v>
      </c>
      <c r="C46" s="11" t="n">
        <v>46412</v>
      </c>
      <c r="D46" s="10" t="s">
        <v>496</v>
      </c>
      <c r="E46" s="11" t="n">
        <v>46414</v>
      </c>
      <c r="F46" s="10" t="s">
        <v>727</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65</v>
      </c>
      <c r="V46" s="37" t="n">
        <f aca="false">IF($A46="","",IFERROR(1/(1/SUMPRODUCT(MAX((inventory!$C$2:$C$801=$A46)*(inventory!$D$2:$D$801=$B46)*(inventory!$E$2:$E$801="delivered")*(inventory!$A$2:$A$801+inventory!$B$2:$B$801)))),""))</f>
        <v>46441.4451388889</v>
      </c>
      <c r="W46" s="30" t="str">
        <f aca="false">IF($A46="","",IFERROR(IF(INDEX(inventory!$J$2:$J$801,MATCH($A46&amp;"|"&amp;$B46&amp;"|delivered",inventory!$R$2:$R$801,0))="","",INDEX(inventory!$J$2:$J$801,MATCH($A46&amp;"|"&amp;$B46&amp;"|delivered",inventory!$R$2:$R$801,0))),""))</f>
        <v>courier_count</v>
      </c>
      <c r="X46" s="30" t="str">
        <f aca="false">IF($A46="","",IFERROR(IF(INDEX(photos!$H$2:$H$701,MATCH($A46&amp;"|"&amp;$B46&amp;"|placement|Y",photos!$R$2:$R$701,0))="","",INDEX(photos!$H$2:$H$701,MATCH($A46&amp;"|"&amp;$B46&amp;"|placement|Y",photos!$R$2:$R$701,0))),""))</f>
        <v>SAMPLE-CMP-006_SAMPLE-O-005_placement_2027-02-23.jpg</v>
      </c>
      <c r="Y46" s="31" t="n">
        <f aca="false">IF($A46="","",IFERROR(IF(INDEX(photos!$E$2:$E$701,MATCH($A46&amp;"|"&amp;$B46&amp;"|placement|Y",photos!$R$2:$R$701,0))="","",INDEX(photos!$E$2:$E$701,MATCH($A46&amp;"|"&amp;$B46&amp;"|placement|Y",photos!$R$2:$R$701,0))),""))</f>
        <v>46441</v>
      </c>
      <c r="Z46" s="30" t="n">
        <f aca="false">IF($A46="","",IF(COUNTIFS(counts!$C$2:$C$701,$A46,counts!$D$2:$D$701,$B46,counts!$E$2:$E$701,"placed")=0,"",SUMIFS(counts!$F$2:$F$701,counts!$C$2:$C$701,$A46,counts!$D$2:$D$701,$B46,counts!$E$2:$E$701,"placed")))</f>
        <v>65</v>
      </c>
      <c r="AA46" s="30" t="n">
        <f aca="false">IF($A46="","",IF($Y46="",0,N($Z46)))</f>
        <v>65</v>
      </c>
      <c r="AB46" s="30" t="str">
        <f aca="false">IF($A46="","",IF(OR($Y46="",$I46=""),"N",IF($Y46&lt;=WORKDAY(N($I46),1,calendar!$A$2:$A$80),"Y","N")))</f>
        <v>Y</v>
      </c>
      <c r="AC46" s="33" t="n">
        <f aca="false">IF(OR($A46="",$V46="",$Y46=""),"",ROUND(($Y46+N(IFERROR(IF(INDEX(photos!$F$2:$F$701,MATCH($A46&amp;"|"&amp;$B46&amp;"|placement|Y",photos!$R$2:$R$701,0))="","",INDEX(photos!$F$2:$F$701,MATCH($A46&amp;"|"&amp;$B46&amp;"|placement|Y",photos!$R$2:$R$701,0))),""))-$V46)*24,1))</f>
        <v>2.3</v>
      </c>
      <c r="AD46" s="30" t="n">
        <f aca="false">IF($A46="","",SUMIFS(inventory!$G$2:$G$801,inventory!$C$2:$C$801,$A46,inventory!$D$2:$D$801,$B46,inventory!$E$2:$E$801,"topped_up"))</f>
        <v>6</v>
      </c>
      <c r="AE46" s="30" t="n">
        <f aca="false">IF($A46="","",IF(COUNTIFS(counts!$C$2:$C$701,$A46,counts!$D$2:$D$701,$B46,counts!$E$2:$E$701,"remaining_day3")=0,"",SUMIFS(counts!$F$2:$F$701,counts!$C$2:$C$701,$A46,counts!$D$2:$D$701,$B46,counts!$E$2:$E$701,"remaining_day3")))</f>
        <v>31</v>
      </c>
      <c r="AF46" s="30" t="n">
        <f aca="false">IF($A46="","",IF(COUNTIFS(counts!$C$2:$C$701,$A46,counts!$D$2:$D$701,$B46,counts!$E$2:$E$701,"remaining_day5")=0,"",SUMIFS(counts!$F$2:$F$701,counts!$C$2:$C$701,$A46,counts!$D$2:$D$701,$B46,counts!$E$2:$E$701,"remaining_day5")))</f>
        <v>7</v>
      </c>
      <c r="AG46" s="30" t="n">
        <f aca="false">IF(OR($A46="",$AF46=""),"",MAX(0,$AA46+$AD46-$AF46))</f>
        <v>64</v>
      </c>
      <c r="AH46" s="30" t="str">
        <f aca="false">IF(OR($A46="",$AI46=""),"",IFERROR(IF(INDEX(photos!$H$2:$H$701,MATCH($A46&amp;"|"&amp;$B46&amp;"|later|Y|"&amp;$AI46,photos!$S$2:$S$701,0))="","",INDEX(photos!$H$2:$H$701,MATCH($A46&amp;"|"&amp;$B46&amp;"|later|Y|"&amp;$AI46,photos!$S$2:$S$701,0))),""))</f>
        <v>SAMPLE-CMP-006_SAMPLE-O-005_later_2027-03-01.jpg</v>
      </c>
      <c r="AI46" s="31" t="n">
        <f aca="false">IF($A46="","",IFERROR(1/(1/SUMPRODUCT(MAX((photos!$B$2:$B$701=$A46)*(photos!$C$2:$C$701=$B46)*(photos!$D$2:$D$701="later")*(photos!$O$2:$O$701="Y")*photos!$E$2:$E$701))),""))</f>
        <v>46447</v>
      </c>
      <c r="AJ46" s="30" t="n">
        <f aca="false">IF(OR($A46="",$AI46="",$I46=""),"",NETWORKDAYS($I46,$AI46,calendar!$A$2:$A$80))</f>
        <v>5</v>
      </c>
      <c r="AK46" s="30" t="str">
        <f aca="false">IF($A46="","",IF(AND($X46&lt;&gt;"",$AH46&lt;&gt;""),"Y","N"))</f>
        <v>Y</v>
      </c>
      <c r="AL46" s="30" t="n">
        <f aca="true">IF(OR($A46="",$I46=""),"",IF($BC46="Y",SUMIFS(survey_frozen!$C$2:$C$251,survey_frozen!$P$2:$P$251,$A46&amp;"|"&amp;$B46),IFERROR(COUNTIFS(INDIRECT("'"&amp;$A46&amp;"'!$B$2:$B$501"),$T46,INDIRECT("'"&amp;$A46&amp;"'!$A$2:$A$501"),"&gt;="&amp;$I46,INDIRECT("'"&amp;$A46&amp;"'!$A$2:$A$501"),"&lt;"&amp;($BA46+1)),0)))</f>
        <v>7</v>
      </c>
      <c r="AM46" s="30" t="n">
        <f aca="true">IF(OR($A46="",$I46=""),"",IF($BC46="Y",SUMIFS(survey_frozen!$D$2:$D$251,survey_frozen!$P$2:$P$251,$A46&amp;"|"&amp;$B46),IFERROR(COUNTIFS(INDIRECT("'"&amp;$A46&amp;"'!$B$2:$B$501"),$T46,INDIRECT("'"&amp;$A46&amp;"'!$A$2:$A$501"),"&gt;="&amp;$I46,INDIRECT("'"&amp;$A46&amp;"'!$A$2:$A$501"),"&lt;"&amp;($BA46+1),INDIRECT("'"&amp;$A46&amp;"'!$C$2:$C$501"),"Yes"),0)))</f>
        <v>6</v>
      </c>
      <c r="AN46" s="30" t="n">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8</v>
      </c>
      <c r="AO46" s="30" t="n">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11</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1</v>
      </c>
      <c r="AT46" s="30" t="n">
        <f aca="true">IF(OR($A46="",$I46=""),"",IF($BC46="Y",SUMIFS(survey_frozen!$H$2:$H$251,survey_frozen!$P$2:$P$251,$A46&amp;"|"&amp;$B46),IFERROR(COUNTIFS(INDIRECT("'"&amp;$A46&amp;"'!$B$2:$B$501"),$T46,INDIRECT("'"&amp;$A46&amp;"'!$A$2:$A$501"),"&gt;="&amp;$I46,INDIRECT("'"&amp;$A46&amp;"'!$A$2:$A$501"),"&lt;"&amp;($BA46+1),INDIRECT("'"&amp;$A46&amp;"'!$D$2:$D$501"),"&gt;=1"),0)))</f>
        <v>6</v>
      </c>
      <c r="AU46" s="30" t="n">
        <f aca="true">IF(OR($A46="",$I46=""),"",IF($BC46="Y",SUMIFS(survey_frozen!$I$2:$I$251,survey_frozen!$P$2:$P$251,$A46&amp;"|"&amp;$B46),IFERROR(SUMIFS(INDIRECT("'"&amp;$A46&amp;"'!$D$2:$D$501"),INDIRECT("'"&amp;$A46&amp;"'!$B$2:$B$501"),$T46,INDIRECT("'"&amp;$A46&amp;"'!$A$2:$A$501"),"&gt;="&amp;$I46,INDIRECT("'"&amp;$A46&amp;"'!$A$2:$A$501"),"&lt;"&amp;($BA46+1)),0)))</f>
        <v>26</v>
      </c>
      <c r="AV46" s="30" t="n">
        <f aca="true">IF(OR($A46="",$I46=""),"",IF($BC46="Y",SUMIFS(survey_frozen!$J$2:$J$251,survey_frozen!$P$2:$P$251,$A46&amp;"|"&amp;$B46),IFERROR(COUNTIFS(INDIRECT("'"&amp;$A46&amp;"'!$B$2:$B$501"),$T46,INDIRECT("'"&amp;$A46&amp;"'!$A$2:$A$501"),"&gt;="&amp;$I46,INDIRECT("'"&amp;$A46&amp;"'!$A$2:$A$501"),"&lt;"&amp;($BA46+1),INDIRECT("'"&amp;$A46&amp;"'!$E$2:$E$501"),"Yes"),0)))</f>
        <v>1</v>
      </c>
      <c r="AW46" s="30" t="n">
        <f aca="true">IF(OR($A46="",$I46=""),"",IF($BC46="Y",SUMIFS(survey_frozen!$K$2:$K$251,survey_frozen!$P$2:$P$251,$A46&amp;"|"&amp;$B46),IFERROR(COUNTIFS(INDIRECT("'"&amp;$A46&amp;"'!$B$2:$B$501"),$T46,INDIRECT("'"&amp;$A46&amp;"'!$A$2:$A$501"),"&gt;="&amp;$I46,INDIRECT("'"&amp;$A46&amp;"'!$A$2:$A$501"),"&lt;"&amp;($BA46+1),INDIRECT("'"&amp;$A46&amp;"'!$E$2:$E$501"),"Maybe"),0)))</f>
        <v>3</v>
      </c>
      <c r="AX46" s="30" t="n">
        <f aca="true">IF(OR($A46="",$I46=""),"",IF($BC46="Y",SUMIFS(survey_frozen!$L$2:$L$251,survey_frozen!$P$2:$P$251,$A46&amp;"|"&amp;$B46),IFERROR(COUNTIFS(INDIRECT("'"&amp;$A46&amp;"'!$B$2:$B$501"),$T46,INDIRECT("'"&amp;$A46&amp;"'!$A$2:$A$501"),"&gt;="&amp;$I46,INDIRECT("'"&amp;$A46&amp;"'!$A$2:$A$501"),"&lt;"&amp;($BA46+1),INDIRECT("'"&amp;$A46&amp;"'!$E$2:$E$501"),"No"),0)))</f>
        <v>2</v>
      </c>
      <c r="AY46" s="30" t="n">
        <f aca="true">IF(OR($A46="",$I46=""),"",IF($BC46="Y",SUMIFS(survey_frozen!$M$2:$M$251,survey_frozen!$P$2:$P$251,$A46&amp;"|"&amp;$B46),IFERROR(COUNTIFS(INDIRECT("'"&amp;$A46&amp;"'!$B$2:$B$501"),$T46,INDIRECT("'"&amp;$A46&amp;"'!$A$2:$A$501"),"&gt;="&amp;$I46,INDIRECT("'"&amp;$A46&amp;"'!$A$2:$A$501"),"&lt;"&amp;($BA46+1),INDIRECT("'"&amp;$A46&amp;"'!$G$2:$G$501"),"&lt;&gt;"),0)))</f>
        <v>3</v>
      </c>
      <c r="AZ46" s="30" t="str">
        <f aca="false">IF($A46="","",$A46&amp;"|"&amp;$L46)</f>
        <v>SAMPLE-CMP-006|5</v>
      </c>
      <c r="BA46" s="31" t="n">
        <f aca="false">IF($A46="","",IFERROR(IF(INDEX(drops!$R$2:$R$21,MATCH($H46,drops!$A$2:$A$21,0))="","",INDEX(drops!$R$2:$R$21,MATCH($H46,drops!$A$2:$A$21,0))),""))</f>
        <v>46447</v>
      </c>
      <c r="BB46" s="30" t="n">
        <f aca="false">IF(OR($A46="",$Q46&lt;&gt;"Y"),1000000,N($AL46))</f>
        <v>7</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563</v>
      </c>
      <c r="B47" s="0" t="s">
        <v>680</v>
      </c>
      <c r="C47" s="11" t="n">
        <v>46412</v>
      </c>
      <c r="D47" s="10" t="s">
        <v>496</v>
      </c>
      <c r="E47" s="11" t="n">
        <v>46414</v>
      </c>
      <c r="F47" s="10" t="s">
        <v>727</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str">
        <f aca="false">IF($A47="","",IF($Q47="N","",COUNTIFS($A$2:$A47,$A47,$Q$2:$Q47,"&lt;&gt;N")))</f>
        <v/>
      </c>
      <c r="M47" s="30" t="str">
        <f aca="false">IF(OR($A47="",$L47=""),"",IF(AND(config!$B$34="names_if_public",IFERROR(IF(INDEX(offices!$AG$2:$AG$61,MATCH($B47,offices!$A$2:$A$61,0))="","",INDEX(offices!$AG$2:$AG$61,MATCH($B47,offices!$A$2:$A$61,0))),"")="Y"),$K47,CHAR(64+$L47)))</f>
        <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N</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n">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0</v>
      </c>
      <c r="AO47" s="30" t="n">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0</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info: turned away at the door, so not on the drop (no letter, not in the report or Gate 2; the credit check is on campaigns);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v>
      </c>
      <c r="BA47" s="31" t="n">
        <f aca="false">IF($A47="","",IFERROR(IF(INDEX(drops!$R$2:$R$21,MATCH($H47,drops!$A$2:$A$21,0))="","",INDEX(drops!$R$2:$R$21,MATCH($H47,drops!$A$2:$A$21,0))),""))</f>
        <v>46447</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563</v>
      </c>
      <c r="B48" s="0" t="s">
        <v>682</v>
      </c>
      <c r="C48" s="11" t="n">
        <v>46412</v>
      </c>
      <c r="D48" s="10" t="s">
        <v>496</v>
      </c>
      <c r="E48" s="11" t="n">
        <v>46414</v>
      </c>
      <c r="F48" s="10" t="s">
        <v>727</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6</v>
      </c>
      <c r="M48" s="30" t="str">
        <f aca="false">IF(OR($A48="",$L48=""),"",IF(AND(config!$B$34="names_if_public",IFERROR(IF(INDEX(offices!$AG$2:$AG$61,MATCH($B48,offices!$A$2:$A$61,0))="","",INDEX(offices!$AG$2:$AG$61,MATCH($B48,offices!$A$2:$A$61,0))),"")="Y"),$K48,CHAR(64+$L48)))</f>
        <v>F</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55</v>
      </c>
      <c r="V48" s="37" t="n">
        <f aca="false">IF($A48="","",IFERROR(1/(1/SUMPRODUCT(MAX((inventory!$C$2:$C$801=$A48)*(inventory!$D$2:$D$801=$B48)*(inventory!$E$2:$E$801="delivered")*(inventory!$A$2:$A$801+inventory!$B$2:$B$801)))),""))</f>
        <v>46441.4020833333</v>
      </c>
      <c r="W48" s="30" t="str">
        <f aca="false">IF($A48="","",IFERROR(IF(INDEX(inventory!$J$2:$J$801,MATCH($A48&amp;"|"&amp;$B48&amp;"|delivered",inventory!$R$2:$R$801,0))="","",INDEX(inventory!$J$2:$J$801,MATCH($A48&amp;"|"&amp;$B48&amp;"|delivered",inventory!$R$2:$R$801,0))),""))</f>
        <v>courier_count</v>
      </c>
      <c r="X48" s="30" t="str">
        <f aca="false">IF($A48="","",IFERROR(IF(INDEX(photos!$H$2:$H$701,MATCH($A48&amp;"|"&amp;$B48&amp;"|placement|Y",photos!$R$2:$R$701,0))="","",INDEX(photos!$H$2:$H$701,MATCH($A48&amp;"|"&amp;$B48&amp;"|placement|Y",photos!$R$2:$R$701,0))),""))</f>
        <v>SAMPLE-CMP-006_SAMPLE-O-007_placement_2027-02-23.jpg</v>
      </c>
      <c r="Y48" s="31" t="n">
        <f aca="false">IF($A48="","",IFERROR(IF(INDEX(photos!$E$2:$E$701,MATCH($A48&amp;"|"&amp;$B48&amp;"|placement|Y",photos!$R$2:$R$701,0))="","",INDEX(photos!$E$2:$E$701,MATCH($A48&amp;"|"&amp;$B48&amp;"|placement|Y",photos!$R$2:$R$701,0))),""))</f>
        <v>46441</v>
      </c>
      <c r="Z48" s="30" t="n">
        <f aca="false">IF($A48="","",IF(COUNTIFS(counts!$C$2:$C$701,$A48,counts!$D$2:$D$701,$B48,counts!$E$2:$E$701,"placed")=0,"",SUMIFS(counts!$F$2:$F$701,counts!$C$2:$C$701,$A48,counts!$D$2:$D$701,$B48,counts!$E$2:$E$701,"placed")))</f>
        <v>55</v>
      </c>
      <c r="AA48" s="30" t="n">
        <f aca="false">IF($A48="","",IF($Y48="",0,N($Z48)))</f>
        <v>55</v>
      </c>
      <c r="AB48" s="30" t="str">
        <f aca="false">IF($A48="","",IF(OR($Y48="",$I48=""),"N",IF($Y48&lt;=WORKDAY(N($I48),1,calendar!$A$2:$A$80),"Y","N")))</f>
        <v>Y</v>
      </c>
      <c r="AC48" s="33" t="n">
        <f aca="false">IF(OR($A48="",$V48="",$Y48=""),"",ROUND(($Y48+N(IFERROR(IF(INDEX(photos!$F$2:$F$701,MATCH($A48&amp;"|"&amp;$B48&amp;"|placement|Y",photos!$R$2:$R$701,0))="","",INDEX(photos!$F$2:$F$701,MATCH($A48&amp;"|"&amp;$B48&amp;"|placement|Y",photos!$R$2:$R$701,0))),""))-$V48)*24,1))</f>
        <v>3.4</v>
      </c>
      <c r="AD48" s="30" t="n">
        <f aca="false">IF($A48="","",SUMIFS(inventory!$G$2:$G$801,inventory!$C$2:$C$801,$A48,inventory!$D$2:$D$801,$B48,inventory!$E$2:$E$801,"topped_up"))</f>
        <v>0</v>
      </c>
      <c r="AE48" s="30" t="n">
        <f aca="false">IF($A48="","",IF(COUNTIFS(counts!$C$2:$C$701,$A48,counts!$D$2:$D$701,$B48,counts!$E$2:$E$701,"remaining_day3")=0,"",SUMIFS(counts!$F$2:$F$701,counts!$C$2:$C$701,$A48,counts!$D$2:$D$701,$B48,counts!$E$2:$E$701,"remaining_day3")))</f>
        <v>18</v>
      </c>
      <c r="AF48" s="30" t="n">
        <f aca="false">IF($A48="","",IF(COUNTIFS(counts!$C$2:$C$701,$A48,counts!$D$2:$D$701,$B48,counts!$E$2:$E$701,"remaining_day5")=0,"",SUMIFS(counts!$F$2:$F$701,counts!$C$2:$C$701,$A48,counts!$D$2:$D$701,$B48,counts!$E$2:$E$701,"remaining_day5")))</f>
        <v>2</v>
      </c>
      <c r="AG48" s="30" t="n">
        <f aca="false">IF(OR($A48="",$AF48=""),"",MAX(0,$AA48+$AD48-$AF48))</f>
        <v>53</v>
      </c>
      <c r="AH48" s="30" t="str">
        <f aca="false">IF(OR($A48="",$AI48=""),"",IFERROR(IF(INDEX(photos!$H$2:$H$701,MATCH($A48&amp;"|"&amp;$B48&amp;"|later|Y|"&amp;$AI48,photos!$S$2:$S$701,0))="","",INDEX(photos!$H$2:$H$701,MATCH($A48&amp;"|"&amp;$B48&amp;"|later|Y|"&amp;$AI48,photos!$S$2:$S$701,0))),""))</f>
        <v>SAMPLE-CMP-006_SAMPLE-O-007_later_2027-03-01.jpg</v>
      </c>
      <c r="AI48" s="31" t="n">
        <f aca="false">IF($A48="","",IFERROR(1/(1/SUMPRODUCT(MAX((photos!$B$2:$B$701=$A48)*(photos!$C$2:$C$701=$B48)*(photos!$D$2:$D$701="later")*(photos!$O$2:$O$701="Y")*photos!$E$2:$E$701))),""))</f>
        <v>46447</v>
      </c>
      <c r="AJ48" s="30" t="n">
        <f aca="false">IF(OR($A48="",$AI48="",$I48=""),"",NETWORKDAYS($I48,$AI48,calendar!$A$2:$A$80))</f>
        <v>5</v>
      </c>
      <c r="AK48" s="30" t="str">
        <f aca="false">IF($A48="","",IF(AND($X48&lt;&gt;"",$AH48&lt;&gt;""),"Y","N"))</f>
        <v>Y</v>
      </c>
      <c r="AL48" s="30" t="n">
        <f aca="true">IF(OR($A48="",$I48=""),"",IF($BC48="Y",SUMIFS(survey_frozen!$C$2:$C$251,survey_frozen!$P$2:$P$251,$A48&amp;"|"&amp;$B48),IFERROR(COUNTIFS(INDIRECT("'"&amp;$A48&amp;"'!$B$2:$B$501"),$T48,INDIRECT("'"&amp;$A48&amp;"'!$A$2:$A$501"),"&gt;="&amp;$I48,INDIRECT("'"&amp;$A48&amp;"'!$A$2:$A$501"),"&lt;"&amp;($BA48+1)),0)))</f>
        <v>6</v>
      </c>
      <c r="AM48" s="30" t="n">
        <f aca="true">IF(OR($A48="",$I48=""),"",IF($BC48="Y",SUMIFS(survey_frozen!$D$2:$D$251,survey_frozen!$P$2:$P$251,$A48&amp;"|"&amp;$B48),IFERROR(COUNTIFS(INDIRECT("'"&amp;$A48&amp;"'!$B$2:$B$501"),$T48,INDIRECT("'"&amp;$A48&amp;"'!$A$2:$A$501"),"&gt;="&amp;$I48,INDIRECT("'"&amp;$A48&amp;"'!$A$2:$A$501"),"&lt;"&amp;($BA48+1),INDIRECT("'"&amp;$A48&amp;"'!$C$2:$C$501"),"Yes"),0)))</f>
        <v>4</v>
      </c>
      <c r="AN48" s="30" t="n">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12</v>
      </c>
      <c r="AO48" s="30" t="n">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5</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1</v>
      </c>
      <c r="AS48" s="30" t="n">
        <f aca="true">IF(OR($A48="",$I48=""),"",IF($BC48="Y",SUMIFS(survey_frozen!$G$2:$G$251,survey_frozen!$P$2:$P$251,$A48&amp;"|"&amp;$B48),IFERROR(COUNTIFS(INDIRECT("'"&amp;$A48&amp;"'!$B$2:$B$501"),$T48,INDIRECT("'"&amp;$A48&amp;"'!$A$2:$A$501"),"&gt;="&amp;$I48,INDIRECT("'"&amp;$A48&amp;"'!$A$2:$A$501"),"&lt;"&amp;($BA48+1),INDIRECT("'"&amp;$A48&amp;"'!$F$2:$F$501"),"Gone by the time I looked"),0)))</f>
        <v>1</v>
      </c>
      <c r="AT48" s="30" t="n">
        <f aca="true">IF(OR($A48="",$I48=""),"",IF($BC48="Y",SUMIFS(survey_frozen!$H$2:$H$251,survey_frozen!$P$2:$P$251,$A48&amp;"|"&amp;$B48),IFERROR(COUNTIFS(INDIRECT("'"&amp;$A48&amp;"'!$B$2:$B$501"),$T48,INDIRECT("'"&amp;$A48&amp;"'!$A$2:$A$501"),"&gt;="&amp;$I48,INDIRECT("'"&amp;$A48&amp;"'!$A$2:$A$501"),"&lt;"&amp;($BA48+1),INDIRECT("'"&amp;$A48&amp;"'!$D$2:$D$501"),"&gt;=1"),0)))</f>
        <v>4</v>
      </c>
      <c r="AU48" s="30" t="n">
        <f aca="true">IF(OR($A48="",$I48=""),"",IF($BC48="Y",SUMIFS(survey_frozen!$I$2:$I$251,survey_frozen!$P$2:$P$251,$A48&amp;"|"&amp;$B48),IFERROR(SUMIFS(INDIRECT("'"&amp;$A48&amp;"'!$D$2:$D$501"),INDIRECT("'"&amp;$A48&amp;"'!$B$2:$B$501"),$T48,INDIRECT("'"&amp;$A48&amp;"'!$A$2:$A$501"),"&gt;="&amp;$I48,INDIRECT("'"&amp;$A48&amp;"'!$A$2:$A$501"),"&lt;"&amp;($BA48+1)),0)))</f>
        <v>17</v>
      </c>
      <c r="AV48" s="30" t="n">
        <f aca="true">IF(OR($A48="",$I48=""),"",IF($BC48="Y",SUMIFS(survey_frozen!$J$2:$J$251,survey_frozen!$P$2:$P$251,$A48&amp;"|"&amp;$B48),IFERROR(COUNTIFS(INDIRECT("'"&amp;$A48&amp;"'!$B$2:$B$501"),$T48,INDIRECT("'"&amp;$A48&amp;"'!$A$2:$A$501"),"&gt;="&amp;$I48,INDIRECT("'"&amp;$A48&amp;"'!$A$2:$A$501"),"&lt;"&amp;($BA48+1),INDIRECT("'"&amp;$A48&amp;"'!$E$2:$E$501"),"Yes"),0)))</f>
        <v>1</v>
      </c>
      <c r="AW48" s="30" t="n">
        <f aca="true">IF(OR($A48="",$I48=""),"",IF($BC48="Y",SUMIFS(survey_frozen!$K$2:$K$251,survey_frozen!$P$2:$P$251,$A48&amp;"|"&amp;$B48),IFERROR(COUNTIFS(INDIRECT("'"&amp;$A48&amp;"'!$B$2:$B$501"),$T48,INDIRECT("'"&amp;$A48&amp;"'!$A$2:$A$501"),"&gt;="&amp;$I48,INDIRECT("'"&amp;$A48&amp;"'!$A$2:$A$501"),"&lt;"&amp;($BA48+1),INDIRECT("'"&amp;$A48&amp;"'!$E$2:$E$501"),"Maybe"),0)))</f>
        <v>2</v>
      </c>
      <c r="AX48" s="30" t="n">
        <f aca="true">IF(OR($A48="",$I48=""),"",IF($BC48="Y",SUMIFS(survey_frozen!$L$2:$L$251,survey_frozen!$P$2:$P$251,$A48&amp;"|"&amp;$B48),IFERROR(COUNTIFS(INDIRECT("'"&amp;$A48&amp;"'!$B$2:$B$501"),$T48,INDIRECT("'"&amp;$A48&amp;"'!$A$2:$A$501"),"&gt;="&amp;$I48,INDIRECT("'"&amp;$A48&amp;"'!$A$2:$A$501"),"&lt;"&amp;($BA48+1),INDIRECT("'"&amp;$A48&amp;"'!$E$2:$E$501"),"No"),0)))</f>
        <v>1</v>
      </c>
      <c r="AY48" s="30" t="n">
        <f aca="true">IF(OR($A48="",$I48=""),"",IF($BC48="Y",SUMIFS(survey_frozen!$M$2:$M$251,survey_frozen!$P$2:$P$251,$A48&amp;"|"&amp;$B48),IFERROR(COUNTIFS(INDIRECT("'"&amp;$A48&amp;"'!$B$2:$B$501"),$T48,INDIRECT("'"&amp;$A48&amp;"'!$A$2:$A$501"),"&gt;="&amp;$I48,INDIRECT("'"&amp;$A48&amp;"'!$A$2:$A$501"),"&lt;"&amp;($BA48+1),INDIRECT("'"&amp;$A48&amp;"'!$G$2:$G$501"),"&lt;&gt;"),0)))</f>
        <v>3</v>
      </c>
      <c r="AZ48" s="30" t="str">
        <f aca="false">IF($A48="","",$A48&amp;"|"&amp;$L48)</f>
        <v>SAMPLE-CMP-006|6</v>
      </c>
      <c r="BA48" s="31" t="n">
        <f aca="false">IF($A48="","",IFERROR(IF(INDEX(drops!$R$2:$R$21,MATCH($H48,drops!$A$2:$A$21,0))="","",INDEX(drops!$R$2:$R$21,MATCH($H48,drops!$A$2:$A$21,0))),""))</f>
        <v>46447</v>
      </c>
      <c r="BB48" s="30" t="n">
        <f aca="false">IF(OR($A48="",$Q48&lt;&gt;"Y"),1000000,N($AL48))</f>
        <v>6</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563</v>
      </c>
      <c r="B49" s="0" t="s">
        <v>684</v>
      </c>
      <c r="C49" s="11" t="n">
        <v>46412</v>
      </c>
      <c r="D49" s="10" t="s">
        <v>496</v>
      </c>
      <c r="E49" s="11" t="n">
        <v>46414</v>
      </c>
      <c r="F49" s="10" t="s">
        <v>727</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7</v>
      </c>
      <c r="M49" s="30" t="str">
        <f aca="false">IF(OR($A49="",$L49=""),"",IF(AND(config!$B$34="names_if_public",IFERROR(IF(INDEX(offices!$AG$2:$AG$61,MATCH($B49,offices!$A$2:$A$61,0))="","",INDEX(offices!$AG$2:$AG$61,MATCH($B49,offices!$A$2:$A$61,0))),"")="Y"),$K49,CHAR(64+$L49)))</f>
        <v>G</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40</v>
      </c>
      <c r="V49" s="37" t="n">
        <f aca="false">IF($A49="","",IFERROR(1/(1/SUMPRODUCT(MAX((inventory!$C$2:$C$801=$A49)*(inventory!$D$2:$D$801=$B49)*(inventory!$E$2:$E$801="delivered")*(inventory!$A$2:$A$801+inventory!$B$2:$B$801)))),""))</f>
        <v>46441.4159722222</v>
      </c>
      <c r="W49" s="30" t="str">
        <f aca="false">IF($A49="","",IFERROR(IF(INDEX(inventory!$J$2:$J$801,MATCH($A49&amp;"|"&amp;$B49&amp;"|delivered",inventory!$R$2:$R$801,0))="","",INDEX(inventory!$J$2:$J$801,MATCH($A49&amp;"|"&amp;$B49&amp;"|delivered",inventory!$R$2:$R$801,0))),""))</f>
        <v>courier_count</v>
      </c>
      <c r="X49" s="30" t="str">
        <f aca="false">IF($A49="","",IFERROR(IF(INDEX(photos!$H$2:$H$701,MATCH($A49&amp;"|"&amp;$B49&amp;"|placement|Y",photos!$R$2:$R$701,0))="","",INDEX(photos!$H$2:$H$701,MATCH($A49&amp;"|"&amp;$B49&amp;"|placement|Y",photos!$R$2:$R$701,0))),""))</f>
        <v>SAMPLE-CMP-006_SAMPLE-O-008_placement_2027-02-23.jpg</v>
      </c>
      <c r="Y49" s="31" t="n">
        <f aca="false">IF($A49="","",IFERROR(IF(INDEX(photos!$E$2:$E$701,MATCH($A49&amp;"|"&amp;$B49&amp;"|placement|Y",photos!$R$2:$R$701,0))="","",INDEX(photos!$E$2:$E$701,MATCH($A49&amp;"|"&amp;$B49&amp;"|placement|Y",photos!$R$2:$R$701,0))),""))</f>
        <v>46441</v>
      </c>
      <c r="Z49" s="30" t="n">
        <f aca="false">IF($A49="","",IF(COUNTIFS(counts!$C$2:$C$701,$A49,counts!$D$2:$D$701,$B49,counts!$E$2:$E$701,"placed")=0,"",SUMIFS(counts!$F$2:$F$701,counts!$C$2:$C$701,$A49,counts!$D$2:$D$701,$B49,counts!$E$2:$E$701,"placed")))</f>
        <v>40</v>
      </c>
      <c r="AA49" s="30" t="n">
        <f aca="false">IF($A49="","",IF($Y49="",0,N($Z49)))</f>
        <v>40</v>
      </c>
      <c r="AB49" s="30" t="str">
        <f aca="false">IF($A49="","",IF(OR($Y49="",$I49=""),"N",IF($Y49&lt;=WORKDAY(N($I49),1,calendar!$A$2:$A$80),"Y","N")))</f>
        <v>Y</v>
      </c>
      <c r="AC49" s="33" t="n">
        <f aca="false">IF(OR($A49="",$V49="",$Y49=""),"",ROUND(($Y49+N(IFERROR(IF(INDEX(photos!$F$2:$F$701,MATCH($A49&amp;"|"&amp;$B49&amp;"|placement|Y",photos!$R$2:$R$701,0))="","",INDEX(photos!$F$2:$F$701,MATCH($A49&amp;"|"&amp;$B49&amp;"|placement|Y",photos!$R$2:$R$701,0))),""))-$V49)*24,1))</f>
        <v>3</v>
      </c>
      <c r="AD49" s="30" t="n">
        <f aca="false">IF($A49="","",SUMIFS(inventory!$G$2:$G$801,inventory!$C$2:$C$801,$A49,inventory!$D$2:$D$801,$B49,inventory!$E$2:$E$801,"topped_up"))</f>
        <v>0</v>
      </c>
      <c r="AE49" s="30" t="n">
        <f aca="false">IF($A49="","",IF(COUNTIFS(counts!$C$2:$C$701,$A49,counts!$D$2:$D$701,$B49,counts!$E$2:$E$701,"remaining_day3")=0,"",SUMIFS(counts!$F$2:$F$701,counts!$C$2:$C$701,$A49,counts!$D$2:$D$701,$B49,counts!$E$2:$E$701,"remaining_day3")))</f>
        <v>17</v>
      </c>
      <c r="AF49" s="30" t="n">
        <f aca="false">IF($A49="","",IF(COUNTIFS(counts!$C$2:$C$701,$A49,counts!$D$2:$D$701,$B49,counts!$E$2:$E$701,"remaining_day5")=0,"",SUMIFS(counts!$F$2:$F$701,counts!$C$2:$C$701,$A49,counts!$D$2:$D$701,$B49,counts!$E$2:$E$701,"remaining_day5")))</f>
        <v>2</v>
      </c>
      <c r="AG49" s="30" t="n">
        <f aca="false">IF(OR($A49="",$AF49=""),"",MAX(0,$AA49+$AD49-$AF49))</f>
        <v>38</v>
      </c>
      <c r="AH49" s="30" t="str">
        <f aca="false">IF(OR($A49="",$AI49=""),"",IFERROR(IF(INDEX(photos!$H$2:$H$701,MATCH($A49&amp;"|"&amp;$B49&amp;"|later|Y|"&amp;$AI49,photos!$S$2:$S$701,0))="","",INDEX(photos!$H$2:$H$701,MATCH($A49&amp;"|"&amp;$B49&amp;"|later|Y|"&amp;$AI49,photos!$S$2:$S$701,0))),""))</f>
        <v>SAMPLE-CMP-006_SAMPLE-O-008_later_2027-03-01.jpg</v>
      </c>
      <c r="AI49" s="31" t="n">
        <f aca="false">IF($A49="","",IFERROR(1/(1/SUMPRODUCT(MAX((photos!$B$2:$B$701=$A49)*(photos!$C$2:$C$701=$B49)*(photos!$D$2:$D$701="later")*(photos!$O$2:$O$701="Y")*photos!$E$2:$E$701))),""))</f>
        <v>46447</v>
      </c>
      <c r="AJ49" s="30" t="n">
        <f aca="false">IF(OR($A49="",$AI49="",$I49=""),"",NETWORKDAYS($I49,$AI49,calendar!$A$2:$A$80))</f>
        <v>5</v>
      </c>
      <c r="AK49" s="30" t="str">
        <f aca="false">IF($A49="","",IF(AND($X49&lt;&gt;"",$AH49&lt;&gt;""),"Y","N"))</f>
        <v>Y</v>
      </c>
      <c r="AL49" s="30" t="n">
        <f aca="true">IF(OR($A49="",$I49=""),"",IF($BC49="Y",SUMIFS(survey_frozen!$C$2:$C$251,survey_frozen!$P$2:$P$251,$A49&amp;"|"&amp;$B49),IFERROR(COUNTIFS(INDIRECT("'"&amp;$A49&amp;"'!$B$2:$B$501"),$T49,INDIRECT("'"&amp;$A49&amp;"'!$A$2:$A$501"),"&gt;="&amp;$I49,INDIRECT("'"&amp;$A49&amp;"'!$A$2:$A$501"),"&lt;"&amp;($BA49+1)),0)))</f>
        <v>8</v>
      </c>
      <c r="AM49" s="30" t="n">
        <f aca="true">IF(OR($A49="",$I49=""),"",IF($BC49="Y",SUMIFS(survey_frozen!$D$2:$D$251,survey_frozen!$P$2:$P$251,$A49&amp;"|"&amp;$B49),IFERROR(COUNTIFS(INDIRECT("'"&amp;$A49&amp;"'!$B$2:$B$501"),$T49,INDIRECT("'"&amp;$A49&amp;"'!$A$2:$A$501"),"&gt;="&amp;$I49,INDIRECT("'"&amp;$A49&amp;"'!$A$2:$A$501"),"&lt;"&amp;($BA49+1),INDIRECT("'"&amp;$A49&amp;"'!$C$2:$C$501"),"Yes"),0)))</f>
        <v>4</v>
      </c>
      <c r="AN49" s="30" t="n">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4</v>
      </c>
      <c r="AO49" s="30" t="n">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7</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3</v>
      </c>
      <c r="AR49" s="30" t="n">
        <f aca="true">IF(OR($A49="",$I49=""),"",IF($BC49="Y",SUMIFS(survey_frozen!$F$2:$F$251,survey_frozen!$P$2:$P$251,$A49&amp;"|"&amp;$B49),IFERROR(COUNTIFS(INDIRECT("'"&amp;$A49&amp;"'!$B$2:$B$501"),$T49,INDIRECT("'"&amp;$A49&amp;"'!$A$2:$A$501"),"&gt;="&amp;$I49,INDIRECT("'"&amp;$A49&amp;"'!$A$2:$A$501"),"&lt;"&amp;($BA49+1),INDIRECT("'"&amp;$A49&amp;"'!$F$2:$F$501"),"Not for me"),0)))</f>
        <v>1</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4</v>
      </c>
      <c r="AU49" s="30" t="n">
        <f aca="true">IF(OR($A49="",$I49=""),"",IF($BC49="Y",SUMIFS(survey_frozen!$I$2:$I$251,survey_frozen!$P$2:$P$251,$A49&amp;"|"&amp;$B49),IFERROR(SUMIFS(INDIRECT("'"&amp;$A49&amp;"'!$D$2:$D$501"),INDIRECT("'"&amp;$A49&amp;"'!$B$2:$B$501"),$T49,INDIRECT("'"&amp;$A49&amp;"'!$A$2:$A$501"),"&gt;="&amp;$I49,INDIRECT("'"&amp;$A49&amp;"'!$A$2:$A$501"),"&lt;"&amp;($BA49+1)),0)))</f>
        <v>17</v>
      </c>
      <c r="AV49" s="30" t="n">
        <f aca="true">IF(OR($A49="",$I49=""),"",IF($BC49="Y",SUMIFS(survey_frozen!$J$2:$J$251,survey_frozen!$P$2:$P$251,$A49&amp;"|"&amp;$B49),IFERROR(COUNTIFS(INDIRECT("'"&amp;$A49&amp;"'!$B$2:$B$501"),$T49,INDIRECT("'"&amp;$A49&amp;"'!$A$2:$A$501"),"&gt;="&amp;$I49,INDIRECT("'"&amp;$A49&amp;"'!$A$2:$A$501"),"&lt;"&amp;($BA49+1),INDIRECT("'"&amp;$A49&amp;"'!$E$2:$E$501"),"Yes"),0)))</f>
        <v>1</v>
      </c>
      <c r="AW49" s="30" t="n">
        <f aca="true">IF(OR($A49="",$I49=""),"",IF($BC49="Y",SUMIFS(survey_frozen!$K$2:$K$251,survey_frozen!$P$2:$P$251,$A49&amp;"|"&amp;$B49),IFERROR(COUNTIFS(INDIRECT("'"&amp;$A49&amp;"'!$B$2:$B$501"),$T49,INDIRECT("'"&amp;$A49&amp;"'!$A$2:$A$501"),"&gt;="&amp;$I49,INDIRECT("'"&amp;$A49&amp;"'!$A$2:$A$501"),"&lt;"&amp;($BA49+1),INDIRECT("'"&amp;$A49&amp;"'!$E$2:$E$501"),"Maybe"),0)))</f>
        <v>2</v>
      </c>
      <c r="AX49" s="30" t="n">
        <f aca="true">IF(OR($A49="",$I49=""),"",IF($BC49="Y",SUMIFS(survey_frozen!$L$2:$L$251,survey_frozen!$P$2:$P$251,$A49&amp;"|"&amp;$B49),IFERROR(COUNTIFS(INDIRECT("'"&amp;$A49&amp;"'!$B$2:$B$501"),$T49,INDIRECT("'"&amp;$A49&amp;"'!$A$2:$A$501"),"&gt;="&amp;$I49,INDIRECT("'"&amp;$A49&amp;"'!$A$2:$A$501"),"&lt;"&amp;($BA49+1),INDIRECT("'"&amp;$A49&amp;"'!$E$2:$E$501"),"No"),0)))</f>
        <v>1</v>
      </c>
      <c r="AY49" s="30" t="n">
        <f aca="true">IF(OR($A49="",$I49=""),"",IF($BC49="Y",SUMIFS(survey_frozen!$M$2:$M$251,survey_frozen!$P$2:$P$251,$A49&amp;"|"&amp;$B49),IFERROR(COUNTIFS(INDIRECT("'"&amp;$A49&amp;"'!$B$2:$B$501"),$T49,INDIRECT("'"&amp;$A49&amp;"'!$A$2:$A$501"),"&gt;="&amp;$I49,INDIRECT("'"&amp;$A49&amp;"'!$A$2:$A$501"),"&lt;"&amp;($BA49+1),INDIRECT("'"&amp;$A49&amp;"'!$G$2:$G$501"),"&lt;&gt;"),0)))</f>
        <v>3</v>
      </c>
      <c r="AZ49" s="30" t="str">
        <f aca="false">IF($A49="","",$A49&amp;"|"&amp;$L49)</f>
        <v>SAMPLE-CMP-006|7</v>
      </c>
      <c r="BA49" s="31" t="n">
        <f aca="false">IF($A49="","",IFERROR(IF(INDEX(drops!$R$2:$R$21,MATCH($H49,drops!$A$2:$A$21,0))="","",INDEX(drops!$R$2:$R$21,MATCH($H49,drops!$A$2:$A$21,0))),""))</f>
        <v>46447</v>
      </c>
      <c r="BB49" s="30" t="n">
        <f aca="false">IF(OR($A49="",$Q49&lt;&gt;"Y"),1000000,N($AL49))</f>
        <v>8</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563</v>
      </c>
      <c r="B50" s="0" t="s">
        <v>686</v>
      </c>
      <c r="C50" s="11" t="n">
        <v>46412</v>
      </c>
      <c r="D50" s="10" t="s">
        <v>496</v>
      </c>
      <c r="E50" s="11" t="n">
        <v>46414</v>
      </c>
      <c r="F50" s="10" t="s">
        <v>727</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8</v>
      </c>
      <c r="M50" s="30" t="str">
        <f aca="false">IF(OR($A50="",$L50=""),"",IF(AND(config!$B$34="names_if_public",IFERROR(IF(INDEX(offices!$AG$2:$AG$61,MATCH($B50,offices!$A$2:$A$61,0))="","",INDEX(offices!$AG$2:$AG$61,MATCH($B50,offices!$A$2:$A$61,0))),"")="Y"),$K50,CHAR(64+$L50)))</f>
        <v>H</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70</v>
      </c>
      <c r="V50" s="37" t="n">
        <f aca="false">IF($A50="","",IFERROR(1/(1/SUMPRODUCT(MAX((inventory!$C$2:$C$801=$A50)*(inventory!$D$2:$D$801=$B50)*(inventory!$E$2:$E$801="delivered")*(inventory!$A$2:$A$801+inventory!$B$2:$B$801)))),""))</f>
        <v>46441.4604166667</v>
      </c>
      <c r="W50" s="30" t="str">
        <f aca="false">IF($A50="","",IFERROR(IF(INDEX(inventory!$J$2:$J$801,MATCH($A50&amp;"|"&amp;$B50&amp;"|delivered",inventory!$R$2:$R$801,0))="","",INDEX(inventory!$J$2:$J$801,MATCH($A50&amp;"|"&amp;$B50&amp;"|delivered",inventory!$R$2:$R$801,0))),""))</f>
        <v>courier_count</v>
      </c>
      <c r="X50" s="30" t="str">
        <f aca="false">IF($A50="","",IFERROR(IF(INDEX(photos!$H$2:$H$701,MATCH($A50&amp;"|"&amp;$B50&amp;"|placement|Y",photos!$R$2:$R$701,0))="","",INDEX(photos!$H$2:$H$701,MATCH($A50&amp;"|"&amp;$B50&amp;"|placement|Y",photos!$R$2:$R$701,0))),""))</f>
        <v>SAMPLE-CMP-006_SAMPLE-O-009_placement_2027-02-23.jpg</v>
      </c>
      <c r="Y50" s="31" t="n">
        <f aca="false">IF($A50="","",IFERROR(IF(INDEX(photos!$E$2:$E$701,MATCH($A50&amp;"|"&amp;$B50&amp;"|placement|Y",photos!$R$2:$R$701,0))="","",INDEX(photos!$E$2:$E$701,MATCH($A50&amp;"|"&amp;$B50&amp;"|placement|Y",photos!$R$2:$R$701,0))),""))</f>
        <v>46441</v>
      </c>
      <c r="Z50" s="30" t="n">
        <f aca="false">IF($A50="","",IF(COUNTIFS(counts!$C$2:$C$701,$A50,counts!$D$2:$D$701,$B50,counts!$E$2:$E$701,"placed")=0,"",SUMIFS(counts!$F$2:$F$701,counts!$C$2:$C$701,$A50,counts!$D$2:$D$701,$B50,counts!$E$2:$E$701,"placed")))</f>
        <v>70</v>
      </c>
      <c r="AA50" s="30" t="n">
        <f aca="false">IF($A50="","",IF($Y50="",0,N($Z50)))</f>
        <v>70</v>
      </c>
      <c r="AB50" s="30" t="str">
        <f aca="false">IF($A50="","",IF(OR($Y50="",$I50=""),"N",IF($Y50&lt;=WORKDAY(N($I50),1,calendar!$A$2:$A$80),"Y","N")))</f>
        <v>Y</v>
      </c>
      <c r="AC50" s="33" t="n">
        <f aca="false">IF(OR($A50="",$V50="",$Y50=""),"",ROUND(($Y50+N(IFERROR(IF(INDEX(photos!$F$2:$F$701,MATCH($A50&amp;"|"&amp;$B50&amp;"|placement|Y",photos!$R$2:$R$701,0))="","",INDEX(photos!$F$2:$F$701,MATCH($A50&amp;"|"&amp;$B50&amp;"|placement|Y",photos!$R$2:$R$701,0))),""))-$V50)*24,1))</f>
        <v>2</v>
      </c>
      <c r="AD50" s="30" t="n">
        <f aca="false">IF($A50="","",SUMIFS(inventory!$G$2:$G$801,inventory!$C$2:$C$801,$A50,inventory!$D$2:$D$801,$B50,inventory!$E$2:$E$801,"topped_up"))</f>
        <v>6</v>
      </c>
      <c r="AE50" s="30" t="n">
        <f aca="false">IF($A50="","",IF(COUNTIFS(counts!$C$2:$C$701,$A50,counts!$D$2:$D$701,$B50,counts!$E$2:$E$701,"remaining_day3")=0,"",SUMIFS(counts!$F$2:$F$701,counts!$C$2:$C$701,$A50,counts!$D$2:$D$701,$B50,counts!$E$2:$E$701,"remaining_day3")))</f>
        <v>21</v>
      </c>
      <c r="AF50" s="30" t="n">
        <f aca="false">IF($A50="","",IF(COUNTIFS(counts!$C$2:$C$701,$A50,counts!$D$2:$D$701,$B50,counts!$E$2:$E$701,"remaining_day5")=0,"",SUMIFS(counts!$F$2:$F$701,counts!$C$2:$C$701,$A50,counts!$D$2:$D$701,$B50,counts!$E$2:$E$701,"remaining_day5")))</f>
        <v>3</v>
      </c>
      <c r="AG50" s="30" t="n">
        <f aca="false">IF(OR($A50="",$AF50=""),"",MAX(0,$AA50+$AD50-$AF50))</f>
        <v>73</v>
      </c>
      <c r="AH50" s="30" t="str">
        <f aca="false">IF(OR($A50="",$AI50=""),"",IFERROR(IF(INDEX(photos!$H$2:$H$701,MATCH($A50&amp;"|"&amp;$B50&amp;"|later|Y|"&amp;$AI50,photos!$S$2:$S$701,0))="","",INDEX(photos!$H$2:$H$701,MATCH($A50&amp;"|"&amp;$B50&amp;"|later|Y|"&amp;$AI50,photos!$S$2:$S$701,0))),""))</f>
        <v>SAMPLE-CMP-006_SAMPLE-O-009_later_2027-03-01.jpg</v>
      </c>
      <c r="AI50" s="31" t="n">
        <f aca="false">IF($A50="","",IFERROR(1/(1/SUMPRODUCT(MAX((photos!$B$2:$B$701=$A50)*(photos!$C$2:$C$701=$B50)*(photos!$D$2:$D$701="later")*(photos!$O$2:$O$701="Y")*photos!$E$2:$E$701))),""))</f>
        <v>46447</v>
      </c>
      <c r="AJ50" s="30" t="n">
        <f aca="false">IF(OR($A50="",$AI50="",$I50=""),"",NETWORKDAYS($I50,$AI50,calendar!$A$2:$A$80))</f>
        <v>5</v>
      </c>
      <c r="AK50" s="30" t="str">
        <f aca="false">IF($A50="","",IF(AND($X50&lt;&gt;"",$AH50&lt;&gt;""),"Y","N"))</f>
        <v>Y</v>
      </c>
      <c r="AL50" s="30" t="n">
        <f aca="true">IF(OR($A50="",$I50=""),"",IF($BC50="Y",SUMIFS(survey_frozen!$C$2:$C$251,survey_frozen!$P$2:$P$251,$A50&amp;"|"&amp;$B50),IFERROR(COUNTIFS(INDIRECT("'"&amp;$A50&amp;"'!$B$2:$B$501"),$T50,INDIRECT("'"&amp;$A50&amp;"'!$A$2:$A$501"),"&gt;="&amp;$I50,INDIRECT("'"&amp;$A50&amp;"'!$A$2:$A$501"),"&lt;"&amp;($BA50+1)),0)))</f>
        <v>5</v>
      </c>
      <c r="AM50" s="30" t="n">
        <f aca="true">IF(OR($A50="",$I50=""),"",IF($BC50="Y",SUMIFS(survey_frozen!$D$2:$D$251,survey_frozen!$P$2:$P$251,$A50&amp;"|"&amp;$B50),IFERROR(COUNTIFS(INDIRECT("'"&amp;$A50&amp;"'!$B$2:$B$501"),$T50,INDIRECT("'"&amp;$A50&amp;"'!$A$2:$A$501"),"&gt;="&amp;$I50,INDIRECT("'"&amp;$A50&amp;"'!$A$2:$A$501"),"&lt;"&amp;($BA50+1),INDIRECT("'"&amp;$A50&amp;"'!$C$2:$C$501"),"Yes"),0)))</f>
        <v>4</v>
      </c>
      <c r="AN50" s="30" t="n">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6</v>
      </c>
      <c r="AO50" s="30" t="n">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9</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1</v>
      </c>
      <c r="AT50" s="30" t="n">
        <f aca="true">IF(OR($A50="",$I50=""),"",IF($BC50="Y",SUMIFS(survey_frozen!$H$2:$H$251,survey_frozen!$P$2:$P$251,$A50&amp;"|"&amp;$B50),IFERROR(COUNTIFS(INDIRECT("'"&amp;$A50&amp;"'!$B$2:$B$501"),$T50,INDIRECT("'"&amp;$A50&amp;"'!$A$2:$A$501"),"&gt;="&amp;$I50,INDIRECT("'"&amp;$A50&amp;"'!$A$2:$A$501"),"&lt;"&amp;($BA50+1),INDIRECT("'"&amp;$A50&amp;"'!$D$2:$D$501"),"&gt;=1"),0)))</f>
        <v>4</v>
      </c>
      <c r="AU50" s="30" t="n">
        <f aca="true">IF(OR($A50="",$I50=""),"",IF($BC50="Y",SUMIFS(survey_frozen!$I$2:$I$251,survey_frozen!$P$2:$P$251,$A50&amp;"|"&amp;$B50),IFERROR(SUMIFS(INDIRECT("'"&amp;$A50&amp;"'!$D$2:$D$501"),INDIRECT("'"&amp;$A50&amp;"'!$B$2:$B$501"),$T50,INDIRECT("'"&amp;$A50&amp;"'!$A$2:$A$501"),"&gt;="&amp;$I50,INDIRECT("'"&amp;$A50&amp;"'!$A$2:$A$501"),"&lt;"&amp;($BA50+1)),0)))</f>
        <v>18</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2</v>
      </c>
      <c r="AX50" s="30" t="n">
        <f aca="true">IF(OR($A50="",$I50=""),"",IF($BC50="Y",SUMIFS(survey_frozen!$L$2:$L$251,survey_frozen!$P$2:$P$251,$A50&amp;"|"&amp;$B50),IFERROR(COUNTIFS(INDIRECT("'"&amp;$A50&amp;"'!$B$2:$B$501"),$T50,INDIRECT("'"&amp;$A50&amp;"'!$A$2:$A$501"),"&gt;="&amp;$I50,INDIRECT("'"&amp;$A50&amp;"'!$A$2:$A$501"),"&lt;"&amp;($BA50+1),INDIRECT("'"&amp;$A50&amp;"'!$E$2:$E$501"),"No"),0)))</f>
        <v>2</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SAMPLE-CMP-006|8</v>
      </c>
      <c r="BA50" s="31" t="n">
        <f aca="false">IF($A50="","",IFERROR(IF(INDEX(drops!$R$2:$R$21,MATCH($H50,drops!$A$2:$A$21,0))="","",INDEX(drops!$R$2:$R$21,MATCH($H50,drops!$A$2:$A$21,0))),""))</f>
        <v>46447</v>
      </c>
      <c r="BB50" s="30" t="n">
        <f aca="false">IF(OR($A50="",$Q50&lt;&gt;"Y"),1000000,N($AL50))</f>
        <v>5</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563</v>
      </c>
      <c r="B51" s="0" t="s">
        <v>688</v>
      </c>
      <c r="C51" s="11" t="n">
        <v>46412</v>
      </c>
      <c r="D51" s="10" t="s">
        <v>496</v>
      </c>
      <c r="E51" s="11" t="n">
        <v>46414</v>
      </c>
      <c r="F51" s="10" t="s">
        <v>727</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9</v>
      </c>
      <c r="M51" s="30" t="str">
        <f aca="false">IF(OR($A51="",$L51=""),"",IF(AND(config!$B$34="names_if_public",IFERROR(IF(INDEX(offices!$AG$2:$AG$61,MATCH($B51,offices!$A$2:$A$61,0))="","",INDEX(offices!$AG$2:$AG$61,MATCH($B51,offices!$A$2:$A$61,0))),"")="Y"),$K51,CHAR(64+$L51)))</f>
        <v>I</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35</v>
      </c>
      <c r="V51" s="37" t="n">
        <f aca="false">IF($A51="","",IFERROR(1/(1/SUMPRODUCT(MAX((inventory!$C$2:$C$801=$A51)*(inventory!$D$2:$D$801=$B51)*(inventory!$E$2:$E$801="delivered")*(inventory!$A$2:$A$801+inventory!$B$2:$B$801)))),""))</f>
        <v>46441.3618055556</v>
      </c>
      <c r="W51" s="30" t="str">
        <f aca="false">IF($A51="","",IFERROR(IF(INDEX(inventory!$J$2:$J$801,MATCH($A51&amp;"|"&amp;$B51&amp;"|delivered",inventory!$R$2:$R$801,0))="","",INDEX(inventory!$J$2:$J$801,MATCH($A51&amp;"|"&amp;$B51&amp;"|delivered",inventory!$R$2:$R$801,0))),""))</f>
        <v>courier_count</v>
      </c>
      <c r="X51" s="30" t="str">
        <f aca="false">IF($A51="","",IFERROR(IF(INDEX(photos!$H$2:$H$701,MATCH($A51&amp;"|"&amp;$B51&amp;"|placement|Y",photos!$R$2:$R$701,0))="","",INDEX(photos!$H$2:$H$701,MATCH($A51&amp;"|"&amp;$B51&amp;"|placement|Y",photos!$R$2:$R$701,0))),""))</f>
        <v>SAMPLE-CMP-006_SAMPLE-O-010_placement_2027-02-23.jpg</v>
      </c>
      <c r="Y51" s="31" t="n">
        <f aca="false">IF($A51="","",IFERROR(IF(INDEX(photos!$E$2:$E$701,MATCH($A51&amp;"|"&amp;$B51&amp;"|placement|Y",photos!$R$2:$R$701,0))="","",INDEX(photos!$E$2:$E$701,MATCH($A51&amp;"|"&amp;$B51&amp;"|placement|Y",photos!$R$2:$R$701,0))),""))</f>
        <v>46441</v>
      </c>
      <c r="Z51" s="30" t="n">
        <f aca="false">IF($A51="","",IF(COUNTIFS(counts!$C$2:$C$701,$A51,counts!$D$2:$D$701,$B51,counts!$E$2:$E$701,"placed")=0,"",SUMIFS(counts!$F$2:$F$701,counts!$C$2:$C$701,$A51,counts!$D$2:$D$701,$B51,counts!$E$2:$E$701,"placed")))</f>
        <v>35</v>
      </c>
      <c r="AA51" s="30" t="n">
        <f aca="false">IF($A51="","",IF($Y51="",0,N($Z51)))</f>
        <v>35</v>
      </c>
      <c r="AB51" s="30" t="str">
        <f aca="false">IF($A51="","",IF(OR($Y51="",$I51=""),"N",IF($Y51&lt;=WORKDAY(N($I51),1,calendar!$A$2:$A$80),"Y","N")))</f>
        <v>Y</v>
      </c>
      <c r="AC51" s="33" t="n">
        <f aca="false">IF(OR($A51="",$V51="",$Y51=""),"",ROUND(($Y51+N(IFERROR(IF(INDEX(photos!$F$2:$F$701,MATCH($A51&amp;"|"&amp;$B51&amp;"|placement|Y",photos!$R$2:$R$701,0))="","",INDEX(photos!$F$2:$F$701,MATCH($A51&amp;"|"&amp;$B51&amp;"|placement|Y",photos!$R$2:$R$701,0))),""))-$V51)*24,1))</f>
        <v>4.3</v>
      </c>
      <c r="AD51" s="30" t="n">
        <f aca="false">IF($A51="","",SUMIFS(inventory!$G$2:$G$801,inventory!$C$2:$C$801,$A51,inventory!$D$2:$D$801,$B51,inventory!$E$2:$E$801,"topped_up"))</f>
        <v>0</v>
      </c>
      <c r="AE51" s="30" t="n">
        <f aca="false">IF($A51="","",IF(COUNTIFS(counts!$C$2:$C$701,$A51,counts!$D$2:$D$701,$B51,counts!$E$2:$E$701,"remaining_day3")=0,"",SUMIFS(counts!$F$2:$F$701,counts!$C$2:$C$701,$A51,counts!$D$2:$D$701,$B51,counts!$E$2:$E$701,"remaining_day3")))</f>
        <v>14</v>
      </c>
      <c r="AF51" s="30" t="n">
        <f aca="false">IF($A51="","",IF(COUNTIFS(counts!$C$2:$C$701,$A51,counts!$D$2:$D$701,$B51,counts!$E$2:$E$701,"remaining_day5")=0,"",SUMIFS(counts!$F$2:$F$701,counts!$C$2:$C$701,$A51,counts!$D$2:$D$701,$B51,counts!$E$2:$E$701,"remaining_day5")))</f>
        <v>3</v>
      </c>
      <c r="AG51" s="30" t="n">
        <f aca="false">IF(OR($A51="",$AF51=""),"",MAX(0,$AA51+$AD51-$AF51))</f>
        <v>32</v>
      </c>
      <c r="AH51" s="30" t="str">
        <f aca="false">IF(OR($A51="",$AI51=""),"",IFERROR(IF(INDEX(photos!$H$2:$H$701,MATCH($A51&amp;"|"&amp;$B51&amp;"|later|Y|"&amp;$AI51,photos!$S$2:$S$701,0))="","",INDEX(photos!$H$2:$H$701,MATCH($A51&amp;"|"&amp;$B51&amp;"|later|Y|"&amp;$AI51,photos!$S$2:$S$701,0))),""))</f>
        <v>SAMPLE-CMP-006_SAMPLE-O-010_later_2027-03-01.jpg</v>
      </c>
      <c r="AI51" s="31" t="n">
        <f aca="false">IF($A51="","",IFERROR(1/(1/SUMPRODUCT(MAX((photos!$B$2:$B$701=$A51)*(photos!$C$2:$C$701=$B51)*(photos!$D$2:$D$701="later")*(photos!$O$2:$O$701="Y")*photos!$E$2:$E$701))),""))</f>
        <v>46447</v>
      </c>
      <c r="AJ51" s="30" t="n">
        <f aca="false">IF(OR($A51="",$AI51="",$I51=""),"",NETWORKDAYS($I51,$AI51,calendar!$A$2:$A$80))</f>
        <v>5</v>
      </c>
      <c r="AK51" s="30" t="str">
        <f aca="false">IF($A51="","",IF(AND($X51&lt;&gt;"",$AH51&lt;&gt;""),"Y","N"))</f>
        <v>Y</v>
      </c>
      <c r="AL51" s="30" t="n">
        <f aca="true">IF(OR($A51="",$I51=""),"",IF($BC51="Y",SUMIFS(survey_frozen!$C$2:$C$251,survey_frozen!$P$2:$P$251,$A51&amp;"|"&amp;$B51),IFERROR(COUNTIFS(INDIRECT("'"&amp;$A51&amp;"'!$B$2:$B$501"),$T51,INDIRECT("'"&amp;$A51&amp;"'!$A$2:$A$501"),"&gt;="&amp;$I51,INDIRECT("'"&amp;$A51&amp;"'!$A$2:$A$501"),"&lt;"&amp;($BA51+1)),0)))</f>
        <v>8</v>
      </c>
      <c r="AM51" s="30" t="n">
        <f aca="true">IF(OR($A51="",$I51=""),"",IF($BC51="Y",SUMIFS(survey_frozen!$D$2:$D$251,survey_frozen!$P$2:$P$251,$A51&amp;"|"&amp;$B51),IFERROR(COUNTIFS(INDIRECT("'"&amp;$A51&amp;"'!$B$2:$B$501"),$T51,INDIRECT("'"&amp;$A51&amp;"'!$A$2:$A$501"),"&gt;="&amp;$I51,INDIRECT("'"&amp;$A51&amp;"'!$A$2:$A$501"),"&lt;"&amp;($BA51+1),INDIRECT("'"&amp;$A51&amp;"'!$C$2:$C$501"),"Yes"),0)))</f>
        <v>7</v>
      </c>
      <c r="AN51" s="30" t="n">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9</v>
      </c>
      <c r="AO51" s="30" t="n">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12</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1</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7</v>
      </c>
      <c r="AU51" s="30" t="n">
        <f aca="true">IF(OR($A51="",$I51=""),"",IF($BC51="Y",SUMIFS(survey_frozen!$I$2:$I$251,survey_frozen!$P$2:$P$251,$A51&amp;"|"&amp;$B51),IFERROR(SUMIFS(INDIRECT("'"&amp;$A51&amp;"'!$D$2:$D$501"),INDIRECT("'"&amp;$A51&amp;"'!$B$2:$B$501"),$T51,INDIRECT("'"&amp;$A51&amp;"'!$A$2:$A$501"),"&gt;="&amp;$I51,INDIRECT("'"&amp;$A51&amp;"'!$A$2:$A$501"),"&lt;"&amp;($BA51+1)),0)))</f>
        <v>31</v>
      </c>
      <c r="AV51" s="30" t="n">
        <f aca="true">IF(OR($A51="",$I51=""),"",IF($BC51="Y",SUMIFS(survey_frozen!$J$2:$J$251,survey_frozen!$P$2:$P$251,$A51&amp;"|"&amp;$B51),IFERROR(COUNTIFS(INDIRECT("'"&amp;$A51&amp;"'!$B$2:$B$501"),$T51,INDIRECT("'"&amp;$A51&amp;"'!$A$2:$A$501"),"&gt;="&amp;$I51,INDIRECT("'"&amp;$A51&amp;"'!$A$2:$A$501"),"&lt;"&amp;($BA51+1),INDIRECT("'"&amp;$A51&amp;"'!$E$2:$E$501"),"Yes"),0)))</f>
        <v>1</v>
      </c>
      <c r="AW51" s="30" t="n">
        <f aca="true">IF(OR($A51="",$I51=""),"",IF($BC51="Y",SUMIFS(survey_frozen!$K$2:$K$251,survey_frozen!$P$2:$P$251,$A51&amp;"|"&amp;$B51),IFERROR(COUNTIFS(INDIRECT("'"&amp;$A51&amp;"'!$B$2:$B$501"),$T51,INDIRECT("'"&amp;$A51&amp;"'!$A$2:$A$501"),"&gt;="&amp;$I51,INDIRECT("'"&amp;$A51&amp;"'!$A$2:$A$501"),"&lt;"&amp;($BA51+1),INDIRECT("'"&amp;$A51&amp;"'!$E$2:$E$501"),"Maybe"),0)))</f>
        <v>4</v>
      </c>
      <c r="AX51" s="30" t="n">
        <f aca="true">IF(OR($A51="",$I51=""),"",IF($BC51="Y",SUMIFS(survey_frozen!$L$2:$L$251,survey_frozen!$P$2:$P$251,$A51&amp;"|"&amp;$B51),IFERROR(COUNTIFS(INDIRECT("'"&amp;$A51&amp;"'!$B$2:$B$501"),$T51,INDIRECT("'"&amp;$A51&amp;"'!$A$2:$A$501"),"&gt;="&amp;$I51,INDIRECT("'"&amp;$A51&amp;"'!$A$2:$A$501"),"&lt;"&amp;($BA51+1),INDIRECT("'"&amp;$A51&amp;"'!$E$2:$E$501"),"No"),0)))</f>
        <v>2</v>
      </c>
      <c r="AY51" s="30" t="n">
        <f aca="true">IF(OR($A51="",$I51=""),"",IF($BC51="Y",SUMIFS(survey_frozen!$M$2:$M$251,survey_frozen!$P$2:$P$251,$A51&amp;"|"&amp;$B51),IFERROR(COUNTIFS(INDIRECT("'"&amp;$A51&amp;"'!$B$2:$B$501"),$T51,INDIRECT("'"&amp;$A51&amp;"'!$A$2:$A$501"),"&gt;="&amp;$I51,INDIRECT("'"&amp;$A51&amp;"'!$A$2:$A$501"),"&lt;"&amp;($BA51+1),INDIRECT("'"&amp;$A51&amp;"'!$G$2:$G$501"),"&lt;&gt;"),0)))</f>
        <v>4</v>
      </c>
      <c r="AZ51" s="30" t="str">
        <f aca="false">IF($A51="","",$A51&amp;"|"&amp;$L51)</f>
        <v>SAMPLE-CMP-006|9</v>
      </c>
      <c r="BA51" s="31" t="n">
        <f aca="false">IF($A51="","",IFERROR(IF(INDEX(drops!$R$2:$R$21,MATCH($H51,drops!$A$2:$A$21,0))="","",INDEX(drops!$R$2:$R$21,MATCH($H51,drops!$A$2:$A$21,0))),""))</f>
        <v>46447</v>
      </c>
      <c r="BB51" s="30" t="n">
        <f aca="false">IF(OR($A51="",$Q51&lt;&gt;"Y"),1000000,N($AL51))</f>
        <v>8</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A52" s="0" t="s">
        <v>576</v>
      </c>
      <c r="B52" s="0" t="s">
        <v>668</v>
      </c>
      <c r="C52" s="11" t="n">
        <v>46442</v>
      </c>
      <c r="D52" s="10"/>
      <c r="E52" s="11"/>
      <c r="H52" s="30" t="str">
        <f aca="false">IF($A52="","",IFERROR(IF(INDEX(campaigns!$B$2:$B$51,MATCH($A52,campaigns!$A$2:$A$51,0))="","",INDEX(campaigns!$B$2:$B$51,MATCH($A52,campaigns!$A$2:$A$51,0))),""))</f>
        <v>SAMPLE-DRP-004</v>
      </c>
      <c r="I52" s="31" t="n">
        <f aca="false">IF($A52="","",IFERROR(IF(INDEX(campaigns!$BG$2:$BG$51,MATCH($A52,campaigns!$A$2:$A$51,0))="","",INDEX(campaigns!$BG$2:$BG$51,MATCH($A52,campaigns!$A$2:$A$51,0))),""))</f>
        <v>46469</v>
      </c>
      <c r="J52" s="30" t="str">
        <f aca="false">IF($A52="","",IFERROR(IF(INDEX(campaigns!$BE$2:$BE$51,MATCH($A52,campaigns!$A$2:$A$51,0))="","",INDEX(campaigns!$BE$2:$BE$51,MATCH($A52,campaigns!$A$2:$A$51,0))),""))</f>
        <v>SAMPLE Brightside</v>
      </c>
      <c r="K52" s="30" t="str">
        <f aca="false">IF($B52="","",IFERROR(IF(INDEX(offices!$O$2:$O$61,MATCH($B52,offices!$A$2:$A$61,0))="","",INDEX(offices!$O$2:$O$61,MATCH($B52,offices!$A$2:$A$61,0))),""))</f>
        <v>SAMPLE Northpoint Software</v>
      </c>
      <c r="L52" s="30" t="n">
        <f aca="false">IF($A52="","",IF($Q52="N","",COUNTIFS($A$2:$A52,$A52,$Q$2:$Q52,"&lt;&gt;N")))</f>
        <v>1</v>
      </c>
      <c r="M52" s="30" t="str">
        <f aca="false">IF(OR($A52="",$L52=""),"",IF(AND(config!$B$34="names_if_public",IFERROR(IF(INDEX(offices!$AG$2:$AG$61,MATCH($B52,offices!$A$2:$A$61,0))="","",INDEX(offices!$AG$2:$AG$61,MATCH($B52,offices!$A$2:$A$61,0))),"")="Y"),$K52,CHAR(64+$L52)))</f>
        <v>A</v>
      </c>
      <c r="N52" s="30" t="n">
        <f aca="false">IF(OR($A52="",$I52=""),"",COUNTIFS(stops!$B$2:$B$151,$B52,stops!$P$2:$P$151,"&lt;"&amp;$I52,stops!$L$2:$L$151,"&lt;&gt;not_delivered")+1)</f>
        <v>4</v>
      </c>
      <c r="O52" s="30" t="str">
        <f aca="false">IF($A52="","",IF(N($N52)&lt;=config!$B$29,"explicit","opt-out"))</f>
        <v>opt-out</v>
      </c>
      <c r="P52" s="30" t="str">
        <f aca="false">IF($A52="","",IF($O52="explicit",IF($D52="yes","Y",IF($D52="no","N","pending")),IF($D52="no","N",IF(AND($C52&lt;&gt;"",$I52&lt;&gt;"",$C52&lt;=WORKDAY(N($I52),-5,calendar!$A$2:$A$80)),"Y","pending"))))</f>
        <v>Y</v>
      </c>
      <c r="Q52" s="30" t="str">
        <f aca="false">IF($A52="","",IF($P52="N","N",IF($P52&lt;&gt;"Y","pending",IF(AND((COUNTIFS(stops!$A$2:$A$151,$H52,stops!$B$2:$B$151,$B52,stops!$L$2:$L$151,"declined")+COUNTIFS(stops!$A$2:$A$151,$H52,stops!$B$2:$B$151,$B52,stops!$L$2:$L$151,"building_refused")+COUNTIFS(stops!$A$2:$A$151,$H52,stops!$B$2:$B$151,$B52,stops!$L$2:$L$151,"not_delivered"))&gt;0,N($U52)=0),"N","Y"))))</f>
        <v>Y</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n">
        <f aca="false">IF($A52="","",IF($G52&lt;&gt;"",$G52,IFERROR(IF(INDEX(offices!$AM$2:$AM$61,MATCH($B52,offices!$A$2:$A$61,0))="","",INDEX(offices!$AM$2:$AM$61,MATCH($B52,offices!$A$2:$A$61,0))),"")))</f>
        <v>40</v>
      </c>
      <c r="T52" s="30" t="str">
        <f aca="false">IF($A52="","",$A52&amp;"."&amp;$B52)</f>
        <v>SAMPLE-CMP-007.SAMPLE-O-001</v>
      </c>
      <c r="U52" s="30" t="n">
        <f aca="false">IF($A52="","",SUMIFS(inventory!$G$2:$G$801,inventory!$C$2:$C$801,$A52,inventory!$D$2:$D$801,$B52,inventory!$E$2:$E$801,"delivered"))</f>
        <v>0</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n">
        <f aca="false">IF($A52="","",IF($Y52="",0,N($Z52)))</f>
        <v>0</v>
      </c>
      <c r="AB52" s="30" t="str">
        <f aca="false">IF($A52="","",IF(OR($Y52="",$I52=""),"N",IF($Y52&lt;=WORKDAY(N($I52),1,calendar!$A$2:$A$80),"Y","N")))</f>
        <v>N</v>
      </c>
      <c r="AC52" s="33" t="str">
        <f aca="false">IF(OR($A52="",$V52="",$Y52=""),"",ROUND(($Y52+N(IFERROR(IF(INDEX(photos!$F$2:$F$701,MATCH($A52&amp;"|"&amp;$B52&amp;"|placement|Y",photos!$R$2:$R$701,0))="","",INDEX(photos!$F$2:$F$701,MATCH($A52&amp;"|"&amp;$B52&amp;"|placement|Y",photos!$R$2:$R$701,0))),""))-$V52)*24,1))</f>
        <v/>
      </c>
      <c r="AD52" s="30" t="n">
        <f aca="false">IF($A52="","",SUMIFS(inventory!$G$2:$G$801,inventory!$C$2:$C$801,$A52,inventory!$D$2:$D$801,$B52,inventory!$E$2:$E$801,"topped_up"))</f>
        <v>0</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N</v>
      </c>
      <c r="AL52" s="30" t="n">
        <f aca="true">IF(OR($A52="",$I52=""),"",IF($BC52="Y",SUMIFS(survey_frozen!$C$2:$C$251,survey_frozen!$P$2:$P$251,$A52&amp;"|"&amp;$B52),IFERROR(COUNTIFS(INDIRECT("'"&amp;$A52&amp;"'!$B$2:$B$501"),$T52,INDIRECT("'"&amp;$A52&amp;"'!$A$2:$A$501"),"&gt;="&amp;$I52,INDIRECT("'"&amp;$A52&amp;"'!$A$2:$A$501"),"&lt;"&amp;($BA52+1)),0)))</f>
        <v>0</v>
      </c>
      <c r="AM52" s="30" t="n">
        <f aca="true">IF(OR($A52="",$I52=""),"",IF($BC52="Y",SUMIFS(survey_frozen!$D$2:$D$251,survey_frozen!$P$2:$P$251,$A52&amp;"|"&amp;$B52),IFERROR(COUNTIFS(INDIRECT("'"&amp;$A52&amp;"'!$B$2:$B$501"),$T52,INDIRECT("'"&amp;$A52&amp;"'!$A$2:$A$501"),"&gt;="&amp;$I52,INDIRECT("'"&amp;$A52&amp;"'!$A$2:$A$501"),"&lt;"&amp;($BA52+1),INDIRECT("'"&amp;$A52&amp;"'!$C$2:$C$501"),"Yes"),0)))</f>
        <v>0</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n">
        <f aca="true">IF(OR($A52="",$I52=""),"",IF($BC52="Y",SUMIFS(survey_frozen!$E$2:$E$251,survey_frozen!$P$2:$P$251,$A52&amp;"|"&amp;$B52),IFERROR(COUNTIFS(INDIRECT("'"&amp;$A52&amp;"'!$B$2:$B$501"),$T52,INDIRECT("'"&amp;$A52&amp;"'!$A$2:$A$501"),"&gt;="&amp;$I52,INDIRECT("'"&amp;$A52&amp;"'!$A$2:$A$501"),"&lt;"&amp;($BA52+1),INDIRECT("'"&amp;$A52&amp;"'!$F$2:$F$501"),"Didn't see it"),0)))</f>
        <v>0</v>
      </c>
      <c r="AR52" s="30" t="n">
        <f aca="true">IF(OR($A52="",$I52=""),"",IF($BC52="Y",SUMIFS(survey_frozen!$F$2:$F$251,survey_frozen!$P$2:$P$251,$A52&amp;"|"&amp;$B52),IFERROR(COUNTIFS(INDIRECT("'"&amp;$A52&amp;"'!$B$2:$B$501"),$T52,INDIRECT("'"&amp;$A52&amp;"'!$A$2:$A$501"),"&gt;="&amp;$I52,INDIRECT("'"&amp;$A52&amp;"'!$A$2:$A$501"),"&lt;"&amp;($BA52+1),INDIRECT("'"&amp;$A52&amp;"'!$F$2:$F$501"),"Not for me"),0)))</f>
        <v>0</v>
      </c>
      <c r="AS52" s="30" t="n">
        <f aca="true">IF(OR($A52="",$I52=""),"",IF($BC52="Y",SUMIFS(survey_frozen!$G$2:$G$251,survey_frozen!$P$2:$P$251,$A52&amp;"|"&amp;$B52),IFERROR(COUNTIFS(INDIRECT("'"&amp;$A52&amp;"'!$B$2:$B$501"),$T52,INDIRECT("'"&amp;$A52&amp;"'!$A$2:$A$501"),"&gt;="&amp;$I52,INDIRECT("'"&amp;$A52&amp;"'!$A$2:$A$501"),"&lt;"&amp;($BA52+1),INDIRECT("'"&amp;$A52&amp;"'!$F$2:$F$501"),"Gone by the time I looked"),0)))</f>
        <v>0</v>
      </c>
      <c r="AT52" s="30" t="n">
        <f aca="true">IF(OR($A52="",$I52=""),"",IF($BC52="Y",SUMIFS(survey_frozen!$H$2:$H$251,survey_frozen!$P$2:$P$251,$A52&amp;"|"&amp;$B52),IFERROR(COUNTIFS(INDIRECT("'"&amp;$A52&amp;"'!$B$2:$B$501"),$T52,INDIRECT("'"&amp;$A52&amp;"'!$A$2:$A$501"),"&gt;="&amp;$I52,INDIRECT("'"&amp;$A52&amp;"'!$A$2:$A$501"),"&lt;"&amp;($BA52+1),INDIRECT("'"&amp;$A52&amp;"'!$D$2:$D$501"),"&gt;=1"),0)))</f>
        <v>0</v>
      </c>
      <c r="AU52" s="30" t="n">
        <f aca="true">IF(OR($A52="",$I52=""),"",IF($BC52="Y",SUMIFS(survey_frozen!$I$2:$I$251,survey_frozen!$P$2:$P$251,$A52&amp;"|"&amp;$B52),IFERROR(SUMIFS(INDIRECT("'"&amp;$A52&amp;"'!$D$2:$D$501"),INDIRECT("'"&amp;$A52&amp;"'!$B$2:$B$501"),$T52,INDIRECT("'"&amp;$A52&amp;"'!$A$2:$A$501"),"&gt;="&amp;$I52,INDIRECT("'"&amp;$A52&amp;"'!$A$2:$A$501"),"&lt;"&amp;($BA52+1)),0)))</f>
        <v>0</v>
      </c>
      <c r="AV52" s="30" t="n">
        <f aca="true">IF(OR($A52="",$I52=""),"",IF($BC52="Y",SUMIFS(survey_frozen!$J$2:$J$251,survey_frozen!$P$2:$P$251,$A52&amp;"|"&amp;$B52),IFERROR(COUNTIFS(INDIRECT("'"&amp;$A52&amp;"'!$B$2:$B$501"),$T52,INDIRECT("'"&amp;$A52&amp;"'!$A$2:$A$501"),"&gt;="&amp;$I52,INDIRECT("'"&amp;$A52&amp;"'!$A$2:$A$501"),"&lt;"&amp;($BA52+1),INDIRECT("'"&amp;$A52&amp;"'!$E$2:$E$501"),"Yes"),0)))</f>
        <v>0</v>
      </c>
      <c r="AW52" s="30" t="n">
        <f aca="true">IF(OR($A52="",$I52=""),"",IF($BC52="Y",SUMIFS(survey_frozen!$K$2:$K$251,survey_frozen!$P$2:$P$251,$A52&amp;"|"&amp;$B52),IFERROR(COUNTIFS(INDIRECT("'"&amp;$A52&amp;"'!$B$2:$B$501"),$T52,INDIRECT("'"&amp;$A52&amp;"'!$A$2:$A$501"),"&gt;="&amp;$I52,INDIRECT("'"&amp;$A52&amp;"'!$A$2:$A$501"),"&lt;"&amp;($BA52+1),INDIRECT("'"&amp;$A52&amp;"'!$E$2:$E$501"),"Maybe"),0)))</f>
        <v>0</v>
      </c>
      <c r="AX52" s="30" t="n">
        <f aca="true">IF(OR($A52="",$I52=""),"",IF($BC52="Y",SUMIFS(survey_frozen!$L$2:$L$251,survey_frozen!$P$2:$P$251,$A52&amp;"|"&amp;$B52),IFERROR(COUNTIFS(INDIRECT("'"&amp;$A52&amp;"'!$B$2:$B$501"),$T52,INDIRECT("'"&amp;$A52&amp;"'!$A$2:$A$501"),"&gt;="&amp;$I52,INDIRECT("'"&amp;$A52&amp;"'!$A$2:$A$501"),"&lt;"&amp;($BA52+1),INDIRECT("'"&amp;$A52&amp;"'!$E$2:$E$501"),"No"),0)))</f>
        <v>0</v>
      </c>
      <c r="AY52" s="30" t="n">
        <f aca="true">IF(OR($A52="",$I52=""),"",IF($BC52="Y",SUMIFS(survey_frozen!$M$2:$M$251,survey_frozen!$P$2:$P$251,$A52&amp;"|"&amp;$B52),IFERROR(COUNTIFS(INDIRECT("'"&amp;$A52&amp;"'!$B$2:$B$501"),$T52,INDIRECT("'"&amp;$A52&amp;"'!$A$2:$A$501"),"&gt;="&amp;$I52,INDIRECT("'"&amp;$A52&amp;"'!$A$2:$A$501"),"&lt;"&amp;($BA52+1),INDIRECT("'"&amp;$A52&amp;"'!$G$2:$G$501"),"&lt;&gt;"),0)))</f>
        <v>0</v>
      </c>
      <c r="AZ52" s="30" t="str">
        <f aca="false">IF($A52="","",$A52&amp;"|"&amp;$L52)</f>
        <v>SAMPLE-CMP-007|1</v>
      </c>
      <c r="BA52" s="31" t="n">
        <f aca="false">IF($A52="","",IFERROR(IF(INDEX(drops!$R$2:$R$21,MATCH($H52,drops!$A$2:$A$21,0))="","",INDEX(drops!$R$2:$R$21,MATCH($H52,drops!$A$2:$A$21,0))),""))</f>
        <v>46475</v>
      </c>
      <c r="BB52" s="30" t="n">
        <f aca="false">IF(OR($A52="",$Q52&lt;&gt;"Y"),1000000,N($AL52))</f>
        <v>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A53" s="0" t="s">
        <v>576</v>
      </c>
      <c r="B53" s="0" t="s">
        <v>671</v>
      </c>
      <c r="C53" s="11" t="n">
        <v>46442</v>
      </c>
      <c r="D53" s="10"/>
      <c r="E53" s="11"/>
      <c r="H53" s="30" t="str">
        <f aca="false">IF($A53="","",IFERROR(IF(INDEX(campaigns!$B$2:$B$51,MATCH($A53,campaigns!$A$2:$A$51,0))="","",INDEX(campaigns!$B$2:$B$51,MATCH($A53,campaigns!$A$2:$A$51,0))),""))</f>
        <v>SAMPLE-DRP-004</v>
      </c>
      <c r="I53" s="31" t="n">
        <f aca="false">IF($A53="","",IFERROR(IF(INDEX(campaigns!$BG$2:$BG$51,MATCH($A53,campaigns!$A$2:$A$51,0))="","",INDEX(campaigns!$BG$2:$BG$51,MATCH($A53,campaigns!$A$2:$A$51,0))),""))</f>
        <v>46469</v>
      </c>
      <c r="J53" s="30" t="str">
        <f aca="false">IF($A53="","",IFERROR(IF(INDEX(campaigns!$BE$2:$BE$51,MATCH($A53,campaigns!$A$2:$A$51,0))="","",INDEX(campaigns!$BE$2:$BE$51,MATCH($A53,campaigns!$A$2:$A$51,0))),""))</f>
        <v>SAMPLE Brightside</v>
      </c>
      <c r="K53" s="30" t="str">
        <f aca="false">IF($B53="","",IFERROR(IF(INDEX(offices!$O$2:$O$61,MATCH($B53,offices!$A$2:$A$61,0))="","",INDEX(offices!$O$2:$O$61,MATCH($B53,offices!$A$2:$A$61,0))),""))</f>
        <v>SAMPLE Ferro Architecture</v>
      </c>
      <c r="L53" s="30" t="n">
        <f aca="false">IF($A53="","",IF($Q53="N","",COUNTIFS($A$2:$A53,$A53,$Q$2:$Q53,"&lt;&gt;N")))</f>
        <v>2</v>
      </c>
      <c r="M53" s="30" t="str">
        <f aca="false">IF(OR($A53="",$L53=""),"",IF(AND(config!$B$34="names_if_public",IFERROR(IF(INDEX(offices!$AG$2:$AG$61,MATCH($B53,offices!$A$2:$A$61,0))="","",INDEX(offices!$AG$2:$AG$61,MATCH($B53,offices!$A$2:$A$61,0))),"")="Y"),$K53,CHAR(64+$L53)))</f>
        <v>B</v>
      </c>
      <c r="N53" s="30" t="n">
        <f aca="false">IF(OR($A53="",$I53=""),"",COUNTIFS(stops!$B$2:$B$151,$B53,stops!$P$2:$P$151,"&lt;"&amp;$I53,stops!$L$2:$L$151,"&lt;&gt;not_delivered")+1)</f>
        <v>4</v>
      </c>
      <c r="O53" s="30" t="str">
        <f aca="false">IF($A53="","",IF(N($N53)&lt;=config!$B$29,"explicit","opt-out"))</f>
        <v>opt-out</v>
      </c>
      <c r="P53" s="30" t="str">
        <f aca="false">IF($A53="","",IF($O53="explicit",IF($D53="yes","Y",IF($D53="no","N","pending")),IF($D53="no","N",IF(AND($C53&lt;&gt;"",$I53&lt;&gt;"",$C53&lt;=WORKDAY(N($I53),-5,calendar!$A$2:$A$80)),"Y","pending"))))</f>
        <v>Y</v>
      </c>
      <c r="Q53" s="30" t="str">
        <f aca="false">IF($A53="","",IF($P53="N","N",IF($P53&lt;&gt;"Y","pending",IF(AND((COUNTIFS(stops!$A$2:$A$151,$H53,stops!$B$2:$B$151,$B53,stops!$L$2:$L$151,"declined")+COUNTIFS(stops!$A$2:$A$151,$H53,stops!$B$2:$B$151,$B53,stops!$L$2:$L$151,"building_refused")+COUNTIFS(stops!$A$2:$A$151,$H53,stops!$B$2:$B$151,$B53,stops!$L$2:$L$151,"not_delivered"))&gt;0,N($U53)=0),"N","Y"))))</f>
        <v>Y</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n">
        <f aca="false">IF($A53="","",IF($G53&lt;&gt;"",$G53,IFERROR(IF(INDEX(offices!$AM$2:$AM$61,MATCH($B53,offices!$A$2:$A$61,0))="","",INDEX(offices!$AM$2:$AM$61,MATCH($B53,offices!$A$2:$A$61,0))),"")))</f>
        <v>40</v>
      </c>
      <c r="T53" s="30" t="str">
        <f aca="false">IF($A53="","",$A53&amp;"."&amp;$B53)</f>
        <v>SAMPLE-CMP-007.SAMPLE-O-002</v>
      </c>
      <c r="U53" s="30" t="n">
        <f aca="false">IF($A53="","",SUMIFS(inventory!$G$2:$G$801,inventory!$C$2:$C$801,$A53,inventory!$D$2:$D$801,$B53,inventory!$E$2:$E$801,"delivered"))</f>
        <v>0</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n">
        <f aca="false">IF($A53="","",IF($Y53="",0,N($Z53)))</f>
        <v>0</v>
      </c>
      <c r="AB53" s="30" t="str">
        <f aca="false">IF($A53="","",IF(OR($Y53="",$I53=""),"N",IF($Y53&lt;=WORKDAY(N($I53),1,calendar!$A$2:$A$80),"Y","N")))</f>
        <v>N</v>
      </c>
      <c r="AC53" s="33" t="str">
        <f aca="false">IF(OR($A53="",$V53="",$Y53=""),"",ROUND(($Y53+N(IFERROR(IF(INDEX(photos!$F$2:$F$701,MATCH($A53&amp;"|"&amp;$B53&amp;"|placement|Y",photos!$R$2:$R$701,0))="","",INDEX(photos!$F$2:$F$701,MATCH($A53&amp;"|"&amp;$B53&amp;"|placement|Y",photos!$R$2:$R$701,0))),""))-$V53)*24,1))</f>
        <v/>
      </c>
      <c r="AD53" s="30" t="n">
        <f aca="false">IF($A53="","",SUMIFS(inventory!$G$2:$G$801,inventory!$C$2:$C$801,$A53,inventory!$D$2:$D$801,$B53,inventory!$E$2:$E$801,"topped_up"))</f>
        <v>0</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N</v>
      </c>
      <c r="AL53" s="30" t="n">
        <f aca="true">IF(OR($A53="",$I53=""),"",IF($BC53="Y",SUMIFS(survey_frozen!$C$2:$C$251,survey_frozen!$P$2:$P$251,$A53&amp;"|"&amp;$B53),IFERROR(COUNTIFS(INDIRECT("'"&amp;$A53&amp;"'!$B$2:$B$501"),$T53,INDIRECT("'"&amp;$A53&amp;"'!$A$2:$A$501"),"&gt;="&amp;$I53,INDIRECT("'"&amp;$A53&amp;"'!$A$2:$A$501"),"&lt;"&amp;($BA53+1)),0)))</f>
        <v>0</v>
      </c>
      <c r="AM53" s="30" t="n">
        <f aca="true">IF(OR($A53="",$I53=""),"",IF($BC53="Y",SUMIFS(survey_frozen!$D$2:$D$251,survey_frozen!$P$2:$P$251,$A53&amp;"|"&amp;$B53),IFERROR(COUNTIFS(INDIRECT("'"&amp;$A53&amp;"'!$B$2:$B$501"),$T53,INDIRECT("'"&amp;$A53&amp;"'!$A$2:$A$501"),"&gt;="&amp;$I53,INDIRECT("'"&amp;$A53&amp;"'!$A$2:$A$501"),"&lt;"&amp;($BA53+1),INDIRECT("'"&amp;$A53&amp;"'!$C$2:$C$501"),"Yes"),0)))</f>
        <v>0</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n">
        <f aca="true">IF(OR($A53="",$I53=""),"",IF($BC53="Y",SUMIFS(survey_frozen!$E$2:$E$251,survey_frozen!$P$2:$P$251,$A53&amp;"|"&amp;$B53),IFERROR(COUNTIFS(INDIRECT("'"&amp;$A53&amp;"'!$B$2:$B$501"),$T53,INDIRECT("'"&amp;$A53&amp;"'!$A$2:$A$501"),"&gt;="&amp;$I53,INDIRECT("'"&amp;$A53&amp;"'!$A$2:$A$501"),"&lt;"&amp;($BA53+1),INDIRECT("'"&amp;$A53&amp;"'!$F$2:$F$501"),"Didn't see it"),0)))</f>
        <v>0</v>
      </c>
      <c r="AR53" s="30" t="n">
        <f aca="true">IF(OR($A53="",$I53=""),"",IF($BC53="Y",SUMIFS(survey_frozen!$F$2:$F$251,survey_frozen!$P$2:$P$251,$A53&amp;"|"&amp;$B53),IFERROR(COUNTIFS(INDIRECT("'"&amp;$A53&amp;"'!$B$2:$B$501"),$T53,INDIRECT("'"&amp;$A53&amp;"'!$A$2:$A$501"),"&gt;="&amp;$I53,INDIRECT("'"&amp;$A53&amp;"'!$A$2:$A$501"),"&lt;"&amp;($BA53+1),INDIRECT("'"&amp;$A53&amp;"'!$F$2:$F$501"),"Not for me"),0)))</f>
        <v>0</v>
      </c>
      <c r="AS53" s="30" t="n">
        <f aca="true">IF(OR($A53="",$I53=""),"",IF($BC53="Y",SUMIFS(survey_frozen!$G$2:$G$251,survey_frozen!$P$2:$P$251,$A53&amp;"|"&amp;$B53),IFERROR(COUNTIFS(INDIRECT("'"&amp;$A53&amp;"'!$B$2:$B$501"),$T53,INDIRECT("'"&amp;$A53&amp;"'!$A$2:$A$501"),"&gt;="&amp;$I53,INDIRECT("'"&amp;$A53&amp;"'!$A$2:$A$501"),"&lt;"&amp;($BA53+1),INDIRECT("'"&amp;$A53&amp;"'!$F$2:$F$501"),"Gone by the time I looked"),0)))</f>
        <v>0</v>
      </c>
      <c r="AT53" s="30" t="n">
        <f aca="true">IF(OR($A53="",$I53=""),"",IF($BC53="Y",SUMIFS(survey_frozen!$H$2:$H$251,survey_frozen!$P$2:$P$251,$A53&amp;"|"&amp;$B53),IFERROR(COUNTIFS(INDIRECT("'"&amp;$A53&amp;"'!$B$2:$B$501"),$T53,INDIRECT("'"&amp;$A53&amp;"'!$A$2:$A$501"),"&gt;="&amp;$I53,INDIRECT("'"&amp;$A53&amp;"'!$A$2:$A$501"),"&lt;"&amp;($BA53+1),INDIRECT("'"&amp;$A53&amp;"'!$D$2:$D$501"),"&gt;=1"),0)))</f>
        <v>0</v>
      </c>
      <c r="AU53" s="30" t="n">
        <f aca="true">IF(OR($A53="",$I53=""),"",IF($BC53="Y",SUMIFS(survey_frozen!$I$2:$I$251,survey_frozen!$P$2:$P$251,$A53&amp;"|"&amp;$B53),IFERROR(SUMIFS(INDIRECT("'"&amp;$A53&amp;"'!$D$2:$D$501"),INDIRECT("'"&amp;$A53&amp;"'!$B$2:$B$501"),$T53,INDIRECT("'"&amp;$A53&amp;"'!$A$2:$A$501"),"&gt;="&amp;$I53,INDIRECT("'"&amp;$A53&amp;"'!$A$2:$A$501"),"&lt;"&amp;($BA53+1)),0)))</f>
        <v>0</v>
      </c>
      <c r="AV53" s="30" t="n">
        <f aca="true">IF(OR($A53="",$I53=""),"",IF($BC53="Y",SUMIFS(survey_frozen!$J$2:$J$251,survey_frozen!$P$2:$P$251,$A53&amp;"|"&amp;$B53),IFERROR(COUNTIFS(INDIRECT("'"&amp;$A53&amp;"'!$B$2:$B$501"),$T53,INDIRECT("'"&amp;$A53&amp;"'!$A$2:$A$501"),"&gt;="&amp;$I53,INDIRECT("'"&amp;$A53&amp;"'!$A$2:$A$501"),"&lt;"&amp;($BA53+1),INDIRECT("'"&amp;$A53&amp;"'!$E$2:$E$501"),"Yes"),0)))</f>
        <v>0</v>
      </c>
      <c r="AW53" s="30" t="n">
        <f aca="true">IF(OR($A53="",$I53=""),"",IF($BC53="Y",SUMIFS(survey_frozen!$K$2:$K$251,survey_frozen!$P$2:$P$251,$A53&amp;"|"&amp;$B53),IFERROR(COUNTIFS(INDIRECT("'"&amp;$A53&amp;"'!$B$2:$B$501"),$T53,INDIRECT("'"&amp;$A53&amp;"'!$A$2:$A$501"),"&gt;="&amp;$I53,INDIRECT("'"&amp;$A53&amp;"'!$A$2:$A$501"),"&lt;"&amp;($BA53+1),INDIRECT("'"&amp;$A53&amp;"'!$E$2:$E$501"),"Maybe"),0)))</f>
        <v>0</v>
      </c>
      <c r="AX53" s="30" t="n">
        <f aca="true">IF(OR($A53="",$I53=""),"",IF($BC53="Y",SUMIFS(survey_frozen!$L$2:$L$251,survey_frozen!$P$2:$P$251,$A53&amp;"|"&amp;$B53),IFERROR(COUNTIFS(INDIRECT("'"&amp;$A53&amp;"'!$B$2:$B$501"),$T53,INDIRECT("'"&amp;$A53&amp;"'!$A$2:$A$501"),"&gt;="&amp;$I53,INDIRECT("'"&amp;$A53&amp;"'!$A$2:$A$501"),"&lt;"&amp;($BA53+1),INDIRECT("'"&amp;$A53&amp;"'!$E$2:$E$501"),"No"),0)))</f>
        <v>0</v>
      </c>
      <c r="AY53" s="30" t="n">
        <f aca="true">IF(OR($A53="",$I53=""),"",IF($BC53="Y",SUMIFS(survey_frozen!$M$2:$M$251,survey_frozen!$P$2:$P$251,$A53&amp;"|"&amp;$B53),IFERROR(COUNTIFS(INDIRECT("'"&amp;$A53&amp;"'!$B$2:$B$501"),$T53,INDIRECT("'"&amp;$A53&amp;"'!$A$2:$A$501"),"&gt;="&amp;$I53,INDIRECT("'"&amp;$A53&amp;"'!$A$2:$A$501"),"&lt;"&amp;($BA53+1),INDIRECT("'"&amp;$A53&amp;"'!$G$2:$G$501"),"&lt;&gt;"),0)))</f>
        <v>0</v>
      </c>
      <c r="AZ53" s="30" t="str">
        <f aca="false">IF($A53="","",$A53&amp;"|"&amp;$L53)</f>
        <v>SAMPLE-CMP-007|2</v>
      </c>
      <c r="BA53" s="31" t="n">
        <f aca="false">IF($A53="","",IFERROR(IF(INDEX(drops!$R$2:$R$21,MATCH($H53,drops!$A$2:$A$21,0))="","",INDEX(drops!$R$2:$R$21,MATCH($H53,drops!$A$2:$A$21,0))),""))</f>
        <v>46475</v>
      </c>
      <c r="BB53" s="30" t="n">
        <f aca="false">IF(OR($A53="",$Q53&lt;&gt;"Y"),1000000,N($AL53))</f>
        <v>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A54" s="0" t="s">
        <v>576</v>
      </c>
      <c r="B54" s="0" t="s">
        <v>673</v>
      </c>
      <c r="C54" s="11" t="n">
        <v>46442</v>
      </c>
      <c r="D54" s="10"/>
      <c r="E54" s="11"/>
      <c r="H54" s="30" t="str">
        <f aca="false">IF($A54="","",IFERROR(IF(INDEX(campaigns!$B$2:$B$51,MATCH($A54,campaigns!$A$2:$A$51,0))="","",INDEX(campaigns!$B$2:$B$51,MATCH($A54,campaigns!$A$2:$A$51,0))),""))</f>
        <v>SAMPLE-DRP-004</v>
      </c>
      <c r="I54" s="31" t="n">
        <f aca="false">IF($A54="","",IFERROR(IF(INDEX(campaigns!$BG$2:$BG$51,MATCH($A54,campaigns!$A$2:$A$51,0))="","",INDEX(campaigns!$BG$2:$BG$51,MATCH($A54,campaigns!$A$2:$A$51,0))),""))</f>
        <v>46469</v>
      </c>
      <c r="J54" s="30" t="str">
        <f aca="false">IF($A54="","",IFERROR(IF(INDEX(campaigns!$BE$2:$BE$51,MATCH($A54,campaigns!$A$2:$A$51,0))="","",INDEX(campaigns!$BE$2:$BE$51,MATCH($A54,campaigns!$A$2:$A$51,0))),""))</f>
        <v>SAMPLE Brightside</v>
      </c>
      <c r="K54" s="30" t="str">
        <f aca="false">IF($B54="","",IFERROR(IF(INDEX(offices!$O$2:$O$61,MATCH($B54,offices!$A$2:$A$61,0))="","",INDEX(offices!$O$2:$O$61,MATCH($B54,offices!$A$2:$A$61,0))),""))</f>
        <v>SAMPLE Halcyon Media</v>
      </c>
      <c r="L54" s="30" t="n">
        <f aca="false">IF($A54="","",IF($Q54="N","",COUNTIFS($A$2:$A54,$A54,$Q$2:$Q54,"&lt;&gt;N")))</f>
        <v>3</v>
      </c>
      <c r="M54" s="30" t="str">
        <f aca="false">IF(OR($A54="",$L54=""),"",IF(AND(config!$B$34="names_if_public",IFERROR(IF(INDEX(offices!$AG$2:$AG$61,MATCH($B54,offices!$A$2:$A$61,0))="","",INDEX(offices!$AG$2:$AG$61,MATCH($B54,offices!$A$2:$A$61,0))),"")="Y"),$K54,CHAR(64+$L54)))</f>
        <v>C</v>
      </c>
      <c r="N54" s="30" t="n">
        <f aca="false">IF(OR($A54="",$I54=""),"",COUNTIFS(stops!$B$2:$B$151,$B54,stops!$P$2:$P$151,"&lt;"&amp;$I54,stops!$L$2:$L$151,"&lt;&gt;not_delivered")+1)</f>
        <v>4</v>
      </c>
      <c r="O54" s="30" t="str">
        <f aca="false">IF($A54="","",IF(N($N54)&lt;=config!$B$29,"explicit","opt-out"))</f>
        <v>opt-out</v>
      </c>
      <c r="P54" s="30" t="str">
        <f aca="false">IF($A54="","",IF($O54="explicit",IF($D54="yes","Y",IF($D54="no","N","pending")),IF($D54="no","N",IF(AND($C54&lt;&gt;"",$I54&lt;&gt;"",$C54&lt;=WORKDAY(N($I54),-5,calendar!$A$2:$A$80)),"Y","pending"))))</f>
        <v>Y</v>
      </c>
      <c r="Q54" s="30" t="str">
        <f aca="false">IF($A54="","",IF($P54="N","N",IF($P54&lt;&gt;"Y","pending",IF(AND((COUNTIFS(stops!$A$2:$A$151,$H54,stops!$B$2:$B$151,$B54,stops!$L$2:$L$151,"declined")+COUNTIFS(stops!$A$2:$A$151,$H54,stops!$B$2:$B$151,$B54,stops!$L$2:$L$151,"building_refused")+COUNTIFS(stops!$A$2:$A$151,$H54,stops!$B$2:$B$151,$B54,stops!$L$2:$L$151,"not_delivered"))&gt;0,N($U54)=0),"N","Y"))))</f>
        <v>Y</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n">
        <f aca="false">IF($A54="","",IF($G54&lt;&gt;"",$G54,IFERROR(IF(INDEX(offices!$AM$2:$AM$61,MATCH($B54,offices!$A$2:$A$61,0))="","",INDEX(offices!$AM$2:$AM$61,MATCH($B54,offices!$A$2:$A$61,0))),"")))</f>
        <v>50</v>
      </c>
      <c r="T54" s="30" t="str">
        <f aca="false">IF($A54="","",$A54&amp;"."&amp;$B54)</f>
        <v>SAMPLE-CMP-007.SAMPLE-O-003</v>
      </c>
      <c r="U54" s="30" t="n">
        <f aca="false">IF($A54="","",SUMIFS(inventory!$G$2:$G$801,inventory!$C$2:$C$801,$A54,inventory!$D$2:$D$801,$B54,inventory!$E$2:$E$801,"delivered"))</f>
        <v>0</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n">
        <f aca="false">IF($A54="","",IF($Y54="",0,N($Z54)))</f>
        <v>0</v>
      </c>
      <c r="AB54" s="30" t="str">
        <f aca="false">IF($A54="","",IF(OR($Y54="",$I54=""),"N",IF($Y54&lt;=WORKDAY(N($I54),1,calendar!$A$2:$A$80),"Y","N")))</f>
        <v>N</v>
      </c>
      <c r="AC54" s="33" t="str">
        <f aca="false">IF(OR($A54="",$V54="",$Y54=""),"",ROUND(($Y54+N(IFERROR(IF(INDEX(photos!$F$2:$F$701,MATCH($A54&amp;"|"&amp;$B54&amp;"|placement|Y",photos!$R$2:$R$701,0))="","",INDEX(photos!$F$2:$F$701,MATCH($A54&amp;"|"&amp;$B54&amp;"|placement|Y",photos!$R$2:$R$701,0))),""))-$V54)*24,1))</f>
        <v/>
      </c>
      <c r="AD54" s="30" t="n">
        <f aca="false">IF($A54="","",SUMIFS(inventory!$G$2:$G$801,inventory!$C$2:$C$801,$A54,inventory!$D$2:$D$801,$B54,inventory!$E$2:$E$801,"topped_up"))</f>
        <v>0</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N</v>
      </c>
      <c r="AL54" s="30" t="n">
        <f aca="true">IF(OR($A54="",$I54=""),"",IF($BC54="Y",SUMIFS(survey_frozen!$C$2:$C$251,survey_frozen!$P$2:$P$251,$A54&amp;"|"&amp;$B54),IFERROR(COUNTIFS(INDIRECT("'"&amp;$A54&amp;"'!$B$2:$B$501"),$T54,INDIRECT("'"&amp;$A54&amp;"'!$A$2:$A$501"),"&gt;="&amp;$I54,INDIRECT("'"&amp;$A54&amp;"'!$A$2:$A$501"),"&lt;"&amp;($BA54+1)),0)))</f>
        <v>0</v>
      </c>
      <c r="AM54" s="30" t="n">
        <f aca="true">IF(OR($A54="",$I54=""),"",IF($BC54="Y",SUMIFS(survey_frozen!$D$2:$D$251,survey_frozen!$P$2:$P$251,$A54&amp;"|"&amp;$B54),IFERROR(COUNTIFS(INDIRECT("'"&amp;$A54&amp;"'!$B$2:$B$501"),$T54,INDIRECT("'"&amp;$A54&amp;"'!$A$2:$A$501"),"&gt;="&amp;$I54,INDIRECT("'"&amp;$A54&amp;"'!$A$2:$A$501"),"&lt;"&amp;($BA54+1),INDIRECT("'"&amp;$A54&amp;"'!$C$2:$C$501"),"Yes"),0)))</f>
        <v>0</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n">
        <f aca="true">IF(OR($A54="",$I54=""),"",IF($BC54="Y",SUMIFS(survey_frozen!$E$2:$E$251,survey_frozen!$P$2:$P$251,$A54&amp;"|"&amp;$B54),IFERROR(COUNTIFS(INDIRECT("'"&amp;$A54&amp;"'!$B$2:$B$501"),$T54,INDIRECT("'"&amp;$A54&amp;"'!$A$2:$A$501"),"&gt;="&amp;$I54,INDIRECT("'"&amp;$A54&amp;"'!$A$2:$A$501"),"&lt;"&amp;($BA54+1),INDIRECT("'"&amp;$A54&amp;"'!$F$2:$F$501"),"Didn't see it"),0)))</f>
        <v>0</v>
      </c>
      <c r="AR54" s="30" t="n">
        <f aca="true">IF(OR($A54="",$I54=""),"",IF($BC54="Y",SUMIFS(survey_frozen!$F$2:$F$251,survey_frozen!$P$2:$P$251,$A54&amp;"|"&amp;$B54),IFERROR(COUNTIFS(INDIRECT("'"&amp;$A54&amp;"'!$B$2:$B$501"),$T54,INDIRECT("'"&amp;$A54&amp;"'!$A$2:$A$501"),"&gt;="&amp;$I54,INDIRECT("'"&amp;$A54&amp;"'!$A$2:$A$501"),"&lt;"&amp;($BA54+1),INDIRECT("'"&amp;$A54&amp;"'!$F$2:$F$501"),"Not for me"),0)))</f>
        <v>0</v>
      </c>
      <c r="AS54" s="30" t="n">
        <f aca="true">IF(OR($A54="",$I54=""),"",IF($BC54="Y",SUMIFS(survey_frozen!$G$2:$G$251,survey_frozen!$P$2:$P$251,$A54&amp;"|"&amp;$B54),IFERROR(COUNTIFS(INDIRECT("'"&amp;$A54&amp;"'!$B$2:$B$501"),$T54,INDIRECT("'"&amp;$A54&amp;"'!$A$2:$A$501"),"&gt;="&amp;$I54,INDIRECT("'"&amp;$A54&amp;"'!$A$2:$A$501"),"&lt;"&amp;($BA54+1),INDIRECT("'"&amp;$A54&amp;"'!$F$2:$F$501"),"Gone by the time I looked"),0)))</f>
        <v>0</v>
      </c>
      <c r="AT54" s="30" t="n">
        <f aca="true">IF(OR($A54="",$I54=""),"",IF($BC54="Y",SUMIFS(survey_frozen!$H$2:$H$251,survey_frozen!$P$2:$P$251,$A54&amp;"|"&amp;$B54),IFERROR(COUNTIFS(INDIRECT("'"&amp;$A54&amp;"'!$B$2:$B$501"),$T54,INDIRECT("'"&amp;$A54&amp;"'!$A$2:$A$501"),"&gt;="&amp;$I54,INDIRECT("'"&amp;$A54&amp;"'!$A$2:$A$501"),"&lt;"&amp;($BA54+1),INDIRECT("'"&amp;$A54&amp;"'!$D$2:$D$501"),"&gt;=1"),0)))</f>
        <v>0</v>
      </c>
      <c r="AU54" s="30" t="n">
        <f aca="true">IF(OR($A54="",$I54=""),"",IF($BC54="Y",SUMIFS(survey_frozen!$I$2:$I$251,survey_frozen!$P$2:$P$251,$A54&amp;"|"&amp;$B54),IFERROR(SUMIFS(INDIRECT("'"&amp;$A54&amp;"'!$D$2:$D$501"),INDIRECT("'"&amp;$A54&amp;"'!$B$2:$B$501"),$T54,INDIRECT("'"&amp;$A54&amp;"'!$A$2:$A$501"),"&gt;="&amp;$I54,INDIRECT("'"&amp;$A54&amp;"'!$A$2:$A$501"),"&lt;"&amp;($BA54+1)),0)))</f>
        <v>0</v>
      </c>
      <c r="AV54" s="30" t="n">
        <f aca="true">IF(OR($A54="",$I54=""),"",IF($BC54="Y",SUMIFS(survey_frozen!$J$2:$J$251,survey_frozen!$P$2:$P$251,$A54&amp;"|"&amp;$B54),IFERROR(COUNTIFS(INDIRECT("'"&amp;$A54&amp;"'!$B$2:$B$501"),$T54,INDIRECT("'"&amp;$A54&amp;"'!$A$2:$A$501"),"&gt;="&amp;$I54,INDIRECT("'"&amp;$A54&amp;"'!$A$2:$A$501"),"&lt;"&amp;($BA54+1),INDIRECT("'"&amp;$A54&amp;"'!$E$2:$E$501"),"Yes"),0)))</f>
        <v>0</v>
      </c>
      <c r="AW54" s="30" t="n">
        <f aca="true">IF(OR($A54="",$I54=""),"",IF($BC54="Y",SUMIFS(survey_frozen!$K$2:$K$251,survey_frozen!$P$2:$P$251,$A54&amp;"|"&amp;$B54),IFERROR(COUNTIFS(INDIRECT("'"&amp;$A54&amp;"'!$B$2:$B$501"),$T54,INDIRECT("'"&amp;$A54&amp;"'!$A$2:$A$501"),"&gt;="&amp;$I54,INDIRECT("'"&amp;$A54&amp;"'!$A$2:$A$501"),"&lt;"&amp;($BA54+1),INDIRECT("'"&amp;$A54&amp;"'!$E$2:$E$501"),"Maybe"),0)))</f>
        <v>0</v>
      </c>
      <c r="AX54" s="30" t="n">
        <f aca="true">IF(OR($A54="",$I54=""),"",IF($BC54="Y",SUMIFS(survey_frozen!$L$2:$L$251,survey_frozen!$P$2:$P$251,$A54&amp;"|"&amp;$B54),IFERROR(COUNTIFS(INDIRECT("'"&amp;$A54&amp;"'!$B$2:$B$501"),$T54,INDIRECT("'"&amp;$A54&amp;"'!$A$2:$A$501"),"&gt;="&amp;$I54,INDIRECT("'"&amp;$A54&amp;"'!$A$2:$A$501"),"&lt;"&amp;($BA54+1),INDIRECT("'"&amp;$A54&amp;"'!$E$2:$E$501"),"No"),0)))</f>
        <v>0</v>
      </c>
      <c r="AY54" s="30" t="n">
        <f aca="true">IF(OR($A54="",$I54=""),"",IF($BC54="Y",SUMIFS(survey_frozen!$M$2:$M$251,survey_frozen!$P$2:$P$251,$A54&amp;"|"&amp;$B54),IFERROR(COUNTIFS(INDIRECT("'"&amp;$A54&amp;"'!$B$2:$B$501"),$T54,INDIRECT("'"&amp;$A54&amp;"'!$A$2:$A$501"),"&gt;="&amp;$I54,INDIRECT("'"&amp;$A54&amp;"'!$A$2:$A$501"),"&lt;"&amp;($BA54+1),INDIRECT("'"&amp;$A54&amp;"'!$G$2:$G$501"),"&lt;&gt;"),0)))</f>
        <v>0</v>
      </c>
      <c r="AZ54" s="30" t="str">
        <f aca="false">IF($A54="","",$A54&amp;"|"&amp;$L54)</f>
        <v>SAMPLE-CMP-007|3</v>
      </c>
      <c r="BA54" s="31" t="n">
        <f aca="false">IF($A54="","",IFERROR(IF(INDEX(drops!$R$2:$R$21,MATCH($H54,drops!$A$2:$A$21,0))="","",INDEX(drops!$R$2:$R$21,MATCH($H54,drops!$A$2:$A$21,0))),""))</f>
        <v>46475</v>
      </c>
      <c r="BB54" s="30" t="n">
        <f aca="false">IF(OR($A54="",$Q54&lt;&gt;"Y"),1000000,N($AL54))</f>
        <v>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A55" s="0" t="s">
        <v>576</v>
      </c>
      <c r="B55" s="0" t="s">
        <v>676</v>
      </c>
      <c r="C55" s="11" t="n">
        <v>46442</v>
      </c>
      <c r="D55" s="10"/>
      <c r="E55" s="11"/>
      <c r="H55" s="30" t="str">
        <f aca="false">IF($A55="","",IFERROR(IF(INDEX(campaigns!$B$2:$B$51,MATCH($A55,campaigns!$A$2:$A$51,0))="","",INDEX(campaigns!$B$2:$B$51,MATCH($A55,campaigns!$A$2:$A$51,0))),""))</f>
        <v>SAMPLE-DRP-004</v>
      </c>
      <c r="I55" s="31" t="n">
        <f aca="false">IF($A55="","",IFERROR(IF(INDEX(campaigns!$BG$2:$BG$51,MATCH($A55,campaigns!$A$2:$A$51,0))="","",INDEX(campaigns!$BG$2:$BG$51,MATCH($A55,campaigns!$A$2:$A$51,0))),""))</f>
        <v>46469</v>
      </c>
      <c r="J55" s="30" t="str">
        <f aca="false">IF($A55="","",IFERROR(IF(INDEX(campaigns!$BE$2:$BE$51,MATCH($A55,campaigns!$A$2:$A$51,0))="","",INDEX(campaigns!$BE$2:$BE$51,MATCH($A55,campaigns!$A$2:$A$51,0))),""))</f>
        <v>SAMPLE Brightside</v>
      </c>
      <c r="K55" s="30" t="str">
        <f aca="false">IF($B55="","",IFERROR(IF(INDEX(offices!$O$2:$O$61,MATCH($B55,offices!$A$2:$A$61,0))="","",INDEX(offices!$O$2:$O$61,MATCH($B55,offices!$A$2:$A$61,0))),""))</f>
        <v>SAMPLE Union Food Fund</v>
      </c>
      <c r="L55" s="30" t="n">
        <f aca="false">IF($A55="","",IF($Q55="N","",COUNTIFS($A$2:$A55,$A55,$Q$2:$Q55,"&lt;&gt;N")))</f>
        <v>4</v>
      </c>
      <c r="M55" s="30" t="str">
        <f aca="false">IF(OR($A55="",$L55=""),"",IF(AND(config!$B$34="names_if_public",IFERROR(IF(INDEX(offices!$AG$2:$AG$61,MATCH($B55,offices!$A$2:$A$61,0))="","",INDEX(offices!$AG$2:$AG$61,MATCH($B55,offices!$A$2:$A$61,0))),"")="Y"),$K55,CHAR(64+$L55)))</f>
        <v>D</v>
      </c>
      <c r="N55" s="30" t="n">
        <f aca="false">IF(OR($A55="",$I55=""),"",COUNTIFS(stops!$B$2:$B$151,$B55,stops!$P$2:$P$151,"&lt;"&amp;$I55,stops!$L$2:$L$151,"&lt;&gt;not_delivered")+1)</f>
        <v>4</v>
      </c>
      <c r="O55" s="30" t="str">
        <f aca="false">IF($A55="","",IF(N($N55)&lt;=config!$B$29,"explicit","opt-out"))</f>
        <v>opt-out</v>
      </c>
      <c r="P55" s="30" t="str">
        <f aca="false">IF($A55="","",IF($O55="explicit",IF($D55="yes","Y",IF($D55="no","N","pending")),IF($D55="no","N",IF(AND($C55&lt;&gt;"",$I55&lt;&gt;"",$C55&lt;=WORKDAY(N($I55),-5,calendar!$A$2:$A$80)),"Y","pending"))))</f>
        <v>Y</v>
      </c>
      <c r="Q55" s="30" t="str">
        <f aca="false">IF($A55="","",IF($P55="N","N",IF($P55&lt;&gt;"Y","pending",IF(AND((COUNTIFS(stops!$A$2:$A$151,$H55,stops!$B$2:$B$151,$B55,stops!$L$2:$L$151,"declined")+COUNTIFS(stops!$A$2:$A$151,$H55,stops!$B$2:$B$151,$B55,stops!$L$2:$L$151,"building_refused")+COUNTIFS(stops!$A$2:$A$151,$H55,stops!$B$2:$B$151,$B55,stops!$L$2:$L$151,"not_delivered"))&gt;0,N($U55)=0),"N","Y"))))</f>
        <v>Y</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n">
        <f aca="false">IF($A55="","",IF($G55&lt;&gt;"",$G55,IFERROR(IF(INDEX(offices!$AM$2:$AM$61,MATCH($B55,offices!$A$2:$A$61,0))="","",INDEX(offices!$AM$2:$AM$61,MATCH($B55,offices!$A$2:$A$61,0))),"")))</f>
        <v>50</v>
      </c>
      <c r="T55" s="30" t="str">
        <f aca="false">IF($A55="","",$A55&amp;"."&amp;$B55)</f>
        <v>SAMPLE-CMP-007.SAMPLE-O-004</v>
      </c>
      <c r="U55" s="30" t="n">
        <f aca="false">IF($A55="","",SUMIFS(inventory!$G$2:$G$801,inventory!$C$2:$C$801,$A55,inventory!$D$2:$D$801,$B55,inventory!$E$2:$E$801,"delivered"))</f>
        <v>0</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n">
        <f aca="false">IF($A55="","",IF($Y55="",0,N($Z55)))</f>
        <v>0</v>
      </c>
      <c r="AB55" s="30" t="str">
        <f aca="false">IF($A55="","",IF(OR($Y55="",$I55=""),"N",IF($Y55&lt;=WORKDAY(N($I55),1,calendar!$A$2:$A$80),"Y","N")))</f>
        <v>N</v>
      </c>
      <c r="AC55" s="33" t="str">
        <f aca="false">IF(OR($A55="",$V55="",$Y55=""),"",ROUND(($Y55+N(IFERROR(IF(INDEX(photos!$F$2:$F$701,MATCH($A55&amp;"|"&amp;$B55&amp;"|placement|Y",photos!$R$2:$R$701,0))="","",INDEX(photos!$F$2:$F$701,MATCH($A55&amp;"|"&amp;$B55&amp;"|placement|Y",photos!$R$2:$R$701,0))),""))-$V55)*24,1))</f>
        <v/>
      </c>
      <c r="AD55" s="30" t="n">
        <f aca="false">IF($A55="","",SUMIFS(inventory!$G$2:$G$801,inventory!$C$2:$C$801,$A55,inventory!$D$2:$D$801,$B55,inventory!$E$2:$E$801,"topped_up"))</f>
        <v>0</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N</v>
      </c>
      <c r="AL55" s="30" t="n">
        <f aca="true">IF(OR($A55="",$I55=""),"",IF($BC55="Y",SUMIFS(survey_frozen!$C$2:$C$251,survey_frozen!$P$2:$P$251,$A55&amp;"|"&amp;$B55),IFERROR(COUNTIFS(INDIRECT("'"&amp;$A55&amp;"'!$B$2:$B$501"),$T55,INDIRECT("'"&amp;$A55&amp;"'!$A$2:$A$501"),"&gt;="&amp;$I55,INDIRECT("'"&amp;$A55&amp;"'!$A$2:$A$501"),"&lt;"&amp;($BA55+1)),0)))</f>
        <v>0</v>
      </c>
      <c r="AM55" s="30" t="n">
        <f aca="true">IF(OR($A55="",$I55=""),"",IF($BC55="Y",SUMIFS(survey_frozen!$D$2:$D$251,survey_frozen!$P$2:$P$251,$A55&amp;"|"&amp;$B55),IFERROR(COUNTIFS(INDIRECT("'"&amp;$A55&amp;"'!$B$2:$B$501"),$T55,INDIRECT("'"&amp;$A55&amp;"'!$A$2:$A$501"),"&gt;="&amp;$I55,INDIRECT("'"&amp;$A55&amp;"'!$A$2:$A$501"),"&lt;"&amp;($BA55+1),INDIRECT("'"&amp;$A55&amp;"'!$C$2:$C$501"),"Yes"),0)))</f>
        <v>0</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n">
        <f aca="true">IF(OR($A55="",$I55=""),"",IF($BC55="Y",SUMIFS(survey_frozen!$E$2:$E$251,survey_frozen!$P$2:$P$251,$A55&amp;"|"&amp;$B55),IFERROR(COUNTIFS(INDIRECT("'"&amp;$A55&amp;"'!$B$2:$B$501"),$T55,INDIRECT("'"&amp;$A55&amp;"'!$A$2:$A$501"),"&gt;="&amp;$I55,INDIRECT("'"&amp;$A55&amp;"'!$A$2:$A$501"),"&lt;"&amp;($BA55+1),INDIRECT("'"&amp;$A55&amp;"'!$F$2:$F$501"),"Didn't see it"),0)))</f>
        <v>0</v>
      </c>
      <c r="AR55" s="30" t="n">
        <f aca="true">IF(OR($A55="",$I55=""),"",IF($BC55="Y",SUMIFS(survey_frozen!$F$2:$F$251,survey_frozen!$P$2:$P$251,$A55&amp;"|"&amp;$B55),IFERROR(COUNTIFS(INDIRECT("'"&amp;$A55&amp;"'!$B$2:$B$501"),$T55,INDIRECT("'"&amp;$A55&amp;"'!$A$2:$A$501"),"&gt;="&amp;$I55,INDIRECT("'"&amp;$A55&amp;"'!$A$2:$A$501"),"&lt;"&amp;($BA55+1),INDIRECT("'"&amp;$A55&amp;"'!$F$2:$F$501"),"Not for me"),0)))</f>
        <v>0</v>
      </c>
      <c r="AS55" s="30" t="n">
        <f aca="true">IF(OR($A55="",$I55=""),"",IF($BC55="Y",SUMIFS(survey_frozen!$G$2:$G$251,survey_frozen!$P$2:$P$251,$A55&amp;"|"&amp;$B55),IFERROR(COUNTIFS(INDIRECT("'"&amp;$A55&amp;"'!$B$2:$B$501"),$T55,INDIRECT("'"&amp;$A55&amp;"'!$A$2:$A$501"),"&gt;="&amp;$I55,INDIRECT("'"&amp;$A55&amp;"'!$A$2:$A$501"),"&lt;"&amp;($BA55+1),INDIRECT("'"&amp;$A55&amp;"'!$F$2:$F$501"),"Gone by the time I looked"),0)))</f>
        <v>0</v>
      </c>
      <c r="AT55" s="30" t="n">
        <f aca="true">IF(OR($A55="",$I55=""),"",IF($BC55="Y",SUMIFS(survey_frozen!$H$2:$H$251,survey_frozen!$P$2:$P$251,$A55&amp;"|"&amp;$B55),IFERROR(COUNTIFS(INDIRECT("'"&amp;$A55&amp;"'!$B$2:$B$501"),$T55,INDIRECT("'"&amp;$A55&amp;"'!$A$2:$A$501"),"&gt;="&amp;$I55,INDIRECT("'"&amp;$A55&amp;"'!$A$2:$A$501"),"&lt;"&amp;($BA55+1),INDIRECT("'"&amp;$A55&amp;"'!$D$2:$D$501"),"&gt;=1"),0)))</f>
        <v>0</v>
      </c>
      <c r="AU55" s="30" t="n">
        <f aca="true">IF(OR($A55="",$I55=""),"",IF($BC55="Y",SUMIFS(survey_frozen!$I$2:$I$251,survey_frozen!$P$2:$P$251,$A55&amp;"|"&amp;$B55),IFERROR(SUMIFS(INDIRECT("'"&amp;$A55&amp;"'!$D$2:$D$501"),INDIRECT("'"&amp;$A55&amp;"'!$B$2:$B$501"),$T55,INDIRECT("'"&amp;$A55&amp;"'!$A$2:$A$501"),"&gt;="&amp;$I55,INDIRECT("'"&amp;$A55&amp;"'!$A$2:$A$501"),"&lt;"&amp;($BA55+1)),0)))</f>
        <v>0</v>
      </c>
      <c r="AV55" s="30" t="n">
        <f aca="true">IF(OR($A55="",$I55=""),"",IF($BC55="Y",SUMIFS(survey_frozen!$J$2:$J$251,survey_frozen!$P$2:$P$251,$A55&amp;"|"&amp;$B55),IFERROR(COUNTIFS(INDIRECT("'"&amp;$A55&amp;"'!$B$2:$B$501"),$T55,INDIRECT("'"&amp;$A55&amp;"'!$A$2:$A$501"),"&gt;="&amp;$I55,INDIRECT("'"&amp;$A55&amp;"'!$A$2:$A$501"),"&lt;"&amp;($BA55+1),INDIRECT("'"&amp;$A55&amp;"'!$E$2:$E$501"),"Yes"),0)))</f>
        <v>0</v>
      </c>
      <c r="AW55" s="30" t="n">
        <f aca="true">IF(OR($A55="",$I55=""),"",IF($BC55="Y",SUMIFS(survey_frozen!$K$2:$K$251,survey_frozen!$P$2:$P$251,$A55&amp;"|"&amp;$B55),IFERROR(COUNTIFS(INDIRECT("'"&amp;$A55&amp;"'!$B$2:$B$501"),$T55,INDIRECT("'"&amp;$A55&amp;"'!$A$2:$A$501"),"&gt;="&amp;$I55,INDIRECT("'"&amp;$A55&amp;"'!$A$2:$A$501"),"&lt;"&amp;($BA55+1),INDIRECT("'"&amp;$A55&amp;"'!$E$2:$E$501"),"Maybe"),0)))</f>
        <v>0</v>
      </c>
      <c r="AX55" s="30" t="n">
        <f aca="true">IF(OR($A55="",$I55=""),"",IF($BC55="Y",SUMIFS(survey_frozen!$L$2:$L$251,survey_frozen!$P$2:$P$251,$A55&amp;"|"&amp;$B55),IFERROR(COUNTIFS(INDIRECT("'"&amp;$A55&amp;"'!$B$2:$B$501"),$T55,INDIRECT("'"&amp;$A55&amp;"'!$A$2:$A$501"),"&gt;="&amp;$I55,INDIRECT("'"&amp;$A55&amp;"'!$A$2:$A$501"),"&lt;"&amp;($BA55+1),INDIRECT("'"&amp;$A55&amp;"'!$E$2:$E$501"),"No"),0)))</f>
        <v>0</v>
      </c>
      <c r="AY55" s="30" t="n">
        <f aca="true">IF(OR($A55="",$I55=""),"",IF($BC55="Y",SUMIFS(survey_frozen!$M$2:$M$251,survey_frozen!$P$2:$P$251,$A55&amp;"|"&amp;$B55),IFERROR(COUNTIFS(INDIRECT("'"&amp;$A55&amp;"'!$B$2:$B$501"),$T55,INDIRECT("'"&amp;$A55&amp;"'!$A$2:$A$501"),"&gt;="&amp;$I55,INDIRECT("'"&amp;$A55&amp;"'!$A$2:$A$501"),"&lt;"&amp;($BA55+1),INDIRECT("'"&amp;$A55&amp;"'!$G$2:$G$501"),"&lt;&gt;"),0)))</f>
        <v>0</v>
      </c>
      <c r="AZ55" s="30" t="str">
        <f aca="false">IF($A55="","",$A55&amp;"|"&amp;$L55)</f>
        <v>SAMPLE-CMP-007|4</v>
      </c>
      <c r="BA55" s="31" t="n">
        <f aca="false">IF($A55="","",IFERROR(IF(INDEX(drops!$R$2:$R$21,MATCH($H55,drops!$A$2:$A$21,0))="","",INDEX(drops!$R$2:$R$21,MATCH($H55,drops!$A$2:$A$21,0))),""))</f>
        <v>46475</v>
      </c>
      <c r="BB55" s="30" t="n">
        <f aca="false">IF(OR($A55="",$Q55&lt;&gt;"Y"),1000000,N($AL55))</f>
        <v>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A56" s="0" t="s">
        <v>576</v>
      </c>
      <c r="B56" s="0" t="s">
        <v>678</v>
      </c>
      <c r="C56" s="11" t="n">
        <v>46442</v>
      </c>
      <c r="D56" s="10"/>
      <c r="E56" s="11"/>
      <c r="H56" s="30" t="str">
        <f aca="false">IF($A56="","",IFERROR(IF(INDEX(campaigns!$B$2:$B$51,MATCH($A56,campaigns!$A$2:$A$51,0))="","",INDEX(campaigns!$B$2:$B$51,MATCH($A56,campaigns!$A$2:$A$51,0))),""))</f>
        <v>SAMPLE-DRP-004</v>
      </c>
      <c r="I56" s="31" t="n">
        <f aca="false">IF($A56="","",IFERROR(IF(INDEX(campaigns!$BG$2:$BG$51,MATCH($A56,campaigns!$A$2:$A$51,0))="","",INDEX(campaigns!$BG$2:$BG$51,MATCH($A56,campaigns!$A$2:$A$51,0))),""))</f>
        <v>46469</v>
      </c>
      <c r="J56" s="30" t="str">
        <f aca="false">IF($A56="","",IFERROR(IF(INDEX(campaigns!$BE$2:$BE$51,MATCH($A56,campaigns!$A$2:$A$51,0))="","",INDEX(campaigns!$BE$2:$BE$51,MATCH($A56,campaigns!$A$2:$A$51,0))),""))</f>
        <v>SAMPLE Brightside</v>
      </c>
      <c r="K56" s="30" t="str">
        <f aca="false">IF($B56="","",IFERROR(IF(INDEX(offices!$O$2:$O$61,MATCH($B56,offices!$A$2:$A$61,0))="","",INDEX(offices!$O$2:$O$61,MATCH($B56,offices!$A$2:$A$61,0))),""))</f>
        <v>SAMPLE Studio Marlow</v>
      </c>
      <c r="L56" s="30" t="n">
        <f aca="false">IF($A56="","",IF($Q56="N","",COUNTIFS($A$2:$A56,$A56,$Q$2:$Q56,"&lt;&gt;N")))</f>
        <v>5</v>
      </c>
      <c r="M56" s="30" t="str">
        <f aca="false">IF(OR($A56="",$L56=""),"",IF(AND(config!$B$34="names_if_public",IFERROR(IF(INDEX(offices!$AG$2:$AG$61,MATCH($B56,offices!$A$2:$A$61,0))="","",INDEX(offices!$AG$2:$AG$61,MATCH($B56,offices!$A$2:$A$61,0))),"")="Y"),$K56,CHAR(64+$L56)))</f>
        <v>E</v>
      </c>
      <c r="N56" s="30" t="n">
        <f aca="false">IF(OR($A56="",$I56=""),"",COUNTIFS(stops!$B$2:$B$151,$B56,stops!$P$2:$P$151,"&lt;"&amp;$I56,stops!$L$2:$L$151,"&lt;&gt;not_delivered")+1)</f>
        <v>4</v>
      </c>
      <c r="O56" s="30" t="str">
        <f aca="false">IF($A56="","",IF(N($N56)&lt;=config!$B$29,"explicit","opt-out"))</f>
        <v>opt-out</v>
      </c>
      <c r="P56" s="30" t="str">
        <f aca="false">IF($A56="","",IF($O56="explicit",IF($D56="yes","Y",IF($D56="no","N","pending")),IF($D56="no","N",IF(AND($C56&lt;&gt;"",$I56&lt;&gt;"",$C56&lt;=WORKDAY(N($I56),-5,calendar!$A$2:$A$80)),"Y","pending"))))</f>
        <v>Y</v>
      </c>
      <c r="Q56" s="30" t="str">
        <f aca="false">IF($A56="","",IF($P56="N","N",IF($P56&lt;&gt;"Y","pending",IF(AND((COUNTIFS(stops!$A$2:$A$151,$H56,stops!$B$2:$B$151,$B56,stops!$L$2:$L$151,"declined")+COUNTIFS(stops!$A$2:$A$151,$H56,stops!$B$2:$B$151,$B56,stops!$L$2:$L$151,"building_refused")+COUNTIFS(stops!$A$2:$A$151,$H56,stops!$B$2:$B$151,$B56,stops!$L$2:$L$151,"not_delivered"))&gt;0,N($U56)=0),"N","Y"))))</f>
        <v>Y</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n">
        <f aca="false">IF($A56="","",IF($G56&lt;&gt;"",$G56,IFERROR(IF(INDEX(offices!$AM$2:$AM$61,MATCH($B56,offices!$A$2:$A$61,0))="","",INDEX(offices!$AM$2:$AM$61,MATCH($B56,offices!$A$2:$A$61,0))),"")))</f>
        <v>70</v>
      </c>
      <c r="T56" s="30" t="str">
        <f aca="false">IF($A56="","",$A56&amp;"."&amp;$B56)</f>
        <v>SAMPLE-CMP-007.SAMPLE-O-005</v>
      </c>
      <c r="U56" s="30" t="n">
        <f aca="false">IF($A56="","",SUMIFS(inventory!$G$2:$G$801,inventory!$C$2:$C$801,$A56,inventory!$D$2:$D$801,$B56,inventory!$E$2:$E$801,"delivered"))</f>
        <v>0</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n">
        <f aca="false">IF($A56="","",IF($Y56="",0,N($Z56)))</f>
        <v>0</v>
      </c>
      <c r="AB56" s="30" t="str">
        <f aca="false">IF($A56="","",IF(OR($Y56="",$I56=""),"N",IF($Y56&lt;=WORKDAY(N($I56),1,calendar!$A$2:$A$80),"Y","N")))</f>
        <v>N</v>
      </c>
      <c r="AC56" s="33" t="str">
        <f aca="false">IF(OR($A56="",$V56="",$Y56=""),"",ROUND(($Y56+N(IFERROR(IF(INDEX(photos!$F$2:$F$701,MATCH($A56&amp;"|"&amp;$B56&amp;"|placement|Y",photos!$R$2:$R$701,0))="","",INDEX(photos!$F$2:$F$701,MATCH($A56&amp;"|"&amp;$B56&amp;"|placement|Y",photos!$R$2:$R$701,0))),""))-$V56)*24,1))</f>
        <v/>
      </c>
      <c r="AD56" s="30" t="n">
        <f aca="false">IF($A56="","",SUMIFS(inventory!$G$2:$G$801,inventory!$C$2:$C$801,$A56,inventory!$D$2:$D$801,$B56,inventory!$E$2:$E$801,"topped_up"))</f>
        <v>0</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N</v>
      </c>
      <c r="AL56" s="30" t="n">
        <f aca="true">IF(OR($A56="",$I56=""),"",IF($BC56="Y",SUMIFS(survey_frozen!$C$2:$C$251,survey_frozen!$P$2:$P$251,$A56&amp;"|"&amp;$B56),IFERROR(COUNTIFS(INDIRECT("'"&amp;$A56&amp;"'!$B$2:$B$501"),$T56,INDIRECT("'"&amp;$A56&amp;"'!$A$2:$A$501"),"&gt;="&amp;$I56,INDIRECT("'"&amp;$A56&amp;"'!$A$2:$A$501"),"&lt;"&amp;($BA56+1)),0)))</f>
        <v>0</v>
      </c>
      <c r="AM56" s="30" t="n">
        <f aca="true">IF(OR($A56="",$I56=""),"",IF($BC56="Y",SUMIFS(survey_frozen!$D$2:$D$251,survey_frozen!$P$2:$P$251,$A56&amp;"|"&amp;$B56),IFERROR(COUNTIFS(INDIRECT("'"&amp;$A56&amp;"'!$B$2:$B$501"),$T56,INDIRECT("'"&amp;$A56&amp;"'!$A$2:$A$501"),"&gt;="&amp;$I56,INDIRECT("'"&amp;$A56&amp;"'!$A$2:$A$501"),"&lt;"&amp;($BA56+1),INDIRECT("'"&amp;$A56&amp;"'!$C$2:$C$501"),"Yes"),0)))</f>
        <v>0</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n">
        <f aca="true">IF(OR($A56="",$I56=""),"",IF($BC56="Y",SUMIFS(survey_frozen!$E$2:$E$251,survey_frozen!$P$2:$P$251,$A56&amp;"|"&amp;$B56),IFERROR(COUNTIFS(INDIRECT("'"&amp;$A56&amp;"'!$B$2:$B$501"),$T56,INDIRECT("'"&amp;$A56&amp;"'!$A$2:$A$501"),"&gt;="&amp;$I56,INDIRECT("'"&amp;$A56&amp;"'!$A$2:$A$501"),"&lt;"&amp;($BA56+1),INDIRECT("'"&amp;$A56&amp;"'!$F$2:$F$501"),"Didn't see it"),0)))</f>
        <v>0</v>
      </c>
      <c r="AR56" s="30" t="n">
        <f aca="true">IF(OR($A56="",$I56=""),"",IF($BC56="Y",SUMIFS(survey_frozen!$F$2:$F$251,survey_frozen!$P$2:$P$251,$A56&amp;"|"&amp;$B56),IFERROR(COUNTIFS(INDIRECT("'"&amp;$A56&amp;"'!$B$2:$B$501"),$T56,INDIRECT("'"&amp;$A56&amp;"'!$A$2:$A$501"),"&gt;="&amp;$I56,INDIRECT("'"&amp;$A56&amp;"'!$A$2:$A$501"),"&lt;"&amp;($BA56+1),INDIRECT("'"&amp;$A56&amp;"'!$F$2:$F$501"),"Not for me"),0)))</f>
        <v>0</v>
      </c>
      <c r="AS56" s="30" t="n">
        <f aca="true">IF(OR($A56="",$I56=""),"",IF($BC56="Y",SUMIFS(survey_frozen!$G$2:$G$251,survey_frozen!$P$2:$P$251,$A56&amp;"|"&amp;$B56),IFERROR(COUNTIFS(INDIRECT("'"&amp;$A56&amp;"'!$B$2:$B$501"),$T56,INDIRECT("'"&amp;$A56&amp;"'!$A$2:$A$501"),"&gt;="&amp;$I56,INDIRECT("'"&amp;$A56&amp;"'!$A$2:$A$501"),"&lt;"&amp;($BA56+1),INDIRECT("'"&amp;$A56&amp;"'!$F$2:$F$501"),"Gone by the time I looked"),0)))</f>
        <v>0</v>
      </c>
      <c r="AT56" s="30" t="n">
        <f aca="true">IF(OR($A56="",$I56=""),"",IF($BC56="Y",SUMIFS(survey_frozen!$H$2:$H$251,survey_frozen!$P$2:$P$251,$A56&amp;"|"&amp;$B56),IFERROR(COUNTIFS(INDIRECT("'"&amp;$A56&amp;"'!$B$2:$B$501"),$T56,INDIRECT("'"&amp;$A56&amp;"'!$A$2:$A$501"),"&gt;="&amp;$I56,INDIRECT("'"&amp;$A56&amp;"'!$A$2:$A$501"),"&lt;"&amp;($BA56+1),INDIRECT("'"&amp;$A56&amp;"'!$D$2:$D$501"),"&gt;=1"),0)))</f>
        <v>0</v>
      </c>
      <c r="AU56" s="30" t="n">
        <f aca="true">IF(OR($A56="",$I56=""),"",IF($BC56="Y",SUMIFS(survey_frozen!$I$2:$I$251,survey_frozen!$P$2:$P$251,$A56&amp;"|"&amp;$B56),IFERROR(SUMIFS(INDIRECT("'"&amp;$A56&amp;"'!$D$2:$D$501"),INDIRECT("'"&amp;$A56&amp;"'!$B$2:$B$501"),$T56,INDIRECT("'"&amp;$A56&amp;"'!$A$2:$A$501"),"&gt;="&amp;$I56,INDIRECT("'"&amp;$A56&amp;"'!$A$2:$A$501"),"&lt;"&amp;($BA56+1)),0)))</f>
        <v>0</v>
      </c>
      <c r="AV56" s="30" t="n">
        <f aca="true">IF(OR($A56="",$I56=""),"",IF($BC56="Y",SUMIFS(survey_frozen!$J$2:$J$251,survey_frozen!$P$2:$P$251,$A56&amp;"|"&amp;$B56),IFERROR(COUNTIFS(INDIRECT("'"&amp;$A56&amp;"'!$B$2:$B$501"),$T56,INDIRECT("'"&amp;$A56&amp;"'!$A$2:$A$501"),"&gt;="&amp;$I56,INDIRECT("'"&amp;$A56&amp;"'!$A$2:$A$501"),"&lt;"&amp;($BA56+1),INDIRECT("'"&amp;$A56&amp;"'!$E$2:$E$501"),"Yes"),0)))</f>
        <v>0</v>
      </c>
      <c r="AW56" s="30" t="n">
        <f aca="true">IF(OR($A56="",$I56=""),"",IF($BC56="Y",SUMIFS(survey_frozen!$K$2:$K$251,survey_frozen!$P$2:$P$251,$A56&amp;"|"&amp;$B56),IFERROR(COUNTIFS(INDIRECT("'"&amp;$A56&amp;"'!$B$2:$B$501"),$T56,INDIRECT("'"&amp;$A56&amp;"'!$A$2:$A$501"),"&gt;="&amp;$I56,INDIRECT("'"&amp;$A56&amp;"'!$A$2:$A$501"),"&lt;"&amp;($BA56+1),INDIRECT("'"&amp;$A56&amp;"'!$E$2:$E$501"),"Maybe"),0)))</f>
        <v>0</v>
      </c>
      <c r="AX56" s="30" t="n">
        <f aca="true">IF(OR($A56="",$I56=""),"",IF($BC56="Y",SUMIFS(survey_frozen!$L$2:$L$251,survey_frozen!$P$2:$P$251,$A56&amp;"|"&amp;$B56),IFERROR(COUNTIFS(INDIRECT("'"&amp;$A56&amp;"'!$B$2:$B$501"),$T56,INDIRECT("'"&amp;$A56&amp;"'!$A$2:$A$501"),"&gt;="&amp;$I56,INDIRECT("'"&amp;$A56&amp;"'!$A$2:$A$501"),"&lt;"&amp;($BA56+1),INDIRECT("'"&amp;$A56&amp;"'!$E$2:$E$501"),"No"),0)))</f>
        <v>0</v>
      </c>
      <c r="AY56" s="30" t="n">
        <f aca="true">IF(OR($A56="",$I56=""),"",IF($BC56="Y",SUMIFS(survey_frozen!$M$2:$M$251,survey_frozen!$P$2:$P$251,$A56&amp;"|"&amp;$B56),IFERROR(COUNTIFS(INDIRECT("'"&amp;$A56&amp;"'!$B$2:$B$501"),$T56,INDIRECT("'"&amp;$A56&amp;"'!$A$2:$A$501"),"&gt;="&amp;$I56,INDIRECT("'"&amp;$A56&amp;"'!$A$2:$A$501"),"&lt;"&amp;($BA56+1),INDIRECT("'"&amp;$A56&amp;"'!$G$2:$G$501"),"&lt;&gt;"),0)))</f>
        <v>0</v>
      </c>
      <c r="AZ56" s="30" t="str">
        <f aca="false">IF($A56="","",$A56&amp;"|"&amp;$L56)</f>
        <v>SAMPLE-CMP-007|5</v>
      </c>
      <c r="BA56" s="31" t="n">
        <f aca="false">IF($A56="","",IFERROR(IF(INDEX(drops!$R$2:$R$21,MATCH($H56,drops!$A$2:$A$21,0))="","",INDEX(drops!$R$2:$R$21,MATCH($H56,drops!$A$2:$A$21,0))),""))</f>
        <v>46475</v>
      </c>
      <c r="BB56" s="30" t="n">
        <f aca="false">IF(OR($A56="",$Q56&lt;&gt;"Y"),1000000,N($AL56))</f>
        <v>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A57" s="0" t="s">
        <v>576</v>
      </c>
      <c r="B57" s="0" t="s">
        <v>680</v>
      </c>
      <c r="C57" s="11" t="n">
        <v>46442</v>
      </c>
      <c r="D57" s="10" t="s">
        <v>496</v>
      </c>
      <c r="E57" s="11" t="n">
        <v>46443</v>
      </c>
      <c r="F57" s="10" t="s">
        <v>727</v>
      </c>
      <c r="H57" s="30" t="str">
        <f aca="false">IF($A57="","",IFERROR(IF(INDEX(campaigns!$B$2:$B$51,MATCH($A57,campaigns!$A$2:$A$51,0))="","",INDEX(campaigns!$B$2:$B$51,MATCH($A57,campaigns!$A$2:$A$51,0))),""))</f>
        <v>SAMPLE-DRP-004</v>
      </c>
      <c r="I57" s="31" t="n">
        <f aca="false">IF($A57="","",IFERROR(IF(INDEX(campaigns!$BG$2:$BG$51,MATCH($A57,campaigns!$A$2:$A$51,0))="","",INDEX(campaigns!$BG$2:$BG$51,MATCH($A57,campaigns!$A$2:$A$51,0))),""))</f>
        <v>46469</v>
      </c>
      <c r="J57" s="30" t="str">
        <f aca="false">IF($A57="","",IFERROR(IF(INDEX(campaigns!$BE$2:$BE$51,MATCH($A57,campaigns!$A$2:$A$51,0))="","",INDEX(campaigns!$BE$2:$BE$51,MATCH($A57,campaigns!$A$2:$A$51,0))),""))</f>
        <v>SAMPLE Brightside</v>
      </c>
      <c r="K57" s="30" t="str">
        <f aca="false">IF($B57="","",IFERROR(IF(INDEX(offices!$O$2:$O$61,MATCH($B57,offices!$A$2:$A$61,0))="","",INDEX(offices!$O$2:$O$61,MATCH($B57,offices!$A$2:$A$61,0))),""))</f>
        <v>SAMPLE Kestrel Analytics</v>
      </c>
      <c r="L57" s="30" t="n">
        <f aca="false">IF($A57="","",IF($Q57="N","",COUNTIFS($A$2:$A57,$A57,$Q$2:$Q57,"&lt;&gt;N")))</f>
        <v>6</v>
      </c>
      <c r="M57" s="30" t="str">
        <f aca="false">IF(OR($A57="",$L57=""),"",IF(AND(config!$B$34="names_if_public",IFERROR(IF(INDEX(offices!$AG$2:$AG$61,MATCH($B57,offices!$A$2:$A$61,0))="","",INDEX(offices!$AG$2:$AG$61,MATCH($B57,offices!$A$2:$A$61,0))),"")="Y"),$K57,CHAR(64+$L57)))</f>
        <v>F</v>
      </c>
      <c r="N57" s="30" t="n">
        <f aca="false">IF(OR($A57="",$I57=""),"",COUNTIFS(stops!$B$2:$B$151,$B57,stops!$P$2:$P$151,"&lt;"&amp;$I57,stops!$L$2:$L$151,"&lt;&gt;not_delivered")+1)</f>
        <v>3</v>
      </c>
      <c r="O57" s="30" t="str">
        <f aca="false">IF($A57="","",IF(N($N57)&lt;=config!$B$29,"explicit","opt-out"))</f>
        <v>explicit</v>
      </c>
      <c r="P57" s="30" t="str">
        <f aca="false">IF($A57="","",IF($O57="explicit",IF($D57="yes","Y",IF($D57="no","N","pending")),IF($D57="no","N",IF(AND($C57&lt;&gt;"",$I57&lt;&gt;"",$C57&lt;=WORKDAY(N($I57),-5,calendar!$A$2:$A$80)),"Y","pending"))))</f>
        <v>Y</v>
      </c>
      <c r="Q57" s="30" t="str">
        <f aca="false">IF($A57="","",IF($P57="N","N",IF($P57&lt;&gt;"Y","pending",IF(AND((COUNTIFS(stops!$A$2:$A$151,$H57,stops!$B$2:$B$151,$B57,stops!$L$2:$L$151,"declined")+COUNTIFS(stops!$A$2:$A$151,$H57,stops!$B$2:$B$151,$B57,stops!$L$2:$L$151,"building_refused")+COUNTIFS(stops!$A$2:$A$151,$H57,stops!$B$2:$B$151,$B57,stops!$L$2:$L$151,"not_delivered"))&gt;0,N($U57)=0),"N","Y"))))</f>
        <v>Y</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n">
        <f aca="false">IF($A57="","",IF($G57&lt;&gt;"",$G57,IFERROR(IF(INDEX(offices!$AM$2:$AM$61,MATCH($B57,offices!$A$2:$A$61,0))="","",INDEX(offices!$AM$2:$AM$61,MATCH($B57,offices!$A$2:$A$61,0))),"")))</f>
        <v>45</v>
      </c>
      <c r="T57" s="30" t="str">
        <f aca="false">IF($A57="","",$A57&amp;"."&amp;$B57)</f>
        <v>SAMPLE-CMP-007.SAMPLE-O-006</v>
      </c>
      <c r="U57" s="30" t="n">
        <f aca="false">IF($A57="","",SUMIFS(inventory!$G$2:$G$801,inventory!$C$2:$C$801,$A57,inventory!$D$2:$D$801,$B57,inventory!$E$2:$E$801,"delivered"))</f>
        <v>0</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n">
        <f aca="false">IF($A57="","",IF($Y57="",0,N($Z57)))</f>
        <v>0</v>
      </c>
      <c r="AB57" s="30" t="str">
        <f aca="false">IF($A57="","",IF(OR($Y57="",$I57=""),"N",IF($Y57&lt;=WORKDAY(N($I57),1,calendar!$A$2:$A$80),"Y","N")))</f>
        <v>N</v>
      </c>
      <c r="AC57" s="33" t="str">
        <f aca="false">IF(OR($A57="",$V57="",$Y57=""),"",ROUND(($Y57+N(IFERROR(IF(INDEX(photos!$F$2:$F$701,MATCH($A57&amp;"|"&amp;$B57&amp;"|placement|Y",photos!$R$2:$R$701,0))="","",INDEX(photos!$F$2:$F$701,MATCH($A57&amp;"|"&amp;$B57&amp;"|placement|Y",photos!$R$2:$R$701,0))),""))-$V57)*24,1))</f>
        <v/>
      </c>
      <c r="AD57" s="30" t="n">
        <f aca="false">IF($A57="","",SUMIFS(inventory!$G$2:$G$801,inventory!$C$2:$C$801,$A57,inventory!$D$2:$D$801,$B57,inventory!$E$2:$E$801,"topped_up"))</f>
        <v>0</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N</v>
      </c>
      <c r="AL57" s="30" t="n">
        <f aca="true">IF(OR($A57="",$I57=""),"",IF($BC57="Y",SUMIFS(survey_frozen!$C$2:$C$251,survey_frozen!$P$2:$P$251,$A57&amp;"|"&amp;$B57),IFERROR(COUNTIFS(INDIRECT("'"&amp;$A57&amp;"'!$B$2:$B$501"),$T57,INDIRECT("'"&amp;$A57&amp;"'!$A$2:$A$501"),"&gt;="&amp;$I57,INDIRECT("'"&amp;$A57&amp;"'!$A$2:$A$501"),"&lt;"&amp;($BA57+1)),0)))</f>
        <v>0</v>
      </c>
      <c r="AM57" s="30" t="n">
        <f aca="true">IF(OR($A57="",$I57=""),"",IF($BC57="Y",SUMIFS(survey_frozen!$D$2:$D$251,survey_frozen!$P$2:$P$251,$A57&amp;"|"&amp;$B57),IFERROR(COUNTIFS(INDIRECT("'"&amp;$A57&amp;"'!$B$2:$B$501"),$T57,INDIRECT("'"&amp;$A57&amp;"'!$A$2:$A$501"),"&gt;="&amp;$I57,INDIRECT("'"&amp;$A57&amp;"'!$A$2:$A$501"),"&lt;"&amp;($BA57+1),INDIRECT("'"&amp;$A57&amp;"'!$C$2:$C$501"),"Yes"),0)))</f>
        <v>0</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n">
        <f aca="true">IF(OR($A57="",$I57=""),"",IF($BC57="Y",SUMIFS(survey_frozen!$E$2:$E$251,survey_frozen!$P$2:$P$251,$A57&amp;"|"&amp;$B57),IFERROR(COUNTIFS(INDIRECT("'"&amp;$A57&amp;"'!$B$2:$B$501"),$T57,INDIRECT("'"&amp;$A57&amp;"'!$A$2:$A$501"),"&gt;="&amp;$I57,INDIRECT("'"&amp;$A57&amp;"'!$A$2:$A$501"),"&lt;"&amp;($BA57+1),INDIRECT("'"&amp;$A57&amp;"'!$F$2:$F$501"),"Didn't see it"),0)))</f>
        <v>0</v>
      </c>
      <c r="AR57" s="30" t="n">
        <f aca="true">IF(OR($A57="",$I57=""),"",IF($BC57="Y",SUMIFS(survey_frozen!$F$2:$F$251,survey_frozen!$P$2:$P$251,$A57&amp;"|"&amp;$B57),IFERROR(COUNTIFS(INDIRECT("'"&amp;$A57&amp;"'!$B$2:$B$501"),$T57,INDIRECT("'"&amp;$A57&amp;"'!$A$2:$A$501"),"&gt;="&amp;$I57,INDIRECT("'"&amp;$A57&amp;"'!$A$2:$A$501"),"&lt;"&amp;($BA57+1),INDIRECT("'"&amp;$A57&amp;"'!$F$2:$F$501"),"Not for me"),0)))</f>
        <v>0</v>
      </c>
      <c r="AS57" s="30" t="n">
        <f aca="true">IF(OR($A57="",$I57=""),"",IF($BC57="Y",SUMIFS(survey_frozen!$G$2:$G$251,survey_frozen!$P$2:$P$251,$A57&amp;"|"&amp;$B57),IFERROR(COUNTIFS(INDIRECT("'"&amp;$A57&amp;"'!$B$2:$B$501"),$T57,INDIRECT("'"&amp;$A57&amp;"'!$A$2:$A$501"),"&gt;="&amp;$I57,INDIRECT("'"&amp;$A57&amp;"'!$A$2:$A$501"),"&lt;"&amp;($BA57+1),INDIRECT("'"&amp;$A57&amp;"'!$F$2:$F$501"),"Gone by the time I looked"),0)))</f>
        <v>0</v>
      </c>
      <c r="AT57" s="30" t="n">
        <f aca="true">IF(OR($A57="",$I57=""),"",IF($BC57="Y",SUMIFS(survey_frozen!$H$2:$H$251,survey_frozen!$P$2:$P$251,$A57&amp;"|"&amp;$B57),IFERROR(COUNTIFS(INDIRECT("'"&amp;$A57&amp;"'!$B$2:$B$501"),$T57,INDIRECT("'"&amp;$A57&amp;"'!$A$2:$A$501"),"&gt;="&amp;$I57,INDIRECT("'"&amp;$A57&amp;"'!$A$2:$A$501"),"&lt;"&amp;($BA57+1),INDIRECT("'"&amp;$A57&amp;"'!$D$2:$D$501"),"&gt;=1"),0)))</f>
        <v>0</v>
      </c>
      <c r="AU57" s="30" t="n">
        <f aca="true">IF(OR($A57="",$I57=""),"",IF($BC57="Y",SUMIFS(survey_frozen!$I$2:$I$251,survey_frozen!$P$2:$P$251,$A57&amp;"|"&amp;$B57),IFERROR(SUMIFS(INDIRECT("'"&amp;$A57&amp;"'!$D$2:$D$501"),INDIRECT("'"&amp;$A57&amp;"'!$B$2:$B$501"),$T57,INDIRECT("'"&amp;$A57&amp;"'!$A$2:$A$501"),"&gt;="&amp;$I57,INDIRECT("'"&amp;$A57&amp;"'!$A$2:$A$501"),"&lt;"&amp;($BA57+1)),0)))</f>
        <v>0</v>
      </c>
      <c r="AV57" s="30" t="n">
        <f aca="true">IF(OR($A57="",$I57=""),"",IF($BC57="Y",SUMIFS(survey_frozen!$J$2:$J$251,survey_frozen!$P$2:$P$251,$A57&amp;"|"&amp;$B57),IFERROR(COUNTIFS(INDIRECT("'"&amp;$A57&amp;"'!$B$2:$B$501"),$T57,INDIRECT("'"&amp;$A57&amp;"'!$A$2:$A$501"),"&gt;="&amp;$I57,INDIRECT("'"&amp;$A57&amp;"'!$A$2:$A$501"),"&lt;"&amp;($BA57+1),INDIRECT("'"&amp;$A57&amp;"'!$E$2:$E$501"),"Yes"),0)))</f>
        <v>0</v>
      </c>
      <c r="AW57" s="30" t="n">
        <f aca="true">IF(OR($A57="",$I57=""),"",IF($BC57="Y",SUMIFS(survey_frozen!$K$2:$K$251,survey_frozen!$P$2:$P$251,$A57&amp;"|"&amp;$B57),IFERROR(COUNTIFS(INDIRECT("'"&amp;$A57&amp;"'!$B$2:$B$501"),$T57,INDIRECT("'"&amp;$A57&amp;"'!$A$2:$A$501"),"&gt;="&amp;$I57,INDIRECT("'"&amp;$A57&amp;"'!$A$2:$A$501"),"&lt;"&amp;($BA57+1),INDIRECT("'"&amp;$A57&amp;"'!$E$2:$E$501"),"Maybe"),0)))</f>
        <v>0</v>
      </c>
      <c r="AX57" s="30" t="n">
        <f aca="true">IF(OR($A57="",$I57=""),"",IF($BC57="Y",SUMIFS(survey_frozen!$L$2:$L$251,survey_frozen!$P$2:$P$251,$A57&amp;"|"&amp;$B57),IFERROR(COUNTIFS(INDIRECT("'"&amp;$A57&amp;"'!$B$2:$B$501"),$T57,INDIRECT("'"&amp;$A57&amp;"'!$A$2:$A$501"),"&gt;="&amp;$I57,INDIRECT("'"&amp;$A57&amp;"'!$A$2:$A$501"),"&lt;"&amp;($BA57+1),INDIRECT("'"&amp;$A57&amp;"'!$E$2:$E$501"),"No"),0)))</f>
        <v>0</v>
      </c>
      <c r="AY57" s="30" t="n">
        <f aca="true">IF(OR($A57="",$I57=""),"",IF($BC57="Y",SUMIFS(survey_frozen!$M$2:$M$251,survey_frozen!$P$2:$P$251,$A57&amp;"|"&amp;$B57),IFERROR(COUNTIFS(INDIRECT("'"&amp;$A57&amp;"'!$B$2:$B$501"),$T57,INDIRECT("'"&amp;$A57&amp;"'!$A$2:$A$501"),"&gt;="&amp;$I57,INDIRECT("'"&amp;$A57&amp;"'!$A$2:$A$501"),"&lt;"&amp;($BA57+1),INDIRECT("'"&amp;$A57&amp;"'!$G$2:$G$501"),"&lt;&gt;"),0)))</f>
        <v>0</v>
      </c>
      <c r="AZ57" s="30" t="str">
        <f aca="false">IF($A57="","",$A57&amp;"|"&amp;$L57)</f>
        <v>SAMPLE-CMP-007|6</v>
      </c>
      <c r="BA57" s="31" t="n">
        <f aca="false">IF($A57="","",IFERROR(IF(INDEX(drops!$R$2:$R$21,MATCH($H57,drops!$A$2:$A$21,0))="","",INDEX(drops!$R$2:$R$21,MATCH($H57,drops!$A$2:$A$21,0))),""))</f>
        <v>46475</v>
      </c>
      <c r="BB57" s="30" t="n">
        <f aca="false">IF(OR($A57="",$Q57&lt;&gt;"Y"),1000000,N($AL57))</f>
        <v>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A58" s="0" t="s">
        <v>576</v>
      </c>
      <c r="B58" s="0" t="s">
        <v>682</v>
      </c>
      <c r="C58" s="11" t="n">
        <v>46442</v>
      </c>
      <c r="D58" s="10" t="s">
        <v>496</v>
      </c>
      <c r="E58" s="11" t="n">
        <v>46443</v>
      </c>
      <c r="F58" s="10" t="s">
        <v>727</v>
      </c>
      <c r="H58" s="30" t="str">
        <f aca="false">IF($A58="","",IFERROR(IF(INDEX(campaigns!$B$2:$B$51,MATCH($A58,campaigns!$A$2:$A$51,0))="","",INDEX(campaigns!$B$2:$B$51,MATCH($A58,campaigns!$A$2:$A$51,0))),""))</f>
        <v>SAMPLE-DRP-004</v>
      </c>
      <c r="I58" s="31" t="n">
        <f aca="false">IF($A58="","",IFERROR(IF(INDEX(campaigns!$BG$2:$BG$51,MATCH($A58,campaigns!$A$2:$A$51,0))="","",INDEX(campaigns!$BG$2:$BG$51,MATCH($A58,campaigns!$A$2:$A$51,0))),""))</f>
        <v>46469</v>
      </c>
      <c r="J58" s="30" t="str">
        <f aca="false">IF($A58="","",IFERROR(IF(INDEX(campaigns!$BE$2:$BE$51,MATCH($A58,campaigns!$A$2:$A$51,0))="","",INDEX(campaigns!$BE$2:$BE$51,MATCH($A58,campaigns!$A$2:$A$51,0))),""))</f>
        <v>SAMPLE Brightside</v>
      </c>
      <c r="K58" s="30" t="str">
        <f aca="false">IF($B58="","",IFERROR(IF(INDEX(offices!$O$2:$O$61,MATCH($B58,offices!$A$2:$A$61,0))="","",INDEX(offices!$O$2:$O$61,MATCH($B58,offices!$A$2:$A$61,0))),""))</f>
        <v>SAMPLE Brine &amp; Bell PR</v>
      </c>
      <c r="L58" s="30" t="n">
        <f aca="false">IF($A58="","",IF($Q58="N","",COUNTIFS($A$2:$A58,$A58,$Q$2:$Q58,"&lt;&gt;N")))</f>
        <v>7</v>
      </c>
      <c r="M58" s="30" t="str">
        <f aca="false">IF(OR($A58="",$L58=""),"",IF(AND(config!$B$34="names_if_public",IFERROR(IF(INDEX(offices!$AG$2:$AG$61,MATCH($B58,offices!$A$2:$A$61,0))="","",INDEX(offices!$AG$2:$AG$61,MATCH($B58,offices!$A$2:$A$61,0))),"")="Y"),$K58,CHAR(64+$L58)))</f>
        <v>G</v>
      </c>
      <c r="N58" s="30" t="n">
        <f aca="false">IF(OR($A58="",$I58=""),"",COUNTIFS(stops!$B$2:$B$151,$B58,stops!$P$2:$P$151,"&lt;"&amp;$I58,stops!$L$2:$L$151,"&lt;&gt;not_delivered")+1)</f>
        <v>3</v>
      </c>
      <c r="O58" s="30" t="str">
        <f aca="false">IF($A58="","",IF(N($N58)&lt;=config!$B$29,"explicit","opt-out"))</f>
        <v>explicit</v>
      </c>
      <c r="P58" s="30" t="str">
        <f aca="false">IF($A58="","",IF($O58="explicit",IF($D58="yes","Y",IF($D58="no","N","pending")),IF($D58="no","N",IF(AND($C58&lt;&gt;"",$I58&lt;&gt;"",$C58&lt;=WORKDAY(N($I58),-5,calendar!$A$2:$A$80)),"Y","pending"))))</f>
        <v>Y</v>
      </c>
      <c r="Q58" s="30" t="str">
        <f aca="false">IF($A58="","",IF($P58="N","N",IF($P58&lt;&gt;"Y","pending",IF(AND((COUNTIFS(stops!$A$2:$A$151,$H58,stops!$B$2:$B$151,$B58,stops!$L$2:$L$151,"declined")+COUNTIFS(stops!$A$2:$A$151,$H58,stops!$B$2:$B$151,$B58,stops!$L$2:$L$151,"building_refused")+COUNTIFS(stops!$A$2:$A$151,$H58,stops!$B$2:$B$151,$B58,stops!$L$2:$L$151,"not_delivered"))&gt;0,N($U58)=0),"N","Y"))))</f>
        <v>Y</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info: read the vetoes against the label; </v>
      </c>
      <c r="S58" s="30" t="n">
        <f aca="false">IF($A58="","",IF($G58&lt;&gt;"",$G58,IFERROR(IF(INDEX(offices!$AM$2:$AM$61,MATCH($B58,offices!$A$2:$A$61,0))="","",INDEX(offices!$AM$2:$AM$61,MATCH($B58,offices!$A$2:$A$61,0))),"")))</f>
        <v>60</v>
      </c>
      <c r="T58" s="30" t="str">
        <f aca="false">IF($A58="","",$A58&amp;"."&amp;$B58)</f>
        <v>SAMPLE-CMP-007.SAMPLE-O-007</v>
      </c>
      <c r="U58" s="30" t="n">
        <f aca="false">IF($A58="","",SUMIFS(inventory!$G$2:$G$801,inventory!$C$2:$C$801,$A58,inventory!$D$2:$D$801,$B58,inventory!$E$2:$E$801,"delivered"))</f>
        <v>0</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n">
        <f aca="false">IF($A58="","",IF($Y58="",0,N($Z58)))</f>
        <v>0</v>
      </c>
      <c r="AB58" s="30" t="str">
        <f aca="false">IF($A58="","",IF(OR($Y58="",$I58=""),"N",IF($Y58&lt;=WORKDAY(N($I58),1,calendar!$A$2:$A$80),"Y","N")))</f>
        <v>N</v>
      </c>
      <c r="AC58" s="33" t="str">
        <f aca="false">IF(OR($A58="",$V58="",$Y58=""),"",ROUND(($Y58+N(IFERROR(IF(INDEX(photos!$F$2:$F$701,MATCH($A58&amp;"|"&amp;$B58&amp;"|placement|Y",photos!$R$2:$R$701,0))="","",INDEX(photos!$F$2:$F$701,MATCH($A58&amp;"|"&amp;$B58&amp;"|placement|Y",photos!$R$2:$R$701,0))),""))-$V58)*24,1))</f>
        <v/>
      </c>
      <c r="AD58" s="30" t="n">
        <f aca="false">IF($A58="","",SUMIFS(inventory!$G$2:$G$801,inventory!$C$2:$C$801,$A58,inventory!$D$2:$D$801,$B58,inventory!$E$2:$E$801,"topped_up"))</f>
        <v>0</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N</v>
      </c>
      <c r="AL58" s="30" t="n">
        <f aca="true">IF(OR($A58="",$I58=""),"",IF($BC58="Y",SUMIFS(survey_frozen!$C$2:$C$251,survey_frozen!$P$2:$P$251,$A58&amp;"|"&amp;$B58),IFERROR(COUNTIFS(INDIRECT("'"&amp;$A58&amp;"'!$B$2:$B$501"),$T58,INDIRECT("'"&amp;$A58&amp;"'!$A$2:$A$501"),"&gt;="&amp;$I58,INDIRECT("'"&amp;$A58&amp;"'!$A$2:$A$501"),"&lt;"&amp;($BA58+1)),0)))</f>
        <v>0</v>
      </c>
      <c r="AM58" s="30" t="n">
        <f aca="true">IF(OR($A58="",$I58=""),"",IF($BC58="Y",SUMIFS(survey_frozen!$D$2:$D$251,survey_frozen!$P$2:$P$251,$A58&amp;"|"&amp;$B58),IFERROR(COUNTIFS(INDIRECT("'"&amp;$A58&amp;"'!$B$2:$B$501"),$T58,INDIRECT("'"&amp;$A58&amp;"'!$A$2:$A$501"),"&gt;="&amp;$I58,INDIRECT("'"&amp;$A58&amp;"'!$A$2:$A$501"),"&lt;"&amp;($BA58+1),INDIRECT("'"&amp;$A58&amp;"'!$C$2:$C$501"),"Yes"),0)))</f>
        <v>0</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info: read the vetoes against the label; </v>
      </c>
      <c r="AQ58" s="30" t="n">
        <f aca="true">IF(OR($A58="",$I58=""),"",IF($BC58="Y",SUMIFS(survey_frozen!$E$2:$E$251,survey_frozen!$P$2:$P$251,$A58&amp;"|"&amp;$B58),IFERROR(COUNTIFS(INDIRECT("'"&amp;$A58&amp;"'!$B$2:$B$501"),$T58,INDIRECT("'"&amp;$A58&amp;"'!$A$2:$A$501"),"&gt;="&amp;$I58,INDIRECT("'"&amp;$A58&amp;"'!$A$2:$A$501"),"&lt;"&amp;($BA58+1),INDIRECT("'"&amp;$A58&amp;"'!$F$2:$F$501"),"Didn't see it"),0)))</f>
        <v>0</v>
      </c>
      <c r="AR58" s="30" t="n">
        <f aca="true">IF(OR($A58="",$I58=""),"",IF($BC58="Y",SUMIFS(survey_frozen!$F$2:$F$251,survey_frozen!$P$2:$P$251,$A58&amp;"|"&amp;$B58),IFERROR(COUNTIFS(INDIRECT("'"&amp;$A58&amp;"'!$B$2:$B$501"),$T58,INDIRECT("'"&amp;$A58&amp;"'!$A$2:$A$501"),"&gt;="&amp;$I58,INDIRECT("'"&amp;$A58&amp;"'!$A$2:$A$501"),"&lt;"&amp;($BA58+1),INDIRECT("'"&amp;$A58&amp;"'!$F$2:$F$501"),"Not for me"),0)))</f>
        <v>0</v>
      </c>
      <c r="AS58" s="30" t="n">
        <f aca="true">IF(OR($A58="",$I58=""),"",IF($BC58="Y",SUMIFS(survey_frozen!$G$2:$G$251,survey_frozen!$P$2:$P$251,$A58&amp;"|"&amp;$B58),IFERROR(COUNTIFS(INDIRECT("'"&amp;$A58&amp;"'!$B$2:$B$501"),$T58,INDIRECT("'"&amp;$A58&amp;"'!$A$2:$A$501"),"&gt;="&amp;$I58,INDIRECT("'"&amp;$A58&amp;"'!$A$2:$A$501"),"&lt;"&amp;($BA58+1),INDIRECT("'"&amp;$A58&amp;"'!$F$2:$F$501"),"Gone by the time I looked"),0)))</f>
        <v>0</v>
      </c>
      <c r="AT58" s="30" t="n">
        <f aca="true">IF(OR($A58="",$I58=""),"",IF($BC58="Y",SUMIFS(survey_frozen!$H$2:$H$251,survey_frozen!$P$2:$P$251,$A58&amp;"|"&amp;$B58),IFERROR(COUNTIFS(INDIRECT("'"&amp;$A58&amp;"'!$B$2:$B$501"),$T58,INDIRECT("'"&amp;$A58&amp;"'!$A$2:$A$501"),"&gt;="&amp;$I58,INDIRECT("'"&amp;$A58&amp;"'!$A$2:$A$501"),"&lt;"&amp;($BA58+1),INDIRECT("'"&amp;$A58&amp;"'!$D$2:$D$501"),"&gt;=1"),0)))</f>
        <v>0</v>
      </c>
      <c r="AU58" s="30" t="n">
        <f aca="true">IF(OR($A58="",$I58=""),"",IF($BC58="Y",SUMIFS(survey_frozen!$I$2:$I$251,survey_frozen!$P$2:$P$251,$A58&amp;"|"&amp;$B58),IFERROR(SUMIFS(INDIRECT("'"&amp;$A58&amp;"'!$D$2:$D$501"),INDIRECT("'"&amp;$A58&amp;"'!$B$2:$B$501"),$T58,INDIRECT("'"&amp;$A58&amp;"'!$A$2:$A$501"),"&gt;="&amp;$I58,INDIRECT("'"&amp;$A58&amp;"'!$A$2:$A$501"),"&lt;"&amp;($BA58+1)),0)))</f>
        <v>0</v>
      </c>
      <c r="AV58" s="30" t="n">
        <f aca="true">IF(OR($A58="",$I58=""),"",IF($BC58="Y",SUMIFS(survey_frozen!$J$2:$J$251,survey_frozen!$P$2:$P$251,$A58&amp;"|"&amp;$B58),IFERROR(COUNTIFS(INDIRECT("'"&amp;$A58&amp;"'!$B$2:$B$501"),$T58,INDIRECT("'"&amp;$A58&amp;"'!$A$2:$A$501"),"&gt;="&amp;$I58,INDIRECT("'"&amp;$A58&amp;"'!$A$2:$A$501"),"&lt;"&amp;($BA58+1),INDIRECT("'"&amp;$A58&amp;"'!$E$2:$E$501"),"Yes"),0)))</f>
        <v>0</v>
      </c>
      <c r="AW58" s="30" t="n">
        <f aca="true">IF(OR($A58="",$I58=""),"",IF($BC58="Y",SUMIFS(survey_frozen!$K$2:$K$251,survey_frozen!$P$2:$P$251,$A58&amp;"|"&amp;$B58),IFERROR(COUNTIFS(INDIRECT("'"&amp;$A58&amp;"'!$B$2:$B$501"),$T58,INDIRECT("'"&amp;$A58&amp;"'!$A$2:$A$501"),"&gt;="&amp;$I58,INDIRECT("'"&amp;$A58&amp;"'!$A$2:$A$501"),"&lt;"&amp;($BA58+1),INDIRECT("'"&amp;$A58&amp;"'!$E$2:$E$501"),"Maybe"),0)))</f>
        <v>0</v>
      </c>
      <c r="AX58" s="30" t="n">
        <f aca="true">IF(OR($A58="",$I58=""),"",IF($BC58="Y",SUMIFS(survey_frozen!$L$2:$L$251,survey_frozen!$P$2:$P$251,$A58&amp;"|"&amp;$B58),IFERROR(COUNTIFS(INDIRECT("'"&amp;$A58&amp;"'!$B$2:$B$501"),$T58,INDIRECT("'"&amp;$A58&amp;"'!$A$2:$A$501"),"&gt;="&amp;$I58,INDIRECT("'"&amp;$A58&amp;"'!$A$2:$A$501"),"&lt;"&amp;($BA58+1),INDIRECT("'"&amp;$A58&amp;"'!$E$2:$E$501"),"No"),0)))</f>
        <v>0</v>
      </c>
      <c r="AY58" s="30" t="n">
        <f aca="true">IF(OR($A58="",$I58=""),"",IF($BC58="Y",SUMIFS(survey_frozen!$M$2:$M$251,survey_frozen!$P$2:$P$251,$A58&amp;"|"&amp;$B58),IFERROR(COUNTIFS(INDIRECT("'"&amp;$A58&amp;"'!$B$2:$B$501"),$T58,INDIRECT("'"&amp;$A58&amp;"'!$A$2:$A$501"),"&gt;="&amp;$I58,INDIRECT("'"&amp;$A58&amp;"'!$A$2:$A$501"),"&lt;"&amp;($BA58+1),INDIRECT("'"&amp;$A58&amp;"'!$G$2:$G$501"),"&lt;&gt;"),0)))</f>
        <v>0</v>
      </c>
      <c r="AZ58" s="30" t="str">
        <f aca="false">IF($A58="","",$A58&amp;"|"&amp;$L58)</f>
        <v>SAMPLE-CMP-007|7</v>
      </c>
      <c r="BA58" s="31" t="n">
        <f aca="false">IF($A58="","",IFERROR(IF(INDEX(drops!$R$2:$R$21,MATCH($H58,drops!$A$2:$A$21,0))="","",INDEX(drops!$R$2:$R$21,MATCH($H58,drops!$A$2:$A$21,0))),""))</f>
        <v>46475</v>
      </c>
      <c r="BB58" s="30" t="n">
        <f aca="false">IF(OR($A58="",$Q58&lt;&gt;"Y"),1000000,N($AL58))</f>
        <v>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A59" s="0" t="s">
        <v>576</v>
      </c>
      <c r="B59" s="0" t="s">
        <v>684</v>
      </c>
      <c r="C59" s="11" t="n">
        <v>46442</v>
      </c>
      <c r="D59" s="10" t="s">
        <v>496</v>
      </c>
      <c r="E59" s="11" t="n">
        <v>46443</v>
      </c>
      <c r="F59" s="10" t="s">
        <v>727</v>
      </c>
      <c r="H59" s="30" t="str">
        <f aca="false">IF($A59="","",IFERROR(IF(INDEX(campaigns!$B$2:$B$51,MATCH($A59,campaigns!$A$2:$A$51,0))="","",INDEX(campaigns!$B$2:$B$51,MATCH($A59,campaigns!$A$2:$A$51,0))),""))</f>
        <v>SAMPLE-DRP-004</v>
      </c>
      <c r="I59" s="31" t="n">
        <f aca="false">IF($A59="","",IFERROR(IF(INDEX(campaigns!$BG$2:$BG$51,MATCH($A59,campaigns!$A$2:$A$51,0))="","",INDEX(campaigns!$BG$2:$BG$51,MATCH($A59,campaigns!$A$2:$A$51,0))),""))</f>
        <v>46469</v>
      </c>
      <c r="J59" s="30" t="str">
        <f aca="false">IF($A59="","",IFERROR(IF(INDEX(campaigns!$BE$2:$BE$51,MATCH($A59,campaigns!$A$2:$A$51,0))="","",INDEX(campaigns!$BE$2:$BE$51,MATCH($A59,campaigns!$A$2:$A$51,0))),""))</f>
        <v>SAMPLE Brightside</v>
      </c>
      <c r="K59" s="30" t="str">
        <f aca="false">IF($B59="","",IFERROR(IF(INDEX(offices!$O$2:$O$61,MATCH($B59,offices!$A$2:$A$61,0))="","",INDEX(offices!$O$2:$O$61,MATCH($B59,offices!$A$2:$A$61,0))),""))</f>
        <v>SAMPLE Larch Legal</v>
      </c>
      <c r="L59" s="30" t="n">
        <f aca="false">IF($A59="","",IF($Q59="N","",COUNTIFS($A$2:$A59,$A59,$Q$2:$Q59,"&lt;&gt;N")))</f>
        <v>8</v>
      </c>
      <c r="M59" s="30" t="str">
        <f aca="false">IF(OR($A59="",$L59=""),"",IF(AND(config!$B$34="names_if_public",IFERROR(IF(INDEX(offices!$AG$2:$AG$61,MATCH($B59,offices!$A$2:$A$61,0))="","",INDEX(offices!$AG$2:$AG$61,MATCH($B59,offices!$A$2:$A$61,0))),"")="Y"),$K59,CHAR(64+$L59)))</f>
        <v>H</v>
      </c>
      <c r="N59" s="30" t="n">
        <f aca="false">IF(OR($A59="",$I59=""),"",COUNTIFS(stops!$B$2:$B$151,$B59,stops!$P$2:$P$151,"&lt;"&amp;$I59,stops!$L$2:$L$151,"&lt;&gt;not_delivered")+1)</f>
        <v>3</v>
      </c>
      <c r="O59" s="30" t="str">
        <f aca="false">IF($A59="","",IF(N($N59)&lt;=config!$B$29,"explicit","opt-out"))</f>
        <v>explicit</v>
      </c>
      <c r="P59" s="30" t="str">
        <f aca="false">IF($A59="","",IF($O59="explicit",IF($D59="yes","Y",IF($D59="no","N","pending")),IF($D59="no","N",IF(AND($C59&lt;&gt;"",$I59&lt;&gt;"",$C59&lt;=WORKDAY(N($I59),-5,calendar!$A$2:$A$80)),"Y","pending"))))</f>
        <v>Y</v>
      </c>
      <c r="Q59" s="30" t="str">
        <f aca="false">IF($A59="","",IF($P59="N","N",IF($P59&lt;&gt;"Y","pending",IF(AND((COUNTIFS(stops!$A$2:$A$151,$H59,stops!$B$2:$B$151,$B59,stops!$L$2:$L$151,"declined")+COUNTIFS(stops!$A$2:$A$151,$H59,stops!$B$2:$B$151,$B59,stops!$L$2:$L$151,"building_refused")+COUNTIFS(stops!$A$2:$A$151,$H59,stops!$B$2:$B$151,$B59,stops!$L$2:$L$151,"not_delivered"))&gt;0,N($U59)=0),"N","Y"))))</f>
        <v>Y</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n">
        <f aca="false">IF($A59="","",IF($G59&lt;&gt;"",$G59,IFERROR(IF(INDEX(offices!$AM$2:$AM$61,MATCH($B59,offices!$A$2:$A$61,0))="","",INDEX(offices!$AM$2:$AM$61,MATCH($B59,offices!$A$2:$A$61,0))),"")))</f>
        <v>45</v>
      </c>
      <c r="T59" s="30" t="str">
        <f aca="false">IF($A59="","",$A59&amp;"."&amp;$B59)</f>
        <v>SAMPLE-CMP-007.SAMPLE-O-008</v>
      </c>
      <c r="U59" s="30" t="n">
        <f aca="false">IF($A59="","",SUMIFS(inventory!$G$2:$G$801,inventory!$C$2:$C$801,$A59,inventory!$D$2:$D$801,$B59,inventory!$E$2:$E$801,"delivered"))</f>
        <v>0</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n">
        <f aca="false">IF($A59="","",IF($Y59="",0,N($Z59)))</f>
        <v>0</v>
      </c>
      <c r="AB59" s="30" t="str">
        <f aca="false">IF($A59="","",IF(OR($Y59="",$I59=""),"N",IF($Y59&lt;=WORKDAY(N($I59),1,calendar!$A$2:$A$80),"Y","N")))</f>
        <v>N</v>
      </c>
      <c r="AC59" s="33" t="str">
        <f aca="false">IF(OR($A59="",$V59="",$Y59=""),"",ROUND(($Y59+N(IFERROR(IF(INDEX(photos!$F$2:$F$701,MATCH($A59&amp;"|"&amp;$B59&amp;"|placement|Y",photos!$R$2:$R$701,0))="","",INDEX(photos!$F$2:$F$701,MATCH($A59&amp;"|"&amp;$B59&amp;"|placement|Y",photos!$R$2:$R$701,0))),""))-$V59)*24,1))</f>
        <v/>
      </c>
      <c r="AD59" s="30" t="n">
        <f aca="false">IF($A59="","",SUMIFS(inventory!$G$2:$G$801,inventory!$C$2:$C$801,$A59,inventory!$D$2:$D$801,$B59,inventory!$E$2:$E$801,"topped_up"))</f>
        <v>0</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N</v>
      </c>
      <c r="AL59" s="30" t="n">
        <f aca="true">IF(OR($A59="",$I59=""),"",IF($BC59="Y",SUMIFS(survey_frozen!$C$2:$C$251,survey_frozen!$P$2:$P$251,$A59&amp;"|"&amp;$B59),IFERROR(COUNTIFS(INDIRECT("'"&amp;$A59&amp;"'!$B$2:$B$501"),$T59,INDIRECT("'"&amp;$A59&amp;"'!$A$2:$A$501"),"&gt;="&amp;$I59,INDIRECT("'"&amp;$A59&amp;"'!$A$2:$A$501"),"&lt;"&amp;($BA59+1)),0)))</f>
        <v>0</v>
      </c>
      <c r="AM59" s="30" t="n">
        <f aca="true">IF(OR($A59="",$I59=""),"",IF($BC59="Y",SUMIFS(survey_frozen!$D$2:$D$251,survey_frozen!$P$2:$P$251,$A59&amp;"|"&amp;$B59),IFERROR(COUNTIFS(INDIRECT("'"&amp;$A59&amp;"'!$B$2:$B$501"),$T59,INDIRECT("'"&amp;$A59&amp;"'!$A$2:$A$501"),"&gt;="&amp;$I59,INDIRECT("'"&amp;$A59&amp;"'!$A$2:$A$501"),"&lt;"&amp;($BA59+1),INDIRECT("'"&amp;$A59&amp;"'!$C$2:$C$501"),"Yes"),0)))</f>
        <v>0</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n">
        <f aca="true">IF(OR($A59="",$I59=""),"",IF($BC59="Y",SUMIFS(survey_frozen!$E$2:$E$251,survey_frozen!$P$2:$P$251,$A59&amp;"|"&amp;$B59),IFERROR(COUNTIFS(INDIRECT("'"&amp;$A59&amp;"'!$B$2:$B$501"),$T59,INDIRECT("'"&amp;$A59&amp;"'!$A$2:$A$501"),"&gt;="&amp;$I59,INDIRECT("'"&amp;$A59&amp;"'!$A$2:$A$501"),"&lt;"&amp;($BA59+1),INDIRECT("'"&amp;$A59&amp;"'!$F$2:$F$501"),"Didn't see it"),0)))</f>
        <v>0</v>
      </c>
      <c r="AR59" s="30" t="n">
        <f aca="true">IF(OR($A59="",$I59=""),"",IF($BC59="Y",SUMIFS(survey_frozen!$F$2:$F$251,survey_frozen!$P$2:$P$251,$A59&amp;"|"&amp;$B59),IFERROR(COUNTIFS(INDIRECT("'"&amp;$A59&amp;"'!$B$2:$B$501"),$T59,INDIRECT("'"&amp;$A59&amp;"'!$A$2:$A$501"),"&gt;="&amp;$I59,INDIRECT("'"&amp;$A59&amp;"'!$A$2:$A$501"),"&lt;"&amp;($BA59+1),INDIRECT("'"&amp;$A59&amp;"'!$F$2:$F$501"),"Not for me"),0)))</f>
        <v>0</v>
      </c>
      <c r="AS59" s="30" t="n">
        <f aca="true">IF(OR($A59="",$I59=""),"",IF($BC59="Y",SUMIFS(survey_frozen!$G$2:$G$251,survey_frozen!$P$2:$P$251,$A59&amp;"|"&amp;$B59),IFERROR(COUNTIFS(INDIRECT("'"&amp;$A59&amp;"'!$B$2:$B$501"),$T59,INDIRECT("'"&amp;$A59&amp;"'!$A$2:$A$501"),"&gt;="&amp;$I59,INDIRECT("'"&amp;$A59&amp;"'!$A$2:$A$501"),"&lt;"&amp;($BA59+1),INDIRECT("'"&amp;$A59&amp;"'!$F$2:$F$501"),"Gone by the time I looked"),0)))</f>
        <v>0</v>
      </c>
      <c r="AT59" s="30" t="n">
        <f aca="true">IF(OR($A59="",$I59=""),"",IF($BC59="Y",SUMIFS(survey_frozen!$H$2:$H$251,survey_frozen!$P$2:$P$251,$A59&amp;"|"&amp;$B59),IFERROR(COUNTIFS(INDIRECT("'"&amp;$A59&amp;"'!$B$2:$B$501"),$T59,INDIRECT("'"&amp;$A59&amp;"'!$A$2:$A$501"),"&gt;="&amp;$I59,INDIRECT("'"&amp;$A59&amp;"'!$A$2:$A$501"),"&lt;"&amp;($BA59+1),INDIRECT("'"&amp;$A59&amp;"'!$D$2:$D$501"),"&gt;=1"),0)))</f>
        <v>0</v>
      </c>
      <c r="AU59" s="30" t="n">
        <f aca="true">IF(OR($A59="",$I59=""),"",IF($BC59="Y",SUMIFS(survey_frozen!$I$2:$I$251,survey_frozen!$P$2:$P$251,$A59&amp;"|"&amp;$B59),IFERROR(SUMIFS(INDIRECT("'"&amp;$A59&amp;"'!$D$2:$D$501"),INDIRECT("'"&amp;$A59&amp;"'!$B$2:$B$501"),$T59,INDIRECT("'"&amp;$A59&amp;"'!$A$2:$A$501"),"&gt;="&amp;$I59,INDIRECT("'"&amp;$A59&amp;"'!$A$2:$A$501"),"&lt;"&amp;($BA59+1)),0)))</f>
        <v>0</v>
      </c>
      <c r="AV59" s="30" t="n">
        <f aca="true">IF(OR($A59="",$I59=""),"",IF($BC59="Y",SUMIFS(survey_frozen!$J$2:$J$251,survey_frozen!$P$2:$P$251,$A59&amp;"|"&amp;$B59),IFERROR(COUNTIFS(INDIRECT("'"&amp;$A59&amp;"'!$B$2:$B$501"),$T59,INDIRECT("'"&amp;$A59&amp;"'!$A$2:$A$501"),"&gt;="&amp;$I59,INDIRECT("'"&amp;$A59&amp;"'!$A$2:$A$501"),"&lt;"&amp;($BA59+1),INDIRECT("'"&amp;$A59&amp;"'!$E$2:$E$501"),"Yes"),0)))</f>
        <v>0</v>
      </c>
      <c r="AW59" s="30" t="n">
        <f aca="true">IF(OR($A59="",$I59=""),"",IF($BC59="Y",SUMIFS(survey_frozen!$K$2:$K$251,survey_frozen!$P$2:$P$251,$A59&amp;"|"&amp;$B59),IFERROR(COUNTIFS(INDIRECT("'"&amp;$A59&amp;"'!$B$2:$B$501"),$T59,INDIRECT("'"&amp;$A59&amp;"'!$A$2:$A$501"),"&gt;="&amp;$I59,INDIRECT("'"&amp;$A59&amp;"'!$A$2:$A$501"),"&lt;"&amp;($BA59+1),INDIRECT("'"&amp;$A59&amp;"'!$E$2:$E$501"),"Maybe"),0)))</f>
        <v>0</v>
      </c>
      <c r="AX59" s="30" t="n">
        <f aca="true">IF(OR($A59="",$I59=""),"",IF($BC59="Y",SUMIFS(survey_frozen!$L$2:$L$251,survey_frozen!$P$2:$P$251,$A59&amp;"|"&amp;$B59),IFERROR(COUNTIFS(INDIRECT("'"&amp;$A59&amp;"'!$B$2:$B$501"),$T59,INDIRECT("'"&amp;$A59&amp;"'!$A$2:$A$501"),"&gt;="&amp;$I59,INDIRECT("'"&amp;$A59&amp;"'!$A$2:$A$501"),"&lt;"&amp;($BA59+1),INDIRECT("'"&amp;$A59&amp;"'!$E$2:$E$501"),"No"),0)))</f>
        <v>0</v>
      </c>
      <c r="AY59" s="30" t="n">
        <f aca="true">IF(OR($A59="",$I59=""),"",IF($BC59="Y",SUMIFS(survey_frozen!$M$2:$M$251,survey_frozen!$P$2:$P$251,$A59&amp;"|"&amp;$B59),IFERROR(COUNTIFS(INDIRECT("'"&amp;$A59&amp;"'!$B$2:$B$501"),$T59,INDIRECT("'"&amp;$A59&amp;"'!$A$2:$A$501"),"&gt;="&amp;$I59,INDIRECT("'"&amp;$A59&amp;"'!$A$2:$A$501"),"&lt;"&amp;($BA59+1),INDIRECT("'"&amp;$A59&amp;"'!$G$2:$G$501"),"&lt;&gt;"),0)))</f>
        <v>0</v>
      </c>
      <c r="AZ59" s="30" t="str">
        <f aca="false">IF($A59="","",$A59&amp;"|"&amp;$L59)</f>
        <v>SAMPLE-CMP-007|8</v>
      </c>
      <c r="BA59" s="31" t="n">
        <f aca="false">IF($A59="","",IFERROR(IF(INDEX(drops!$R$2:$R$21,MATCH($H59,drops!$A$2:$A$21,0))="","",INDEX(drops!$R$2:$R$21,MATCH($H59,drops!$A$2:$A$21,0))),""))</f>
        <v>46475</v>
      </c>
      <c r="BB59" s="30" t="n">
        <f aca="false">IF(OR($A59="",$Q59&lt;&gt;"Y"),1000000,N($AL59))</f>
        <v>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A60" s="0" t="s">
        <v>576</v>
      </c>
      <c r="B60" s="0" t="s">
        <v>686</v>
      </c>
      <c r="C60" s="11" t="n">
        <v>46442</v>
      </c>
      <c r="D60" s="10" t="s">
        <v>496</v>
      </c>
      <c r="E60" s="11" t="n">
        <v>46443</v>
      </c>
      <c r="F60" s="10" t="s">
        <v>727</v>
      </c>
      <c r="H60" s="30" t="str">
        <f aca="false">IF($A60="","",IFERROR(IF(INDEX(campaigns!$B$2:$B$51,MATCH($A60,campaigns!$A$2:$A$51,0))="","",INDEX(campaigns!$B$2:$B$51,MATCH($A60,campaigns!$A$2:$A$51,0))),""))</f>
        <v>SAMPLE-DRP-004</v>
      </c>
      <c r="I60" s="31" t="n">
        <f aca="false">IF($A60="","",IFERROR(IF(INDEX(campaigns!$BG$2:$BG$51,MATCH($A60,campaigns!$A$2:$A$51,0))="","",INDEX(campaigns!$BG$2:$BG$51,MATCH($A60,campaigns!$A$2:$A$51,0))),""))</f>
        <v>46469</v>
      </c>
      <c r="J60" s="30" t="str">
        <f aca="false">IF($A60="","",IFERROR(IF(INDEX(campaigns!$BE$2:$BE$51,MATCH($A60,campaigns!$A$2:$A$51,0))="","",INDEX(campaigns!$BE$2:$BE$51,MATCH($A60,campaigns!$A$2:$A$51,0))),""))</f>
        <v>SAMPLE Brightside</v>
      </c>
      <c r="K60" s="30" t="str">
        <f aca="false">IF($B60="","",IFERROR(IF(INDEX(offices!$O$2:$O$61,MATCH($B60,offices!$A$2:$A$61,0))="","",INDEX(offices!$O$2:$O$61,MATCH($B60,offices!$A$2:$A$61,0))),""))</f>
        <v>SAMPLE Overlook Games</v>
      </c>
      <c r="L60" s="30" t="n">
        <f aca="false">IF($A60="","",IF($Q60="N","",COUNTIFS($A$2:$A60,$A60,$Q$2:$Q60,"&lt;&gt;N")))</f>
        <v>9</v>
      </c>
      <c r="M60" s="30" t="str">
        <f aca="false">IF(OR($A60="",$L60=""),"",IF(AND(config!$B$34="names_if_public",IFERROR(IF(INDEX(offices!$AG$2:$AG$61,MATCH($B60,offices!$A$2:$A$61,0))="","",INDEX(offices!$AG$2:$AG$61,MATCH($B60,offices!$A$2:$A$61,0))),"")="Y"),$K60,CHAR(64+$L60)))</f>
        <v>I</v>
      </c>
      <c r="N60" s="30" t="n">
        <f aca="false">IF(OR($A60="",$I60=""),"",COUNTIFS(stops!$B$2:$B$151,$B60,stops!$P$2:$P$151,"&lt;"&amp;$I60,stops!$L$2:$L$151,"&lt;&gt;not_delivered")+1)</f>
        <v>3</v>
      </c>
      <c r="O60" s="30" t="str">
        <f aca="false">IF($A60="","",IF(N($N60)&lt;=config!$B$29,"explicit","opt-out"))</f>
        <v>explicit</v>
      </c>
      <c r="P60" s="30" t="str">
        <f aca="false">IF($A60="","",IF($O60="explicit",IF($D60="yes","Y",IF($D60="no","N","pending")),IF($D60="no","N",IF(AND($C60&lt;&gt;"",$I60&lt;&gt;"",$C60&lt;=WORKDAY(N($I60),-5,calendar!$A$2:$A$80)),"Y","pending"))))</f>
        <v>Y</v>
      </c>
      <c r="Q60" s="30" t="str">
        <f aca="false">IF($A60="","",IF($P60="N","N",IF($P60&lt;&gt;"Y","pending",IF(AND((COUNTIFS(stops!$A$2:$A$151,$H60,stops!$B$2:$B$151,$B60,stops!$L$2:$L$151,"declined")+COUNTIFS(stops!$A$2:$A$151,$H60,stops!$B$2:$B$151,$B60,stops!$L$2:$L$151,"building_refused")+COUNTIFS(stops!$A$2:$A$151,$H60,stops!$B$2:$B$151,$B60,stops!$L$2:$L$151,"not_delivered"))&gt;0,N($U60)=0),"N","Y"))))</f>
        <v>Y</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n">
        <f aca="false">IF($A60="","",IF($G60&lt;&gt;"",$G60,IFERROR(IF(INDEX(offices!$AM$2:$AM$61,MATCH($B60,offices!$A$2:$A$61,0))="","",INDEX(offices!$AM$2:$AM$61,MATCH($B60,offices!$A$2:$A$61,0))),"")))</f>
        <v>75</v>
      </c>
      <c r="T60" s="30" t="str">
        <f aca="false">IF($A60="","",$A60&amp;"."&amp;$B60)</f>
        <v>SAMPLE-CMP-007.SAMPLE-O-009</v>
      </c>
      <c r="U60" s="30" t="n">
        <f aca="false">IF($A60="","",SUMIFS(inventory!$G$2:$G$801,inventory!$C$2:$C$801,$A60,inventory!$D$2:$D$801,$B60,inventory!$E$2:$E$801,"delivered"))</f>
        <v>0</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n">
        <f aca="false">IF($A60="","",IF($Y60="",0,N($Z60)))</f>
        <v>0</v>
      </c>
      <c r="AB60" s="30" t="str">
        <f aca="false">IF($A60="","",IF(OR($Y60="",$I60=""),"N",IF($Y60&lt;=WORKDAY(N($I60),1,calendar!$A$2:$A$80),"Y","N")))</f>
        <v>N</v>
      </c>
      <c r="AC60" s="33" t="str">
        <f aca="false">IF(OR($A60="",$V60="",$Y60=""),"",ROUND(($Y60+N(IFERROR(IF(INDEX(photos!$F$2:$F$701,MATCH($A60&amp;"|"&amp;$B60&amp;"|placement|Y",photos!$R$2:$R$701,0))="","",INDEX(photos!$F$2:$F$701,MATCH($A60&amp;"|"&amp;$B60&amp;"|placement|Y",photos!$R$2:$R$701,0))),""))-$V60)*24,1))</f>
        <v/>
      </c>
      <c r="AD60" s="30" t="n">
        <f aca="false">IF($A60="","",SUMIFS(inventory!$G$2:$G$801,inventory!$C$2:$C$801,$A60,inventory!$D$2:$D$801,$B60,inventory!$E$2:$E$801,"topped_up"))</f>
        <v>0</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N</v>
      </c>
      <c r="AL60" s="30" t="n">
        <f aca="true">IF(OR($A60="",$I60=""),"",IF($BC60="Y",SUMIFS(survey_frozen!$C$2:$C$251,survey_frozen!$P$2:$P$251,$A60&amp;"|"&amp;$B60),IFERROR(COUNTIFS(INDIRECT("'"&amp;$A60&amp;"'!$B$2:$B$501"),$T60,INDIRECT("'"&amp;$A60&amp;"'!$A$2:$A$501"),"&gt;="&amp;$I60,INDIRECT("'"&amp;$A60&amp;"'!$A$2:$A$501"),"&lt;"&amp;($BA60+1)),0)))</f>
        <v>0</v>
      </c>
      <c r="AM60" s="30" t="n">
        <f aca="true">IF(OR($A60="",$I60=""),"",IF($BC60="Y",SUMIFS(survey_frozen!$D$2:$D$251,survey_frozen!$P$2:$P$251,$A60&amp;"|"&amp;$B60),IFERROR(COUNTIFS(INDIRECT("'"&amp;$A60&amp;"'!$B$2:$B$501"),$T60,INDIRECT("'"&amp;$A60&amp;"'!$A$2:$A$501"),"&gt;="&amp;$I60,INDIRECT("'"&amp;$A60&amp;"'!$A$2:$A$501"),"&lt;"&amp;($BA60+1),INDIRECT("'"&amp;$A60&amp;"'!$C$2:$C$501"),"Yes"),0)))</f>
        <v>0</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n">
        <f aca="true">IF(OR($A60="",$I60=""),"",IF($BC60="Y",SUMIFS(survey_frozen!$E$2:$E$251,survey_frozen!$P$2:$P$251,$A60&amp;"|"&amp;$B60),IFERROR(COUNTIFS(INDIRECT("'"&amp;$A60&amp;"'!$B$2:$B$501"),$T60,INDIRECT("'"&amp;$A60&amp;"'!$A$2:$A$501"),"&gt;="&amp;$I60,INDIRECT("'"&amp;$A60&amp;"'!$A$2:$A$501"),"&lt;"&amp;($BA60+1),INDIRECT("'"&amp;$A60&amp;"'!$F$2:$F$501"),"Didn't see it"),0)))</f>
        <v>0</v>
      </c>
      <c r="AR60" s="30" t="n">
        <f aca="true">IF(OR($A60="",$I60=""),"",IF($BC60="Y",SUMIFS(survey_frozen!$F$2:$F$251,survey_frozen!$P$2:$P$251,$A60&amp;"|"&amp;$B60),IFERROR(COUNTIFS(INDIRECT("'"&amp;$A60&amp;"'!$B$2:$B$501"),$T60,INDIRECT("'"&amp;$A60&amp;"'!$A$2:$A$501"),"&gt;="&amp;$I60,INDIRECT("'"&amp;$A60&amp;"'!$A$2:$A$501"),"&lt;"&amp;($BA60+1),INDIRECT("'"&amp;$A60&amp;"'!$F$2:$F$501"),"Not for me"),0)))</f>
        <v>0</v>
      </c>
      <c r="AS60" s="30" t="n">
        <f aca="true">IF(OR($A60="",$I60=""),"",IF($BC60="Y",SUMIFS(survey_frozen!$G$2:$G$251,survey_frozen!$P$2:$P$251,$A60&amp;"|"&amp;$B60),IFERROR(COUNTIFS(INDIRECT("'"&amp;$A60&amp;"'!$B$2:$B$501"),$T60,INDIRECT("'"&amp;$A60&amp;"'!$A$2:$A$501"),"&gt;="&amp;$I60,INDIRECT("'"&amp;$A60&amp;"'!$A$2:$A$501"),"&lt;"&amp;($BA60+1),INDIRECT("'"&amp;$A60&amp;"'!$F$2:$F$501"),"Gone by the time I looked"),0)))</f>
        <v>0</v>
      </c>
      <c r="AT60" s="30" t="n">
        <f aca="true">IF(OR($A60="",$I60=""),"",IF($BC60="Y",SUMIFS(survey_frozen!$H$2:$H$251,survey_frozen!$P$2:$P$251,$A60&amp;"|"&amp;$B60),IFERROR(COUNTIFS(INDIRECT("'"&amp;$A60&amp;"'!$B$2:$B$501"),$T60,INDIRECT("'"&amp;$A60&amp;"'!$A$2:$A$501"),"&gt;="&amp;$I60,INDIRECT("'"&amp;$A60&amp;"'!$A$2:$A$501"),"&lt;"&amp;($BA60+1),INDIRECT("'"&amp;$A60&amp;"'!$D$2:$D$501"),"&gt;=1"),0)))</f>
        <v>0</v>
      </c>
      <c r="AU60" s="30" t="n">
        <f aca="true">IF(OR($A60="",$I60=""),"",IF($BC60="Y",SUMIFS(survey_frozen!$I$2:$I$251,survey_frozen!$P$2:$P$251,$A60&amp;"|"&amp;$B60),IFERROR(SUMIFS(INDIRECT("'"&amp;$A60&amp;"'!$D$2:$D$501"),INDIRECT("'"&amp;$A60&amp;"'!$B$2:$B$501"),$T60,INDIRECT("'"&amp;$A60&amp;"'!$A$2:$A$501"),"&gt;="&amp;$I60,INDIRECT("'"&amp;$A60&amp;"'!$A$2:$A$501"),"&lt;"&amp;($BA60+1)),0)))</f>
        <v>0</v>
      </c>
      <c r="AV60" s="30" t="n">
        <f aca="true">IF(OR($A60="",$I60=""),"",IF($BC60="Y",SUMIFS(survey_frozen!$J$2:$J$251,survey_frozen!$P$2:$P$251,$A60&amp;"|"&amp;$B60),IFERROR(COUNTIFS(INDIRECT("'"&amp;$A60&amp;"'!$B$2:$B$501"),$T60,INDIRECT("'"&amp;$A60&amp;"'!$A$2:$A$501"),"&gt;="&amp;$I60,INDIRECT("'"&amp;$A60&amp;"'!$A$2:$A$501"),"&lt;"&amp;($BA60+1),INDIRECT("'"&amp;$A60&amp;"'!$E$2:$E$501"),"Yes"),0)))</f>
        <v>0</v>
      </c>
      <c r="AW60" s="30" t="n">
        <f aca="true">IF(OR($A60="",$I60=""),"",IF($BC60="Y",SUMIFS(survey_frozen!$K$2:$K$251,survey_frozen!$P$2:$P$251,$A60&amp;"|"&amp;$B60),IFERROR(COUNTIFS(INDIRECT("'"&amp;$A60&amp;"'!$B$2:$B$501"),$T60,INDIRECT("'"&amp;$A60&amp;"'!$A$2:$A$501"),"&gt;="&amp;$I60,INDIRECT("'"&amp;$A60&amp;"'!$A$2:$A$501"),"&lt;"&amp;($BA60+1),INDIRECT("'"&amp;$A60&amp;"'!$E$2:$E$501"),"Maybe"),0)))</f>
        <v>0</v>
      </c>
      <c r="AX60" s="30" t="n">
        <f aca="true">IF(OR($A60="",$I60=""),"",IF($BC60="Y",SUMIFS(survey_frozen!$L$2:$L$251,survey_frozen!$P$2:$P$251,$A60&amp;"|"&amp;$B60),IFERROR(COUNTIFS(INDIRECT("'"&amp;$A60&amp;"'!$B$2:$B$501"),$T60,INDIRECT("'"&amp;$A60&amp;"'!$A$2:$A$501"),"&gt;="&amp;$I60,INDIRECT("'"&amp;$A60&amp;"'!$A$2:$A$501"),"&lt;"&amp;($BA60+1),INDIRECT("'"&amp;$A60&amp;"'!$E$2:$E$501"),"No"),0)))</f>
        <v>0</v>
      </c>
      <c r="AY60" s="30" t="n">
        <f aca="true">IF(OR($A60="",$I60=""),"",IF($BC60="Y",SUMIFS(survey_frozen!$M$2:$M$251,survey_frozen!$P$2:$P$251,$A60&amp;"|"&amp;$B60),IFERROR(COUNTIFS(INDIRECT("'"&amp;$A60&amp;"'!$B$2:$B$501"),$T60,INDIRECT("'"&amp;$A60&amp;"'!$A$2:$A$501"),"&gt;="&amp;$I60,INDIRECT("'"&amp;$A60&amp;"'!$A$2:$A$501"),"&lt;"&amp;($BA60+1),INDIRECT("'"&amp;$A60&amp;"'!$G$2:$G$501"),"&lt;&gt;"),0)))</f>
        <v>0</v>
      </c>
      <c r="AZ60" s="30" t="str">
        <f aca="false">IF($A60="","",$A60&amp;"|"&amp;$L60)</f>
        <v>SAMPLE-CMP-007|9</v>
      </c>
      <c r="BA60" s="31" t="n">
        <f aca="false">IF($A60="","",IFERROR(IF(INDEX(drops!$R$2:$R$21,MATCH($H60,drops!$A$2:$A$21,0))="","",INDEX(drops!$R$2:$R$21,MATCH($H60,drops!$A$2:$A$21,0))),""))</f>
        <v>46475</v>
      </c>
      <c r="BB60" s="30" t="n">
        <f aca="false">IF(OR($A60="",$Q60&lt;&gt;"Y"),1000000,N($AL60))</f>
        <v>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Y</v>
      </c>
    </row>
    <row r="61" customFormat="false" ht="15" hidden="false" customHeight="false" outlineLevel="0" collapsed="false">
      <c r="A61" s="0" t="s">
        <v>576</v>
      </c>
      <c r="B61" s="0" t="s">
        <v>688</v>
      </c>
      <c r="C61" s="11" t="n">
        <v>46442</v>
      </c>
      <c r="D61" s="10" t="s">
        <v>496</v>
      </c>
      <c r="E61" s="11" t="n">
        <v>46443</v>
      </c>
      <c r="F61" s="10" t="s">
        <v>727</v>
      </c>
      <c r="H61" s="30" t="str">
        <f aca="false">IF($A61="","",IFERROR(IF(INDEX(campaigns!$B$2:$B$51,MATCH($A61,campaigns!$A$2:$A$51,0))="","",INDEX(campaigns!$B$2:$B$51,MATCH($A61,campaigns!$A$2:$A$51,0))),""))</f>
        <v>SAMPLE-DRP-004</v>
      </c>
      <c r="I61" s="31" t="n">
        <f aca="false">IF($A61="","",IFERROR(IF(INDEX(campaigns!$BG$2:$BG$51,MATCH($A61,campaigns!$A$2:$A$51,0))="","",INDEX(campaigns!$BG$2:$BG$51,MATCH($A61,campaigns!$A$2:$A$51,0))),""))</f>
        <v>46469</v>
      </c>
      <c r="J61" s="30" t="str">
        <f aca="false">IF($A61="","",IFERROR(IF(INDEX(campaigns!$BE$2:$BE$51,MATCH($A61,campaigns!$A$2:$A$51,0))="","",INDEX(campaigns!$BE$2:$BE$51,MATCH($A61,campaigns!$A$2:$A$51,0))),""))</f>
        <v>SAMPLE Brightside</v>
      </c>
      <c r="K61" s="30" t="str">
        <f aca="false">IF($B61="","",IFERROR(IF(INDEX(offices!$O$2:$O$61,MATCH($B61,offices!$A$2:$A$61,0))="","",INDEX(offices!$O$2:$O$61,MATCH($B61,offices!$A$2:$A$61,0))),""))</f>
        <v>SAMPLE Quill Nonprofit Press</v>
      </c>
      <c r="L61" s="30" t="n">
        <f aca="false">IF($A61="","",IF($Q61="N","",COUNTIFS($A$2:$A61,$A61,$Q$2:$Q61,"&lt;&gt;N")))</f>
        <v>10</v>
      </c>
      <c r="M61" s="30" t="str">
        <f aca="false">IF(OR($A61="",$L61=""),"",IF(AND(config!$B$34="names_if_public",IFERROR(IF(INDEX(offices!$AG$2:$AG$61,MATCH($B61,offices!$A$2:$A$61,0))="","",INDEX(offices!$AG$2:$AG$61,MATCH($B61,offices!$A$2:$A$61,0))),"")="Y"),$K61,CHAR(64+$L61)))</f>
        <v>J</v>
      </c>
      <c r="N61" s="30" t="n">
        <f aca="false">IF(OR($A61="",$I61=""),"",COUNTIFS(stops!$B$2:$B$151,$B61,stops!$P$2:$P$151,"&lt;"&amp;$I61,stops!$L$2:$L$151,"&lt;&gt;not_delivered")+1)</f>
        <v>3</v>
      </c>
      <c r="O61" s="30" t="str">
        <f aca="false">IF($A61="","",IF(N($N61)&lt;=config!$B$29,"explicit","opt-out"))</f>
        <v>explicit</v>
      </c>
      <c r="P61" s="30" t="str">
        <f aca="false">IF($A61="","",IF($O61="explicit",IF($D61="yes","Y",IF($D61="no","N","pending")),IF($D61="no","N",IF(AND($C61&lt;&gt;"",$I61&lt;&gt;"",$C61&lt;=WORKDAY(N($I61),-5,calendar!$A$2:$A$80)),"Y","pending"))))</f>
        <v>Y</v>
      </c>
      <c r="Q61" s="30" t="str">
        <f aca="false">IF($A61="","",IF($P61="N","N",IF($P61&lt;&gt;"Y","pending",IF(AND((COUNTIFS(stops!$A$2:$A$151,$H61,stops!$B$2:$B$151,$B61,stops!$L$2:$L$151,"declined")+COUNTIFS(stops!$A$2:$A$151,$H61,stops!$B$2:$B$151,$B61,stops!$L$2:$L$151,"building_refused")+COUNTIFS(stops!$A$2:$A$151,$H61,stops!$B$2:$B$151,$B61,stops!$L$2:$L$151,"not_delivered"))&gt;0,N($U61)=0),"N","Y"))))</f>
        <v>Y</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n">
        <f aca="false">IF($A61="","",IF($G61&lt;&gt;"",$G61,IFERROR(IF(INDEX(offices!$AM$2:$AM$61,MATCH($B61,offices!$A$2:$A$61,0))="","",INDEX(offices!$AM$2:$AM$61,MATCH($B61,offices!$A$2:$A$61,0))),"")))</f>
        <v>40</v>
      </c>
      <c r="T61" s="30" t="str">
        <f aca="false">IF($A61="","",$A61&amp;"."&amp;$B61)</f>
        <v>SAMPLE-CMP-007.SAMPLE-O-010</v>
      </c>
      <c r="U61" s="30" t="n">
        <f aca="false">IF($A61="","",SUMIFS(inventory!$G$2:$G$801,inventory!$C$2:$C$801,$A61,inventory!$D$2:$D$801,$B61,inventory!$E$2:$E$801,"delivered"))</f>
        <v>0</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n">
        <f aca="false">IF($A61="","",IF($Y61="",0,N($Z61)))</f>
        <v>0</v>
      </c>
      <c r="AB61" s="30" t="str">
        <f aca="false">IF($A61="","",IF(OR($Y61="",$I61=""),"N",IF($Y61&lt;=WORKDAY(N($I61),1,calendar!$A$2:$A$80),"Y","N")))</f>
        <v>N</v>
      </c>
      <c r="AC61" s="33" t="str">
        <f aca="false">IF(OR($A61="",$V61="",$Y61=""),"",ROUND(($Y61+N(IFERROR(IF(INDEX(photos!$F$2:$F$701,MATCH($A61&amp;"|"&amp;$B61&amp;"|placement|Y",photos!$R$2:$R$701,0))="","",INDEX(photos!$F$2:$F$701,MATCH($A61&amp;"|"&amp;$B61&amp;"|placement|Y",photos!$R$2:$R$701,0))),""))-$V61)*24,1))</f>
        <v/>
      </c>
      <c r="AD61" s="30" t="n">
        <f aca="false">IF($A61="","",SUMIFS(inventory!$G$2:$G$801,inventory!$C$2:$C$801,$A61,inventory!$D$2:$D$801,$B61,inventory!$E$2:$E$801,"topped_up"))</f>
        <v>0</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N</v>
      </c>
      <c r="AL61" s="30" t="n">
        <f aca="true">IF(OR($A61="",$I61=""),"",IF($BC61="Y",SUMIFS(survey_frozen!$C$2:$C$251,survey_frozen!$P$2:$P$251,$A61&amp;"|"&amp;$B61),IFERROR(COUNTIFS(INDIRECT("'"&amp;$A61&amp;"'!$B$2:$B$501"),$T61,INDIRECT("'"&amp;$A61&amp;"'!$A$2:$A$501"),"&gt;="&amp;$I61,INDIRECT("'"&amp;$A61&amp;"'!$A$2:$A$501"),"&lt;"&amp;($BA61+1)),0)))</f>
        <v>0</v>
      </c>
      <c r="AM61" s="30" t="n">
        <f aca="true">IF(OR($A61="",$I61=""),"",IF($BC61="Y",SUMIFS(survey_frozen!$D$2:$D$251,survey_frozen!$P$2:$P$251,$A61&amp;"|"&amp;$B61),IFERROR(COUNTIFS(INDIRECT("'"&amp;$A61&amp;"'!$B$2:$B$501"),$T61,INDIRECT("'"&amp;$A61&amp;"'!$A$2:$A$501"),"&gt;="&amp;$I61,INDIRECT("'"&amp;$A61&amp;"'!$A$2:$A$501"),"&lt;"&amp;($BA61+1),INDIRECT("'"&amp;$A61&amp;"'!$C$2:$C$501"),"Yes"),0)))</f>
        <v>0</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n">
        <f aca="true">IF(OR($A61="",$I61=""),"",IF($BC61="Y",SUMIFS(survey_frozen!$E$2:$E$251,survey_frozen!$P$2:$P$251,$A61&amp;"|"&amp;$B61),IFERROR(COUNTIFS(INDIRECT("'"&amp;$A61&amp;"'!$B$2:$B$501"),$T61,INDIRECT("'"&amp;$A61&amp;"'!$A$2:$A$501"),"&gt;="&amp;$I61,INDIRECT("'"&amp;$A61&amp;"'!$A$2:$A$501"),"&lt;"&amp;($BA61+1),INDIRECT("'"&amp;$A61&amp;"'!$F$2:$F$501"),"Didn't see it"),0)))</f>
        <v>0</v>
      </c>
      <c r="AR61" s="30" t="n">
        <f aca="true">IF(OR($A61="",$I61=""),"",IF($BC61="Y",SUMIFS(survey_frozen!$F$2:$F$251,survey_frozen!$P$2:$P$251,$A61&amp;"|"&amp;$B61),IFERROR(COUNTIFS(INDIRECT("'"&amp;$A61&amp;"'!$B$2:$B$501"),$T61,INDIRECT("'"&amp;$A61&amp;"'!$A$2:$A$501"),"&gt;="&amp;$I61,INDIRECT("'"&amp;$A61&amp;"'!$A$2:$A$501"),"&lt;"&amp;($BA61+1),INDIRECT("'"&amp;$A61&amp;"'!$F$2:$F$501"),"Not for me"),0)))</f>
        <v>0</v>
      </c>
      <c r="AS61" s="30" t="n">
        <f aca="true">IF(OR($A61="",$I61=""),"",IF($BC61="Y",SUMIFS(survey_frozen!$G$2:$G$251,survey_frozen!$P$2:$P$251,$A61&amp;"|"&amp;$B61),IFERROR(COUNTIFS(INDIRECT("'"&amp;$A61&amp;"'!$B$2:$B$501"),$T61,INDIRECT("'"&amp;$A61&amp;"'!$A$2:$A$501"),"&gt;="&amp;$I61,INDIRECT("'"&amp;$A61&amp;"'!$A$2:$A$501"),"&lt;"&amp;($BA61+1),INDIRECT("'"&amp;$A61&amp;"'!$F$2:$F$501"),"Gone by the time I looked"),0)))</f>
        <v>0</v>
      </c>
      <c r="AT61" s="30" t="n">
        <f aca="true">IF(OR($A61="",$I61=""),"",IF($BC61="Y",SUMIFS(survey_frozen!$H$2:$H$251,survey_frozen!$P$2:$P$251,$A61&amp;"|"&amp;$B61),IFERROR(COUNTIFS(INDIRECT("'"&amp;$A61&amp;"'!$B$2:$B$501"),$T61,INDIRECT("'"&amp;$A61&amp;"'!$A$2:$A$501"),"&gt;="&amp;$I61,INDIRECT("'"&amp;$A61&amp;"'!$A$2:$A$501"),"&lt;"&amp;($BA61+1),INDIRECT("'"&amp;$A61&amp;"'!$D$2:$D$501"),"&gt;=1"),0)))</f>
        <v>0</v>
      </c>
      <c r="AU61" s="30" t="n">
        <f aca="true">IF(OR($A61="",$I61=""),"",IF($BC61="Y",SUMIFS(survey_frozen!$I$2:$I$251,survey_frozen!$P$2:$P$251,$A61&amp;"|"&amp;$B61),IFERROR(SUMIFS(INDIRECT("'"&amp;$A61&amp;"'!$D$2:$D$501"),INDIRECT("'"&amp;$A61&amp;"'!$B$2:$B$501"),$T61,INDIRECT("'"&amp;$A61&amp;"'!$A$2:$A$501"),"&gt;="&amp;$I61,INDIRECT("'"&amp;$A61&amp;"'!$A$2:$A$501"),"&lt;"&amp;($BA61+1)),0)))</f>
        <v>0</v>
      </c>
      <c r="AV61" s="30" t="n">
        <f aca="true">IF(OR($A61="",$I61=""),"",IF($BC61="Y",SUMIFS(survey_frozen!$J$2:$J$251,survey_frozen!$P$2:$P$251,$A61&amp;"|"&amp;$B61),IFERROR(COUNTIFS(INDIRECT("'"&amp;$A61&amp;"'!$B$2:$B$501"),$T61,INDIRECT("'"&amp;$A61&amp;"'!$A$2:$A$501"),"&gt;="&amp;$I61,INDIRECT("'"&amp;$A61&amp;"'!$A$2:$A$501"),"&lt;"&amp;($BA61+1),INDIRECT("'"&amp;$A61&amp;"'!$E$2:$E$501"),"Yes"),0)))</f>
        <v>0</v>
      </c>
      <c r="AW61" s="30" t="n">
        <f aca="true">IF(OR($A61="",$I61=""),"",IF($BC61="Y",SUMIFS(survey_frozen!$K$2:$K$251,survey_frozen!$P$2:$P$251,$A61&amp;"|"&amp;$B61),IFERROR(COUNTIFS(INDIRECT("'"&amp;$A61&amp;"'!$B$2:$B$501"),$T61,INDIRECT("'"&amp;$A61&amp;"'!$A$2:$A$501"),"&gt;="&amp;$I61,INDIRECT("'"&amp;$A61&amp;"'!$A$2:$A$501"),"&lt;"&amp;($BA61+1),INDIRECT("'"&amp;$A61&amp;"'!$E$2:$E$501"),"Maybe"),0)))</f>
        <v>0</v>
      </c>
      <c r="AX61" s="30" t="n">
        <f aca="true">IF(OR($A61="",$I61=""),"",IF($BC61="Y",SUMIFS(survey_frozen!$L$2:$L$251,survey_frozen!$P$2:$P$251,$A61&amp;"|"&amp;$B61),IFERROR(COUNTIFS(INDIRECT("'"&amp;$A61&amp;"'!$B$2:$B$501"),$T61,INDIRECT("'"&amp;$A61&amp;"'!$A$2:$A$501"),"&gt;="&amp;$I61,INDIRECT("'"&amp;$A61&amp;"'!$A$2:$A$501"),"&lt;"&amp;($BA61+1),INDIRECT("'"&amp;$A61&amp;"'!$E$2:$E$501"),"No"),0)))</f>
        <v>0</v>
      </c>
      <c r="AY61" s="30" t="n">
        <f aca="true">IF(OR($A61="",$I61=""),"",IF($BC61="Y",SUMIFS(survey_frozen!$M$2:$M$251,survey_frozen!$P$2:$P$251,$A61&amp;"|"&amp;$B61),IFERROR(COUNTIFS(INDIRECT("'"&amp;$A61&amp;"'!$B$2:$B$501"),$T61,INDIRECT("'"&amp;$A61&amp;"'!$A$2:$A$501"),"&gt;="&amp;$I61,INDIRECT("'"&amp;$A61&amp;"'!$A$2:$A$501"),"&lt;"&amp;($BA61+1),INDIRECT("'"&amp;$A61&amp;"'!$G$2:$G$501"),"&lt;&gt;"),0)))</f>
        <v>0</v>
      </c>
      <c r="AZ61" s="30" t="str">
        <f aca="false">IF($A61="","",$A61&amp;"|"&amp;$L61)</f>
        <v>SAMPLE-CMP-007|10</v>
      </c>
      <c r="BA61" s="31" t="n">
        <f aca="false">IF($A61="","",IFERROR(IF(INDEX(drops!$R$2:$R$21,MATCH($H61,drops!$A$2:$A$21,0))="","",INDEX(drops!$R$2:$R$21,MATCH($H61,drops!$A$2:$A$21,0))),""))</f>
        <v>46475</v>
      </c>
      <c r="BB61" s="30" t="n">
        <f aca="false">IF(OR($A61="",$Q61&lt;&gt;"Y"),1000000,N($AL61))</f>
        <v>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A62" s="0" t="s">
        <v>579</v>
      </c>
      <c r="B62" s="0" t="s">
        <v>668</v>
      </c>
      <c r="C62" s="11" t="n">
        <v>46442</v>
      </c>
      <c r="D62" s="10"/>
      <c r="E62" s="11"/>
      <c r="H62" s="30" t="str">
        <f aca="false">IF($A62="","",IFERROR(IF(INDEX(campaigns!$B$2:$B$51,MATCH($A62,campaigns!$A$2:$A$51,0))="","",INDEX(campaigns!$B$2:$B$51,MATCH($A62,campaigns!$A$2:$A$51,0))),""))</f>
        <v>SAMPLE-DRP-004</v>
      </c>
      <c r="I62" s="31" t="n">
        <f aca="false">IF($A62="","",IFERROR(IF(INDEX(campaigns!$BG$2:$BG$51,MATCH($A62,campaigns!$A$2:$A$51,0))="","",INDEX(campaigns!$BG$2:$BG$51,MATCH($A62,campaigns!$A$2:$A$51,0))),""))</f>
        <v>46469</v>
      </c>
      <c r="J62" s="30" t="str">
        <f aca="false">IF($A62="","",IFERROR(IF(INDEX(campaigns!$BE$2:$BE$51,MATCH($A62,campaigns!$A$2:$A$51,0))="","",INDEX(campaigns!$BE$2:$BE$51,MATCH($A62,campaigns!$A$2:$A$51,0))),""))</f>
        <v>SAMPLE Tallgrass</v>
      </c>
      <c r="K62" s="30" t="str">
        <f aca="false">IF($B62="","",IFERROR(IF(INDEX(offices!$O$2:$O$61,MATCH($B62,offices!$A$2:$A$61,0))="","",INDEX(offices!$O$2:$O$61,MATCH($B62,offices!$A$2:$A$61,0))),""))</f>
        <v>SAMPLE Northpoint Software</v>
      </c>
      <c r="L62" s="30" t="n">
        <f aca="false">IF($A62="","",IF($Q62="N","",COUNTIFS($A$2:$A62,$A62,$Q$2:$Q62,"&lt;&gt;N")))</f>
        <v>1</v>
      </c>
      <c r="M62" s="30" t="str">
        <f aca="false">IF(OR($A62="",$L62=""),"",IF(AND(config!$B$34="names_if_public",IFERROR(IF(INDEX(offices!$AG$2:$AG$61,MATCH($B62,offices!$A$2:$A$61,0))="","",INDEX(offices!$AG$2:$AG$61,MATCH($B62,offices!$A$2:$A$61,0))),"")="Y"),$K62,CHAR(64+$L62)))</f>
        <v>A</v>
      </c>
      <c r="N62" s="30" t="n">
        <f aca="false">IF(OR($A62="",$I62=""),"",COUNTIFS(stops!$B$2:$B$151,$B62,stops!$P$2:$P$151,"&lt;"&amp;$I62,stops!$L$2:$L$151,"&lt;&gt;not_delivered")+1)</f>
        <v>4</v>
      </c>
      <c r="O62" s="30" t="str">
        <f aca="false">IF($A62="","",IF(N($N62)&lt;=config!$B$29,"explicit","opt-out"))</f>
        <v>opt-out</v>
      </c>
      <c r="P62" s="30" t="str">
        <f aca="false">IF($A62="","",IF($O62="explicit",IF($D62="yes","Y",IF($D62="no","N","pending")),IF($D62="no","N",IF(AND($C62&lt;&gt;"",$I62&lt;&gt;"",$C62&lt;=WORKDAY(N($I62),-5,calendar!$A$2:$A$80)),"Y","pending"))))</f>
        <v>Y</v>
      </c>
      <c r="Q62" s="30" t="str">
        <f aca="false">IF($A62="","",IF($P62="N","N",IF($P62&lt;&gt;"Y","pending",IF(AND((COUNTIFS(stops!$A$2:$A$151,$H62,stops!$B$2:$B$151,$B62,stops!$L$2:$L$151,"declined")+COUNTIFS(stops!$A$2:$A$151,$H62,stops!$B$2:$B$151,$B62,stops!$L$2:$L$151,"building_refused")+COUNTIFS(stops!$A$2:$A$151,$H62,stops!$B$2:$B$151,$B62,stops!$L$2:$L$151,"not_delivered"))&gt;0,N($U62)=0),"N","Y"))))</f>
        <v>Y</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n">
        <f aca="false">IF($A62="","",IF($G62&lt;&gt;"",$G62,IFERROR(IF(INDEX(offices!$AM$2:$AM$61,MATCH($B62,offices!$A$2:$A$61,0))="","",INDEX(offices!$AM$2:$AM$61,MATCH($B62,offices!$A$2:$A$61,0))),"")))</f>
        <v>40</v>
      </c>
      <c r="T62" s="30" t="str">
        <f aca="false">IF($A62="","",$A62&amp;"."&amp;$B62)</f>
        <v>SAMPLE-CMP-008.SAMPLE-O-001</v>
      </c>
      <c r="U62" s="30" t="n">
        <f aca="false">IF($A62="","",SUMIFS(inventory!$G$2:$G$801,inventory!$C$2:$C$801,$A62,inventory!$D$2:$D$801,$B62,inventory!$E$2:$E$801,"delivered"))</f>
        <v>0</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n">
        <f aca="false">IF($A62="","",IF($Y62="",0,N($Z62)))</f>
        <v>0</v>
      </c>
      <c r="AB62" s="30" t="str">
        <f aca="false">IF($A62="","",IF(OR($Y62="",$I62=""),"N",IF($Y62&lt;=WORKDAY(N($I62),1,calendar!$A$2:$A$80),"Y","N")))</f>
        <v>N</v>
      </c>
      <c r="AC62" s="33" t="str">
        <f aca="false">IF(OR($A62="",$V62="",$Y62=""),"",ROUND(($Y62+N(IFERROR(IF(INDEX(photos!$F$2:$F$701,MATCH($A62&amp;"|"&amp;$B62&amp;"|placement|Y",photos!$R$2:$R$701,0))="","",INDEX(photos!$F$2:$F$701,MATCH($A62&amp;"|"&amp;$B62&amp;"|placement|Y",photos!$R$2:$R$701,0))),""))-$V62)*24,1))</f>
        <v/>
      </c>
      <c r="AD62" s="30" t="n">
        <f aca="false">IF($A62="","",SUMIFS(inventory!$G$2:$G$801,inventory!$C$2:$C$801,$A62,inventory!$D$2:$D$801,$B62,inventory!$E$2:$E$801,"topped_up"))</f>
        <v>0</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N</v>
      </c>
      <c r="AL62" s="30" t="n">
        <f aca="true">IF(OR($A62="",$I62=""),"",IF($BC62="Y",SUMIFS(survey_frozen!$C$2:$C$251,survey_frozen!$P$2:$P$251,$A62&amp;"|"&amp;$B62),IFERROR(COUNTIFS(INDIRECT("'"&amp;$A62&amp;"'!$B$2:$B$501"),$T62,INDIRECT("'"&amp;$A62&amp;"'!$A$2:$A$501"),"&gt;="&amp;$I62,INDIRECT("'"&amp;$A62&amp;"'!$A$2:$A$501"),"&lt;"&amp;($BA62+1)),0)))</f>
        <v>0</v>
      </c>
      <c r="AM62" s="30" t="n">
        <f aca="true">IF(OR($A62="",$I62=""),"",IF($BC62="Y",SUMIFS(survey_frozen!$D$2:$D$251,survey_frozen!$P$2:$P$251,$A62&amp;"|"&amp;$B62),IFERROR(COUNTIFS(INDIRECT("'"&amp;$A62&amp;"'!$B$2:$B$501"),$T62,INDIRECT("'"&amp;$A62&amp;"'!$A$2:$A$501"),"&gt;="&amp;$I62,INDIRECT("'"&amp;$A62&amp;"'!$A$2:$A$501"),"&lt;"&amp;($BA62+1),INDIRECT("'"&amp;$A62&amp;"'!$C$2:$C$501"),"Yes"),0)))</f>
        <v>0</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n">
        <f aca="true">IF(OR($A62="",$I62=""),"",IF($BC62="Y",SUMIFS(survey_frozen!$E$2:$E$251,survey_frozen!$P$2:$P$251,$A62&amp;"|"&amp;$B62),IFERROR(COUNTIFS(INDIRECT("'"&amp;$A62&amp;"'!$B$2:$B$501"),$T62,INDIRECT("'"&amp;$A62&amp;"'!$A$2:$A$501"),"&gt;="&amp;$I62,INDIRECT("'"&amp;$A62&amp;"'!$A$2:$A$501"),"&lt;"&amp;($BA62+1),INDIRECT("'"&amp;$A62&amp;"'!$F$2:$F$501"),"Didn't see it"),0)))</f>
        <v>0</v>
      </c>
      <c r="AR62" s="30" t="n">
        <f aca="true">IF(OR($A62="",$I62=""),"",IF($BC62="Y",SUMIFS(survey_frozen!$F$2:$F$251,survey_frozen!$P$2:$P$251,$A62&amp;"|"&amp;$B62),IFERROR(COUNTIFS(INDIRECT("'"&amp;$A62&amp;"'!$B$2:$B$501"),$T62,INDIRECT("'"&amp;$A62&amp;"'!$A$2:$A$501"),"&gt;="&amp;$I62,INDIRECT("'"&amp;$A62&amp;"'!$A$2:$A$501"),"&lt;"&amp;($BA62+1),INDIRECT("'"&amp;$A62&amp;"'!$F$2:$F$501"),"Not for me"),0)))</f>
        <v>0</v>
      </c>
      <c r="AS62" s="30" t="n">
        <f aca="true">IF(OR($A62="",$I62=""),"",IF($BC62="Y",SUMIFS(survey_frozen!$G$2:$G$251,survey_frozen!$P$2:$P$251,$A62&amp;"|"&amp;$B62),IFERROR(COUNTIFS(INDIRECT("'"&amp;$A62&amp;"'!$B$2:$B$501"),$T62,INDIRECT("'"&amp;$A62&amp;"'!$A$2:$A$501"),"&gt;="&amp;$I62,INDIRECT("'"&amp;$A62&amp;"'!$A$2:$A$501"),"&lt;"&amp;($BA62+1),INDIRECT("'"&amp;$A62&amp;"'!$F$2:$F$501"),"Gone by the time I looked"),0)))</f>
        <v>0</v>
      </c>
      <c r="AT62" s="30" t="n">
        <f aca="true">IF(OR($A62="",$I62=""),"",IF($BC62="Y",SUMIFS(survey_frozen!$H$2:$H$251,survey_frozen!$P$2:$P$251,$A62&amp;"|"&amp;$B62),IFERROR(COUNTIFS(INDIRECT("'"&amp;$A62&amp;"'!$B$2:$B$501"),$T62,INDIRECT("'"&amp;$A62&amp;"'!$A$2:$A$501"),"&gt;="&amp;$I62,INDIRECT("'"&amp;$A62&amp;"'!$A$2:$A$501"),"&lt;"&amp;($BA62+1),INDIRECT("'"&amp;$A62&amp;"'!$D$2:$D$501"),"&gt;=1"),0)))</f>
        <v>0</v>
      </c>
      <c r="AU62" s="30" t="n">
        <f aca="true">IF(OR($A62="",$I62=""),"",IF($BC62="Y",SUMIFS(survey_frozen!$I$2:$I$251,survey_frozen!$P$2:$P$251,$A62&amp;"|"&amp;$B62),IFERROR(SUMIFS(INDIRECT("'"&amp;$A62&amp;"'!$D$2:$D$501"),INDIRECT("'"&amp;$A62&amp;"'!$B$2:$B$501"),$T62,INDIRECT("'"&amp;$A62&amp;"'!$A$2:$A$501"),"&gt;="&amp;$I62,INDIRECT("'"&amp;$A62&amp;"'!$A$2:$A$501"),"&lt;"&amp;($BA62+1)),0)))</f>
        <v>0</v>
      </c>
      <c r="AV62" s="30" t="n">
        <f aca="true">IF(OR($A62="",$I62=""),"",IF($BC62="Y",SUMIFS(survey_frozen!$J$2:$J$251,survey_frozen!$P$2:$P$251,$A62&amp;"|"&amp;$B62),IFERROR(COUNTIFS(INDIRECT("'"&amp;$A62&amp;"'!$B$2:$B$501"),$T62,INDIRECT("'"&amp;$A62&amp;"'!$A$2:$A$501"),"&gt;="&amp;$I62,INDIRECT("'"&amp;$A62&amp;"'!$A$2:$A$501"),"&lt;"&amp;($BA62+1),INDIRECT("'"&amp;$A62&amp;"'!$E$2:$E$501"),"Yes"),0)))</f>
        <v>0</v>
      </c>
      <c r="AW62" s="30" t="n">
        <f aca="true">IF(OR($A62="",$I62=""),"",IF($BC62="Y",SUMIFS(survey_frozen!$K$2:$K$251,survey_frozen!$P$2:$P$251,$A62&amp;"|"&amp;$B62),IFERROR(COUNTIFS(INDIRECT("'"&amp;$A62&amp;"'!$B$2:$B$501"),$T62,INDIRECT("'"&amp;$A62&amp;"'!$A$2:$A$501"),"&gt;="&amp;$I62,INDIRECT("'"&amp;$A62&amp;"'!$A$2:$A$501"),"&lt;"&amp;($BA62+1),INDIRECT("'"&amp;$A62&amp;"'!$E$2:$E$501"),"Maybe"),0)))</f>
        <v>0</v>
      </c>
      <c r="AX62" s="30" t="n">
        <f aca="true">IF(OR($A62="",$I62=""),"",IF($BC62="Y",SUMIFS(survey_frozen!$L$2:$L$251,survey_frozen!$P$2:$P$251,$A62&amp;"|"&amp;$B62),IFERROR(COUNTIFS(INDIRECT("'"&amp;$A62&amp;"'!$B$2:$B$501"),$T62,INDIRECT("'"&amp;$A62&amp;"'!$A$2:$A$501"),"&gt;="&amp;$I62,INDIRECT("'"&amp;$A62&amp;"'!$A$2:$A$501"),"&lt;"&amp;($BA62+1),INDIRECT("'"&amp;$A62&amp;"'!$E$2:$E$501"),"No"),0)))</f>
        <v>0</v>
      </c>
      <c r="AY62" s="30" t="n">
        <f aca="true">IF(OR($A62="",$I62=""),"",IF($BC62="Y",SUMIFS(survey_frozen!$M$2:$M$251,survey_frozen!$P$2:$P$251,$A62&amp;"|"&amp;$B62),IFERROR(COUNTIFS(INDIRECT("'"&amp;$A62&amp;"'!$B$2:$B$501"),$T62,INDIRECT("'"&amp;$A62&amp;"'!$A$2:$A$501"),"&gt;="&amp;$I62,INDIRECT("'"&amp;$A62&amp;"'!$A$2:$A$501"),"&lt;"&amp;($BA62+1),INDIRECT("'"&amp;$A62&amp;"'!$G$2:$G$501"),"&lt;&gt;"),0)))</f>
        <v>0</v>
      </c>
      <c r="AZ62" s="30" t="str">
        <f aca="false">IF($A62="","",$A62&amp;"|"&amp;$L62)</f>
        <v>SAMPLE-CMP-008|1</v>
      </c>
      <c r="BA62" s="31" t="n">
        <f aca="false">IF($A62="","",IFERROR(IF(INDEX(drops!$R$2:$R$21,MATCH($H62,drops!$A$2:$A$21,0))="","",INDEX(drops!$R$2:$R$21,MATCH($H62,drops!$A$2:$A$21,0))),""))</f>
        <v>46475</v>
      </c>
      <c r="BB62" s="30" t="n">
        <f aca="false">IF(OR($A62="",$Q62&lt;&gt;"Y"),1000000,N($AL62))</f>
        <v>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A63" s="0" t="s">
        <v>579</v>
      </c>
      <c r="B63" s="0" t="s">
        <v>671</v>
      </c>
      <c r="C63" s="11" t="n">
        <v>46442</v>
      </c>
      <c r="D63" s="10"/>
      <c r="E63" s="11"/>
      <c r="H63" s="30" t="str">
        <f aca="false">IF($A63="","",IFERROR(IF(INDEX(campaigns!$B$2:$B$51,MATCH($A63,campaigns!$A$2:$A$51,0))="","",INDEX(campaigns!$B$2:$B$51,MATCH($A63,campaigns!$A$2:$A$51,0))),""))</f>
        <v>SAMPLE-DRP-004</v>
      </c>
      <c r="I63" s="31" t="n">
        <f aca="false">IF($A63="","",IFERROR(IF(INDEX(campaigns!$BG$2:$BG$51,MATCH($A63,campaigns!$A$2:$A$51,0))="","",INDEX(campaigns!$BG$2:$BG$51,MATCH($A63,campaigns!$A$2:$A$51,0))),""))</f>
        <v>46469</v>
      </c>
      <c r="J63" s="30" t="str">
        <f aca="false">IF($A63="","",IFERROR(IF(INDEX(campaigns!$BE$2:$BE$51,MATCH($A63,campaigns!$A$2:$A$51,0))="","",INDEX(campaigns!$BE$2:$BE$51,MATCH($A63,campaigns!$A$2:$A$51,0))),""))</f>
        <v>SAMPLE Tallgrass</v>
      </c>
      <c r="K63" s="30" t="str">
        <f aca="false">IF($B63="","",IFERROR(IF(INDEX(offices!$O$2:$O$61,MATCH($B63,offices!$A$2:$A$61,0))="","",INDEX(offices!$O$2:$O$61,MATCH($B63,offices!$A$2:$A$61,0))),""))</f>
        <v>SAMPLE Ferro Architecture</v>
      </c>
      <c r="L63" s="30" t="n">
        <f aca="false">IF($A63="","",IF($Q63="N","",COUNTIFS($A$2:$A63,$A63,$Q$2:$Q63,"&lt;&gt;N")))</f>
        <v>2</v>
      </c>
      <c r="M63" s="30" t="str">
        <f aca="false">IF(OR($A63="",$L63=""),"",IF(AND(config!$B$34="names_if_public",IFERROR(IF(INDEX(offices!$AG$2:$AG$61,MATCH($B63,offices!$A$2:$A$61,0))="","",INDEX(offices!$AG$2:$AG$61,MATCH($B63,offices!$A$2:$A$61,0))),"")="Y"),$K63,CHAR(64+$L63)))</f>
        <v>B</v>
      </c>
      <c r="N63" s="30" t="n">
        <f aca="false">IF(OR($A63="",$I63=""),"",COUNTIFS(stops!$B$2:$B$151,$B63,stops!$P$2:$P$151,"&lt;"&amp;$I63,stops!$L$2:$L$151,"&lt;&gt;not_delivered")+1)</f>
        <v>4</v>
      </c>
      <c r="O63" s="30" t="str">
        <f aca="false">IF($A63="","",IF(N($N63)&lt;=config!$B$29,"explicit","opt-out"))</f>
        <v>opt-out</v>
      </c>
      <c r="P63" s="30" t="str">
        <f aca="false">IF($A63="","",IF($O63="explicit",IF($D63="yes","Y",IF($D63="no","N","pending")),IF($D63="no","N",IF(AND($C63&lt;&gt;"",$I63&lt;&gt;"",$C63&lt;=WORKDAY(N($I63),-5,calendar!$A$2:$A$80)),"Y","pending"))))</f>
        <v>Y</v>
      </c>
      <c r="Q63" s="30" t="str">
        <f aca="false">IF($A63="","",IF($P63="N","N",IF($P63&lt;&gt;"Y","pending",IF(AND((COUNTIFS(stops!$A$2:$A$151,$H63,stops!$B$2:$B$151,$B63,stops!$L$2:$L$151,"declined")+COUNTIFS(stops!$A$2:$A$151,$H63,stops!$B$2:$B$151,$B63,stops!$L$2:$L$151,"building_refused")+COUNTIFS(stops!$A$2:$A$151,$H63,stops!$B$2:$B$151,$B63,stops!$L$2:$L$151,"not_delivered"))&gt;0,N($U63)=0),"N","Y"))))</f>
        <v>Y</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n">
        <f aca="false">IF($A63="","",IF($G63&lt;&gt;"",$G63,IFERROR(IF(INDEX(offices!$AM$2:$AM$61,MATCH($B63,offices!$A$2:$A$61,0))="","",INDEX(offices!$AM$2:$AM$61,MATCH($B63,offices!$A$2:$A$61,0))),"")))</f>
        <v>40</v>
      </c>
      <c r="T63" s="30" t="str">
        <f aca="false">IF($A63="","",$A63&amp;"."&amp;$B63)</f>
        <v>SAMPLE-CMP-008.SAMPLE-O-002</v>
      </c>
      <c r="U63" s="30" t="n">
        <f aca="false">IF($A63="","",SUMIFS(inventory!$G$2:$G$801,inventory!$C$2:$C$801,$A63,inventory!$D$2:$D$801,$B63,inventory!$E$2:$E$801,"delivered"))</f>
        <v>0</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n">
        <f aca="false">IF($A63="","",IF($Y63="",0,N($Z63)))</f>
        <v>0</v>
      </c>
      <c r="AB63" s="30" t="str">
        <f aca="false">IF($A63="","",IF(OR($Y63="",$I63=""),"N",IF($Y63&lt;=WORKDAY(N($I63),1,calendar!$A$2:$A$80),"Y","N")))</f>
        <v>N</v>
      </c>
      <c r="AC63" s="33" t="str">
        <f aca="false">IF(OR($A63="",$V63="",$Y63=""),"",ROUND(($Y63+N(IFERROR(IF(INDEX(photos!$F$2:$F$701,MATCH($A63&amp;"|"&amp;$B63&amp;"|placement|Y",photos!$R$2:$R$701,0))="","",INDEX(photos!$F$2:$F$701,MATCH($A63&amp;"|"&amp;$B63&amp;"|placement|Y",photos!$R$2:$R$701,0))),""))-$V63)*24,1))</f>
        <v/>
      </c>
      <c r="AD63" s="30" t="n">
        <f aca="false">IF($A63="","",SUMIFS(inventory!$G$2:$G$801,inventory!$C$2:$C$801,$A63,inventory!$D$2:$D$801,$B63,inventory!$E$2:$E$801,"topped_up"))</f>
        <v>0</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N</v>
      </c>
      <c r="AL63" s="30" t="n">
        <f aca="true">IF(OR($A63="",$I63=""),"",IF($BC63="Y",SUMIFS(survey_frozen!$C$2:$C$251,survey_frozen!$P$2:$P$251,$A63&amp;"|"&amp;$B63),IFERROR(COUNTIFS(INDIRECT("'"&amp;$A63&amp;"'!$B$2:$B$501"),$T63,INDIRECT("'"&amp;$A63&amp;"'!$A$2:$A$501"),"&gt;="&amp;$I63,INDIRECT("'"&amp;$A63&amp;"'!$A$2:$A$501"),"&lt;"&amp;($BA63+1)),0)))</f>
        <v>0</v>
      </c>
      <c r="AM63" s="30" t="n">
        <f aca="true">IF(OR($A63="",$I63=""),"",IF($BC63="Y",SUMIFS(survey_frozen!$D$2:$D$251,survey_frozen!$P$2:$P$251,$A63&amp;"|"&amp;$B63),IFERROR(COUNTIFS(INDIRECT("'"&amp;$A63&amp;"'!$B$2:$B$501"),$T63,INDIRECT("'"&amp;$A63&amp;"'!$A$2:$A$501"),"&gt;="&amp;$I63,INDIRECT("'"&amp;$A63&amp;"'!$A$2:$A$501"),"&lt;"&amp;($BA63+1),INDIRECT("'"&amp;$A63&amp;"'!$C$2:$C$501"),"Yes"),0)))</f>
        <v>0</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n">
        <f aca="true">IF(OR($A63="",$I63=""),"",IF($BC63="Y",SUMIFS(survey_frozen!$E$2:$E$251,survey_frozen!$P$2:$P$251,$A63&amp;"|"&amp;$B63),IFERROR(COUNTIFS(INDIRECT("'"&amp;$A63&amp;"'!$B$2:$B$501"),$T63,INDIRECT("'"&amp;$A63&amp;"'!$A$2:$A$501"),"&gt;="&amp;$I63,INDIRECT("'"&amp;$A63&amp;"'!$A$2:$A$501"),"&lt;"&amp;($BA63+1),INDIRECT("'"&amp;$A63&amp;"'!$F$2:$F$501"),"Didn't see it"),0)))</f>
        <v>0</v>
      </c>
      <c r="AR63" s="30" t="n">
        <f aca="true">IF(OR($A63="",$I63=""),"",IF($BC63="Y",SUMIFS(survey_frozen!$F$2:$F$251,survey_frozen!$P$2:$P$251,$A63&amp;"|"&amp;$B63),IFERROR(COUNTIFS(INDIRECT("'"&amp;$A63&amp;"'!$B$2:$B$501"),$T63,INDIRECT("'"&amp;$A63&amp;"'!$A$2:$A$501"),"&gt;="&amp;$I63,INDIRECT("'"&amp;$A63&amp;"'!$A$2:$A$501"),"&lt;"&amp;($BA63+1),INDIRECT("'"&amp;$A63&amp;"'!$F$2:$F$501"),"Not for me"),0)))</f>
        <v>0</v>
      </c>
      <c r="AS63" s="30" t="n">
        <f aca="true">IF(OR($A63="",$I63=""),"",IF($BC63="Y",SUMIFS(survey_frozen!$G$2:$G$251,survey_frozen!$P$2:$P$251,$A63&amp;"|"&amp;$B63),IFERROR(COUNTIFS(INDIRECT("'"&amp;$A63&amp;"'!$B$2:$B$501"),$T63,INDIRECT("'"&amp;$A63&amp;"'!$A$2:$A$501"),"&gt;="&amp;$I63,INDIRECT("'"&amp;$A63&amp;"'!$A$2:$A$501"),"&lt;"&amp;($BA63+1),INDIRECT("'"&amp;$A63&amp;"'!$F$2:$F$501"),"Gone by the time I looked"),0)))</f>
        <v>0</v>
      </c>
      <c r="AT63" s="30" t="n">
        <f aca="true">IF(OR($A63="",$I63=""),"",IF($BC63="Y",SUMIFS(survey_frozen!$H$2:$H$251,survey_frozen!$P$2:$P$251,$A63&amp;"|"&amp;$B63),IFERROR(COUNTIFS(INDIRECT("'"&amp;$A63&amp;"'!$B$2:$B$501"),$T63,INDIRECT("'"&amp;$A63&amp;"'!$A$2:$A$501"),"&gt;="&amp;$I63,INDIRECT("'"&amp;$A63&amp;"'!$A$2:$A$501"),"&lt;"&amp;($BA63+1),INDIRECT("'"&amp;$A63&amp;"'!$D$2:$D$501"),"&gt;=1"),0)))</f>
        <v>0</v>
      </c>
      <c r="AU63" s="30" t="n">
        <f aca="true">IF(OR($A63="",$I63=""),"",IF($BC63="Y",SUMIFS(survey_frozen!$I$2:$I$251,survey_frozen!$P$2:$P$251,$A63&amp;"|"&amp;$B63),IFERROR(SUMIFS(INDIRECT("'"&amp;$A63&amp;"'!$D$2:$D$501"),INDIRECT("'"&amp;$A63&amp;"'!$B$2:$B$501"),$T63,INDIRECT("'"&amp;$A63&amp;"'!$A$2:$A$501"),"&gt;="&amp;$I63,INDIRECT("'"&amp;$A63&amp;"'!$A$2:$A$501"),"&lt;"&amp;($BA63+1)),0)))</f>
        <v>0</v>
      </c>
      <c r="AV63" s="30" t="n">
        <f aca="true">IF(OR($A63="",$I63=""),"",IF($BC63="Y",SUMIFS(survey_frozen!$J$2:$J$251,survey_frozen!$P$2:$P$251,$A63&amp;"|"&amp;$B63),IFERROR(COUNTIFS(INDIRECT("'"&amp;$A63&amp;"'!$B$2:$B$501"),$T63,INDIRECT("'"&amp;$A63&amp;"'!$A$2:$A$501"),"&gt;="&amp;$I63,INDIRECT("'"&amp;$A63&amp;"'!$A$2:$A$501"),"&lt;"&amp;($BA63+1),INDIRECT("'"&amp;$A63&amp;"'!$E$2:$E$501"),"Yes"),0)))</f>
        <v>0</v>
      </c>
      <c r="AW63" s="30" t="n">
        <f aca="true">IF(OR($A63="",$I63=""),"",IF($BC63="Y",SUMIFS(survey_frozen!$K$2:$K$251,survey_frozen!$P$2:$P$251,$A63&amp;"|"&amp;$B63),IFERROR(COUNTIFS(INDIRECT("'"&amp;$A63&amp;"'!$B$2:$B$501"),$T63,INDIRECT("'"&amp;$A63&amp;"'!$A$2:$A$501"),"&gt;="&amp;$I63,INDIRECT("'"&amp;$A63&amp;"'!$A$2:$A$501"),"&lt;"&amp;($BA63+1),INDIRECT("'"&amp;$A63&amp;"'!$E$2:$E$501"),"Maybe"),0)))</f>
        <v>0</v>
      </c>
      <c r="AX63" s="30" t="n">
        <f aca="true">IF(OR($A63="",$I63=""),"",IF($BC63="Y",SUMIFS(survey_frozen!$L$2:$L$251,survey_frozen!$P$2:$P$251,$A63&amp;"|"&amp;$B63),IFERROR(COUNTIFS(INDIRECT("'"&amp;$A63&amp;"'!$B$2:$B$501"),$T63,INDIRECT("'"&amp;$A63&amp;"'!$A$2:$A$501"),"&gt;="&amp;$I63,INDIRECT("'"&amp;$A63&amp;"'!$A$2:$A$501"),"&lt;"&amp;($BA63+1),INDIRECT("'"&amp;$A63&amp;"'!$E$2:$E$501"),"No"),0)))</f>
        <v>0</v>
      </c>
      <c r="AY63" s="30" t="n">
        <f aca="true">IF(OR($A63="",$I63=""),"",IF($BC63="Y",SUMIFS(survey_frozen!$M$2:$M$251,survey_frozen!$P$2:$P$251,$A63&amp;"|"&amp;$B63),IFERROR(COUNTIFS(INDIRECT("'"&amp;$A63&amp;"'!$B$2:$B$501"),$T63,INDIRECT("'"&amp;$A63&amp;"'!$A$2:$A$501"),"&gt;="&amp;$I63,INDIRECT("'"&amp;$A63&amp;"'!$A$2:$A$501"),"&lt;"&amp;($BA63+1),INDIRECT("'"&amp;$A63&amp;"'!$G$2:$G$501"),"&lt;&gt;"),0)))</f>
        <v>0</v>
      </c>
      <c r="AZ63" s="30" t="str">
        <f aca="false">IF($A63="","",$A63&amp;"|"&amp;$L63)</f>
        <v>SAMPLE-CMP-008|2</v>
      </c>
      <c r="BA63" s="31" t="n">
        <f aca="false">IF($A63="","",IFERROR(IF(INDEX(drops!$R$2:$R$21,MATCH($H63,drops!$A$2:$A$21,0))="","",INDEX(drops!$R$2:$R$21,MATCH($H63,drops!$A$2:$A$21,0))),""))</f>
        <v>46475</v>
      </c>
      <c r="BB63" s="30" t="n">
        <f aca="false">IF(OR($A63="",$Q63&lt;&gt;"Y"),1000000,N($AL63))</f>
        <v>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A64" s="0" t="s">
        <v>579</v>
      </c>
      <c r="B64" s="0" t="s">
        <v>673</v>
      </c>
      <c r="C64" s="11" t="n">
        <v>46442</v>
      </c>
      <c r="D64" s="10"/>
      <c r="E64" s="11"/>
      <c r="H64" s="30" t="str">
        <f aca="false">IF($A64="","",IFERROR(IF(INDEX(campaigns!$B$2:$B$51,MATCH($A64,campaigns!$A$2:$A$51,0))="","",INDEX(campaigns!$B$2:$B$51,MATCH($A64,campaigns!$A$2:$A$51,0))),""))</f>
        <v>SAMPLE-DRP-004</v>
      </c>
      <c r="I64" s="31" t="n">
        <f aca="false">IF($A64="","",IFERROR(IF(INDEX(campaigns!$BG$2:$BG$51,MATCH($A64,campaigns!$A$2:$A$51,0))="","",INDEX(campaigns!$BG$2:$BG$51,MATCH($A64,campaigns!$A$2:$A$51,0))),""))</f>
        <v>46469</v>
      </c>
      <c r="J64" s="30" t="str">
        <f aca="false">IF($A64="","",IFERROR(IF(INDEX(campaigns!$BE$2:$BE$51,MATCH($A64,campaigns!$A$2:$A$51,0))="","",INDEX(campaigns!$BE$2:$BE$51,MATCH($A64,campaigns!$A$2:$A$51,0))),""))</f>
        <v>SAMPLE Tallgrass</v>
      </c>
      <c r="K64" s="30" t="str">
        <f aca="false">IF($B64="","",IFERROR(IF(INDEX(offices!$O$2:$O$61,MATCH($B64,offices!$A$2:$A$61,0))="","",INDEX(offices!$O$2:$O$61,MATCH($B64,offices!$A$2:$A$61,0))),""))</f>
        <v>SAMPLE Halcyon Media</v>
      </c>
      <c r="L64" s="30" t="n">
        <f aca="false">IF($A64="","",IF($Q64="N","",COUNTIFS($A$2:$A64,$A64,$Q$2:$Q64,"&lt;&gt;N")))</f>
        <v>3</v>
      </c>
      <c r="M64" s="30" t="str">
        <f aca="false">IF(OR($A64="",$L64=""),"",IF(AND(config!$B$34="names_if_public",IFERROR(IF(INDEX(offices!$AG$2:$AG$61,MATCH($B64,offices!$A$2:$A$61,0))="","",INDEX(offices!$AG$2:$AG$61,MATCH($B64,offices!$A$2:$A$61,0))),"")="Y"),$K64,CHAR(64+$L64)))</f>
        <v>C</v>
      </c>
      <c r="N64" s="30" t="n">
        <f aca="false">IF(OR($A64="",$I64=""),"",COUNTIFS(stops!$B$2:$B$151,$B64,stops!$P$2:$P$151,"&lt;"&amp;$I64,stops!$L$2:$L$151,"&lt;&gt;not_delivered")+1)</f>
        <v>4</v>
      </c>
      <c r="O64" s="30" t="str">
        <f aca="false">IF($A64="","",IF(N($N64)&lt;=config!$B$29,"explicit","opt-out"))</f>
        <v>opt-out</v>
      </c>
      <c r="P64" s="30" t="str">
        <f aca="false">IF($A64="","",IF($O64="explicit",IF($D64="yes","Y",IF($D64="no","N","pending")),IF($D64="no","N",IF(AND($C64&lt;&gt;"",$I64&lt;&gt;"",$C64&lt;=WORKDAY(N($I64),-5,calendar!$A$2:$A$80)),"Y","pending"))))</f>
        <v>Y</v>
      </c>
      <c r="Q64" s="30" t="str">
        <f aca="false">IF($A64="","",IF($P64="N","N",IF($P64&lt;&gt;"Y","pending",IF(AND((COUNTIFS(stops!$A$2:$A$151,$H64,stops!$B$2:$B$151,$B64,stops!$L$2:$L$151,"declined")+COUNTIFS(stops!$A$2:$A$151,$H64,stops!$B$2:$B$151,$B64,stops!$L$2:$L$151,"building_refused")+COUNTIFS(stops!$A$2:$A$151,$H64,stops!$B$2:$B$151,$B64,stops!$L$2:$L$151,"not_delivered"))&gt;0,N($U64)=0),"N","Y"))))</f>
        <v>Y</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n">
        <f aca="false">IF($A64="","",IF($G64&lt;&gt;"",$G64,IFERROR(IF(INDEX(offices!$AM$2:$AM$61,MATCH($B64,offices!$A$2:$A$61,0))="","",INDEX(offices!$AM$2:$AM$61,MATCH($B64,offices!$A$2:$A$61,0))),"")))</f>
        <v>50</v>
      </c>
      <c r="T64" s="30" t="str">
        <f aca="false">IF($A64="","",$A64&amp;"."&amp;$B64)</f>
        <v>SAMPLE-CMP-008.SAMPLE-O-003</v>
      </c>
      <c r="U64" s="30" t="n">
        <f aca="false">IF($A64="","",SUMIFS(inventory!$G$2:$G$801,inventory!$C$2:$C$801,$A64,inventory!$D$2:$D$801,$B64,inventory!$E$2:$E$801,"delivered"))</f>
        <v>0</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n">
        <f aca="false">IF($A64="","",IF($Y64="",0,N($Z64)))</f>
        <v>0</v>
      </c>
      <c r="AB64" s="30" t="str">
        <f aca="false">IF($A64="","",IF(OR($Y64="",$I64=""),"N",IF($Y64&lt;=WORKDAY(N($I64),1,calendar!$A$2:$A$80),"Y","N")))</f>
        <v>N</v>
      </c>
      <c r="AC64" s="33" t="str">
        <f aca="false">IF(OR($A64="",$V64="",$Y64=""),"",ROUND(($Y64+N(IFERROR(IF(INDEX(photos!$F$2:$F$701,MATCH($A64&amp;"|"&amp;$B64&amp;"|placement|Y",photos!$R$2:$R$701,0))="","",INDEX(photos!$F$2:$F$701,MATCH($A64&amp;"|"&amp;$B64&amp;"|placement|Y",photos!$R$2:$R$701,0))),""))-$V64)*24,1))</f>
        <v/>
      </c>
      <c r="AD64" s="30" t="n">
        <f aca="false">IF($A64="","",SUMIFS(inventory!$G$2:$G$801,inventory!$C$2:$C$801,$A64,inventory!$D$2:$D$801,$B64,inventory!$E$2:$E$801,"topped_up"))</f>
        <v>0</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N</v>
      </c>
      <c r="AL64" s="30" t="n">
        <f aca="true">IF(OR($A64="",$I64=""),"",IF($BC64="Y",SUMIFS(survey_frozen!$C$2:$C$251,survey_frozen!$P$2:$P$251,$A64&amp;"|"&amp;$B64),IFERROR(COUNTIFS(INDIRECT("'"&amp;$A64&amp;"'!$B$2:$B$501"),$T64,INDIRECT("'"&amp;$A64&amp;"'!$A$2:$A$501"),"&gt;="&amp;$I64,INDIRECT("'"&amp;$A64&amp;"'!$A$2:$A$501"),"&lt;"&amp;($BA64+1)),0)))</f>
        <v>0</v>
      </c>
      <c r="AM64" s="30" t="n">
        <f aca="true">IF(OR($A64="",$I64=""),"",IF($BC64="Y",SUMIFS(survey_frozen!$D$2:$D$251,survey_frozen!$P$2:$P$251,$A64&amp;"|"&amp;$B64),IFERROR(COUNTIFS(INDIRECT("'"&amp;$A64&amp;"'!$B$2:$B$501"),$T64,INDIRECT("'"&amp;$A64&amp;"'!$A$2:$A$501"),"&gt;="&amp;$I64,INDIRECT("'"&amp;$A64&amp;"'!$A$2:$A$501"),"&lt;"&amp;($BA64+1),INDIRECT("'"&amp;$A64&amp;"'!$C$2:$C$501"),"Yes"),0)))</f>
        <v>0</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n">
        <f aca="true">IF(OR($A64="",$I64=""),"",IF($BC64="Y",SUMIFS(survey_frozen!$E$2:$E$251,survey_frozen!$P$2:$P$251,$A64&amp;"|"&amp;$B64),IFERROR(COUNTIFS(INDIRECT("'"&amp;$A64&amp;"'!$B$2:$B$501"),$T64,INDIRECT("'"&amp;$A64&amp;"'!$A$2:$A$501"),"&gt;="&amp;$I64,INDIRECT("'"&amp;$A64&amp;"'!$A$2:$A$501"),"&lt;"&amp;($BA64+1),INDIRECT("'"&amp;$A64&amp;"'!$F$2:$F$501"),"Didn't see it"),0)))</f>
        <v>0</v>
      </c>
      <c r="AR64" s="30" t="n">
        <f aca="true">IF(OR($A64="",$I64=""),"",IF($BC64="Y",SUMIFS(survey_frozen!$F$2:$F$251,survey_frozen!$P$2:$P$251,$A64&amp;"|"&amp;$B64),IFERROR(COUNTIFS(INDIRECT("'"&amp;$A64&amp;"'!$B$2:$B$501"),$T64,INDIRECT("'"&amp;$A64&amp;"'!$A$2:$A$501"),"&gt;="&amp;$I64,INDIRECT("'"&amp;$A64&amp;"'!$A$2:$A$501"),"&lt;"&amp;($BA64+1),INDIRECT("'"&amp;$A64&amp;"'!$F$2:$F$501"),"Not for me"),0)))</f>
        <v>0</v>
      </c>
      <c r="AS64" s="30" t="n">
        <f aca="true">IF(OR($A64="",$I64=""),"",IF($BC64="Y",SUMIFS(survey_frozen!$G$2:$G$251,survey_frozen!$P$2:$P$251,$A64&amp;"|"&amp;$B64),IFERROR(COUNTIFS(INDIRECT("'"&amp;$A64&amp;"'!$B$2:$B$501"),$T64,INDIRECT("'"&amp;$A64&amp;"'!$A$2:$A$501"),"&gt;="&amp;$I64,INDIRECT("'"&amp;$A64&amp;"'!$A$2:$A$501"),"&lt;"&amp;($BA64+1),INDIRECT("'"&amp;$A64&amp;"'!$F$2:$F$501"),"Gone by the time I looked"),0)))</f>
        <v>0</v>
      </c>
      <c r="AT64" s="30" t="n">
        <f aca="true">IF(OR($A64="",$I64=""),"",IF($BC64="Y",SUMIFS(survey_frozen!$H$2:$H$251,survey_frozen!$P$2:$P$251,$A64&amp;"|"&amp;$B64),IFERROR(COUNTIFS(INDIRECT("'"&amp;$A64&amp;"'!$B$2:$B$501"),$T64,INDIRECT("'"&amp;$A64&amp;"'!$A$2:$A$501"),"&gt;="&amp;$I64,INDIRECT("'"&amp;$A64&amp;"'!$A$2:$A$501"),"&lt;"&amp;($BA64+1),INDIRECT("'"&amp;$A64&amp;"'!$D$2:$D$501"),"&gt;=1"),0)))</f>
        <v>0</v>
      </c>
      <c r="AU64" s="30" t="n">
        <f aca="true">IF(OR($A64="",$I64=""),"",IF($BC64="Y",SUMIFS(survey_frozen!$I$2:$I$251,survey_frozen!$P$2:$P$251,$A64&amp;"|"&amp;$B64),IFERROR(SUMIFS(INDIRECT("'"&amp;$A64&amp;"'!$D$2:$D$501"),INDIRECT("'"&amp;$A64&amp;"'!$B$2:$B$501"),$T64,INDIRECT("'"&amp;$A64&amp;"'!$A$2:$A$501"),"&gt;="&amp;$I64,INDIRECT("'"&amp;$A64&amp;"'!$A$2:$A$501"),"&lt;"&amp;($BA64+1)),0)))</f>
        <v>0</v>
      </c>
      <c r="AV64" s="30" t="n">
        <f aca="true">IF(OR($A64="",$I64=""),"",IF($BC64="Y",SUMIFS(survey_frozen!$J$2:$J$251,survey_frozen!$P$2:$P$251,$A64&amp;"|"&amp;$B64),IFERROR(COUNTIFS(INDIRECT("'"&amp;$A64&amp;"'!$B$2:$B$501"),$T64,INDIRECT("'"&amp;$A64&amp;"'!$A$2:$A$501"),"&gt;="&amp;$I64,INDIRECT("'"&amp;$A64&amp;"'!$A$2:$A$501"),"&lt;"&amp;($BA64+1),INDIRECT("'"&amp;$A64&amp;"'!$E$2:$E$501"),"Yes"),0)))</f>
        <v>0</v>
      </c>
      <c r="AW64" s="30" t="n">
        <f aca="true">IF(OR($A64="",$I64=""),"",IF($BC64="Y",SUMIFS(survey_frozen!$K$2:$K$251,survey_frozen!$P$2:$P$251,$A64&amp;"|"&amp;$B64),IFERROR(COUNTIFS(INDIRECT("'"&amp;$A64&amp;"'!$B$2:$B$501"),$T64,INDIRECT("'"&amp;$A64&amp;"'!$A$2:$A$501"),"&gt;="&amp;$I64,INDIRECT("'"&amp;$A64&amp;"'!$A$2:$A$501"),"&lt;"&amp;($BA64+1),INDIRECT("'"&amp;$A64&amp;"'!$E$2:$E$501"),"Maybe"),0)))</f>
        <v>0</v>
      </c>
      <c r="AX64" s="30" t="n">
        <f aca="true">IF(OR($A64="",$I64=""),"",IF($BC64="Y",SUMIFS(survey_frozen!$L$2:$L$251,survey_frozen!$P$2:$P$251,$A64&amp;"|"&amp;$B64),IFERROR(COUNTIFS(INDIRECT("'"&amp;$A64&amp;"'!$B$2:$B$501"),$T64,INDIRECT("'"&amp;$A64&amp;"'!$A$2:$A$501"),"&gt;="&amp;$I64,INDIRECT("'"&amp;$A64&amp;"'!$A$2:$A$501"),"&lt;"&amp;($BA64+1),INDIRECT("'"&amp;$A64&amp;"'!$E$2:$E$501"),"No"),0)))</f>
        <v>0</v>
      </c>
      <c r="AY64" s="30" t="n">
        <f aca="true">IF(OR($A64="",$I64=""),"",IF($BC64="Y",SUMIFS(survey_frozen!$M$2:$M$251,survey_frozen!$P$2:$P$251,$A64&amp;"|"&amp;$B64),IFERROR(COUNTIFS(INDIRECT("'"&amp;$A64&amp;"'!$B$2:$B$501"),$T64,INDIRECT("'"&amp;$A64&amp;"'!$A$2:$A$501"),"&gt;="&amp;$I64,INDIRECT("'"&amp;$A64&amp;"'!$A$2:$A$501"),"&lt;"&amp;($BA64+1),INDIRECT("'"&amp;$A64&amp;"'!$G$2:$G$501"),"&lt;&gt;"),0)))</f>
        <v>0</v>
      </c>
      <c r="AZ64" s="30" t="str">
        <f aca="false">IF($A64="","",$A64&amp;"|"&amp;$L64)</f>
        <v>SAMPLE-CMP-008|3</v>
      </c>
      <c r="BA64" s="31" t="n">
        <f aca="false">IF($A64="","",IFERROR(IF(INDEX(drops!$R$2:$R$21,MATCH($H64,drops!$A$2:$A$21,0))="","",INDEX(drops!$R$2:$R$21,MATCH($H64,drops!$A$2:$A$21,0))),""))</f>
        <v>46475</v>
      </c>
      <c r="BB64" s="30" t="n">
        <f aca="false">IF(OR($A64="",$Q64&lt;&gt;"Y"),1000000,N($AL64))</f>
        <v>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A65" s="0" t="s">
        <v>579</v>
      </c>
      <c r="B65" s="0" t="s">
        <v>676</v>
      </c>
      <c r="C65" s="11" t="n">
        <v>46442</v>
      </c>
      <c r="D65" s="10"/>
      <c r="E65" s="11"/>
      <c r="H65" s="30" t="str">
        <f aca="false">IF($A65="","",IFERROR(IF(INDEX(campaigns!$B$2:$B$51,MATCH($A65,campaigns!$A$2:$A$51,0))="","",INDEX(campaigns!$B$2:$B$51,MATCH($A65,campaigns!$A$2:$A$51,0))),""))</f>
        <v>SAMPLE-DRP-004</v>
      </c>
      <c r="I65" s="31" t="n">
        <f aca="false">IF($A65="","",IFERROR(IF(INDEX(campaigns!$BG$2:$BG$51,MATCH($A65,campaigns!$A$2:$A$51,0))="","",INDEX(campaigns!$BG$2:$BG$51,MATCH($A65,campaigns!$A$2:$A$51,0))),""))</f>
        <v>46469</v>
      </c>
      <c r="J65" s="30" t="str">
        <f aca="false">IF($A65="","",IFERROR(IF(INDEX(campaigns!$BE$2:$BE$51,MATCH($A65,campaigns!$A$2:$A$51,0))="","",INDEX(campaigns!$BE$2:$BE$51,MATCH($A65,campaigns!$A$2:$A$51,0))),""))</f>
        <v>SAMPLE Tallgrass</v>
      </c>
      <c r="K65" s="30" t="str">
        <f aca="false">IF($B65="","",IFERROR(IF(INDEX(offices!$O$2:$O$61,MATCH($B65,offices!$A$2:$A$61,0))="","",INDEX(offices!$O$2:$O$61,MATCH($B65,offices!$A$2:$A$61,0))),""))</f>
        <v>SAMPLE Union Food Fund</v>
      </c>
      <c r="L65" s="30" t="n">
        <f aca="false">IF($A65="","",IF($Q65="N","",COUNTIFS($A$2:$A65,$A65,$Q$2:$Q65,"&lt;&gt;N")))</f>
        <v>4</v>
      </c>
      <c r="M65" s="30" t="str">
        <f aca="false">IF(OR($A65="",$L65=""),"",IF(AND(config!$B$34="names_if_public",IFERROR(IF(INDEX(offices!$AG$2:$AG$61,MATCH($B65,offices!$A$2:$A$61,0))="","",INDEX(offices!$AG$2:$AG$61,MATCH($B65,offices!$A$2:$A$61,0))),"")="Y"),$K65,CHAR(64+$L65)))</f>
        <v>D</v>
      </c>
      <c r="N65" s="30" t="n">
        <f aca="false">IF(OR($A65="",$I65=""),"",COUNTIFS(stops!$B$2:$B$151,$B65,stops!$P$2:$P$151,"&lt;"&amp;$I65,stops!$L$2:$L$151,"&lt;&gt;not_delivered")+1)</f>
        <v>4</v>
      </c>
      <c r="O65" s="30" t="str">
        <f aca="false">IF($A65="","",IF(N($N65)&lt;=config!$B$29,"explicit","opt-out"))</f>
        <v>opt-out</v>
      </c>
      <c r="P65" s="30" t="str">
        <f aca="false">IF($A65="","",IF($O65="explicit",IF($D65="yes","Y",IF($D65="no","N","pending")),IF($D65="no","N",IF(AND($C65&lt;&gt;"",$I65&lt;&gt;"",$C65&lt;=WORKDAY(N($I65),-5,calendar!$A$2:$A$80)),"Y","pending"))))</f>
        <v>Y</v>
      </c>
      <c r="Q65" s="30" t="str">
        <f aca="false">IF($A65="","",IF($P65="N","N",IF($P65&lt;&gt;"Y","pending",IF(AND((COUNTIFS(stops!$A$2:$A$151,$H65,stops!$B$2:$B$151,$B65,stops!$L$2:$L$151,"declined")+COUNTIFS(stops!$A$2:$A$151,$H65,stops!$B$2:$B$151,$B65,stops!$L$2:$L$151,"building_refused")+COUNTIFS(stops!$A$2:$A$151,$H65,stops!$B$2:$B$151,$B65,stops!$L$2:$L$151,"not_delivered"))&gt;0,N($U65)=0),"N","Y"))))</f>
        <v>Y</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n">
        <f aca="false">IF($A65="","",IF($G65&lt;&gt;"",$G65,IFERROR(IF(INDEX(offices!$AM$2:$AM$61,MATCH($B65,offices!$A$2:$A$61,0))="","",INDEX(offices!$AM$2:$AM$61,MATCH($B65,offices!$A$2:$A$61,0))),"")))</f>
        <v>50</v>
      </c>
      <c r="T65" s="30" t="str">
        <f aca="false">IF($A65="","",$A65&amp;"."&amp;$B65)</f>
        <v>SAMPLE-CMP-008.SAMPLE-O-004</v>
      </c>
      <c r="U65" s="30" t="n">
        <f aca="false">IF($A65="","",SUMIFS(inventory!$G$2:$G$801,inventory!$C$2:$C$801,$A65,inventory!$D$2:$D$801,$B65,inventory!$E$2:$E$801,"delivered"))</f>
        <v>0</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n">
        <f aca="false">IF($A65="","",IF($Y65="",0,N($Z65)))</f>
        <v>0</v>
      </c>
      <c r="AB65" s="30" t="str">
        <f aca="false">IF($A65="","",IF(OR($Y65="",$I65=""),"N",IF($Y65&lt;=WORKDAY(N($I65),1,calendar!$A$2:$A$80),"Y","N")))</f>
        <v>N</v>
      </c>
      <c r="AC65" s="33" t="str">
        <f aca="false">IF(OR($A65="",$V65="",$Y65=""),"",ROUND(($Y65+N(IFERROR(IF(INDEX(photos!$F$2:$F$701,MATCH($A65&amp;"|"&amp;$B65&amp;"|placement|Y",photos!$R$2:$R$701,0))="","",INDEX(photos!$F$2:$F$701,MATCH($A65&amp;"|"&amp;$B65&amp;"|placement|Y",photos!$R$2:$R$701,0))),""))-$V65)*24,1))</f>
        <v/>
      </c>
      <c r="AD65" s="30" t="n">
        <f aca="false">IF($A65="","",SUMIFS(inventory!$G$2:$G$801,inventory!$C$2:$C$801,$A65,inventory!$D$2:$D$801,$B65,inventory!$E$2:$E$801,"topped_up"))</f>
        <v>0</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N</v>
      </c>
      <c r="AL65" s="30" t="n">
        <f aca="true">IF(OR($A65="",$I65=""),"",IF($BC65="Y",SUMIFS(survey_frozen!$C$2:$C$251,survey_frozen!$P$2:$P$251,$A65&amp;"|"&amp;$B65),IFERROR(COUNTIFS(INDIRECT("'"&amp;$A65&amp;"'!$B$2:$B$501"),$T65,INDIRECT("'"&amp;$A65&amp;"'!$A$2:$A$501"),"&gt;="&amp;$I65,INDIRECT("'"&amp;$A65&amp;"'!$A$2:$A$501"),"&lt;"&amp;($BA65+1)),0)))</f>
        <v>0</v>
      </c>
      <c r="AM65" s="30" t="n">
        <f aca="true">IF(OR($A65="",$I65=""),"",IF($BC65="Y",SUMIFS(survey_frozen!$D$2:$D$251,survey_frozen!$P$2:$P$251,$A65&amp;"|"&amp;$B65),IFERROR(COUNTIFS(INDIRECT("'"&amp;$A65&amp;"'!$B$2:$B$501"),$T65,INDIRECT("'"&amp;$A65&amp;"'!$A$2:$A$501"),"&gt;="&amp;$I65,INDIRECT("'"&amp;$A65&amp;"'!$A$2:$A$501"),"&lt;"&amp;($BA65+1),INDIRECT("'"&amp;$A65&amp;"'!$C$2:$C$501"),"Yes"),0)))</f>
        <v>0</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n">
        <f aca="true">IF(OR($A65="",$I65=""),"",IF($BC65="Y",SUMIFS(survey_frozen!$E$2:$E$251,survey_frozen!$P$2:$P$251,$A65&amp;"|"&amp;$B65),IFERROR(COUNTIFS(INDIRECT("'"&amp;$A65&amp;"'!$B$2:$B$501"),$T65,INDIRECT("'"&amp;$A65&amp;"'!$A$2:$A$501"),"&gt;="&amp;$I65,INDIRECT("'"&amp;$A65&amp;"'!$A$2:$A$501"),"&lt;"&amp;($BA65+1),INDIRECT("'"&amp;$A65&amp;"'!$F$2:$F$501"),"Didn't see it"),0)))</f>
        <v>0</v>
      </c>
      <c r="AR65" s="30" t="n">
        <f aca="true">IF(OR($A65="",$I65=""),"",IF($BC65="Y",SUMIFS(survey_frozen!$F$2:$F$251,survey_frozen!$P$2:$P$251,$A65&amp;"|"&amp;$B65),IFERROR(COUNTIFS(INDIRECT("'"&amp;$A65&amp;"'!$B$2:$B$501"),$T65,INDIRECT("'"&amp;$A65&amp;"'!$A$2:$A$501"),"&gt;="&amp;$I65,INDIRECT("'"&amp;$A65&amp;"'!$A$2:$A$501"),"&lt;"&amp;($BA65+1),INDIRECT("'"&amp;$A65&amp;"'!$F$2:$F$501"),"Not for me"),0)))</f>
        <v>0</v>
      </c>
      <c r="AS65" s="30" t="n">
        <f aca="true">IF(OR($A65="",$I65=""),"",IF($BC65="Y",SUMIFS(survey_frozen!$G$2:$G$251,survey_frozen!$P$2:$P$251,$A65&amp;"|"&amp;$B65),IFERROR(COUNTIFS(INDIRECT("'"&amp;$A65&amp;"'!$B$2:$B$501"),$T65,INDIRECT("'"&amp;$A65&amp;"'!$A$2:$A$501"),"&gt;="&amp;$I65,INDIRECT("'"&amp;$A65&amp;"'!$A$2:$A$501"),"&lt;"&amp;($BA65+1),INDIRECT("'"&amp;$A65&amp;"'!$F$2:$F$501"),"Gone by the time I looked"),0)))</f>
        <v>0</v>
      </c>
      <c r="AT65" s="30" t="n">
        <f aca="true">IF(OR($A65="",$I65=""),"",IF($BC65="Y",SUMIFS(survey_frozen!$H$2:$H$251,survey_frozen!$P$2:$P$251,$A65&amp;"|"&amp;$B65),IFERROR(COUNTIFS(INDIRECT("'"&amp;$A65&amp;"'!$B$2:$B$501"),$T65,INDIRECT("'"&amp;$A65&amp;"'!$A$2:$A$501"),"&gt;="&amp;$I65,INDIRECT("'"&amp;$A65&amp;"'!$A$2:$A$501"),"&lt;"&amp;($BA65+1),INDIRECT("'"&amp;$A65&amp;"'!$D$2:$D$501"),"&gt;=1"),0)))</f>
        <v>0</v>
      </c>
      <c r="AU65" s="30" t="n">
        <f aca="true">IF(OR($A65="",$I65=""),"",IF($BC65="Y",SUMIFS(survey_frozen!$I$2:$I$251,survey_frozen!$P$2:$P$251,$A65&amp;"|"&amp;$B65),IFERROR(SUMIFS(INDIRECT("'"&amp;$A65&amp;"'!$D$2:$D$501"),INDIRECT("'"&amp;$A65&amp;"'!$B$2:$B$501"),$T65,INDIRECT("'"&amp;$A65&amp;"'!$A$2:$A$501"),"&gt;="&amp;$I65,INDIRECT("'"&amp;$A65&amp;"'!$A$2:$A$501"),"&lt;"&amp;($BA65+1)),0)))</f>
        <v>0</v>
      </c>
      <c r="AV65" s="30" t="n">
        <f aca="true">IF(OR($A65="",$I65=""),"",IF($BC65="Y",SUMIFS(survey_frozen!$J$2:$J$251,survey_frozen!$P$2:$P$251,$A65&amp;"|"&amp;$B65),IFERROR(COUNTIFS(INDIRECT("'"&amp;$A65&amp;"'!$B$2:$B$501"),$T65,INDIRECT("'"&amp;$A65&amp;"'!$A$2:$A$501"),"&gt;="&amp;$I65,INDIRECT("'"&amp;$A65&amp;"'!$A$2:$A$501"),"&lt;"&amp;($BA65+1),INDIRECT("'"&amp;$A65&amp;"'!$E$2:$E$501"),"Yes"),0)))</f>
        <v>0</v>
      </c>
      <c r="AW65" s="30" t="n">
        <f aca="true">IF(OR($A65="",$I65=""),"",IF($BC65="Y",SUMIFS(survey_frozen!$K$2:$K$251,survey_frozen!$P$2:$P$251,$A65&amp;"|"&amp;$B65),IFERROR(COUNTIFS(INDIRECT("'"&amp;$A65&amp;"'!$B$2:$B$501"),$T65,INDIRECT("'"&amp;$A65&amp;"'!$A$2:$A$501"),"&gt;="&amp;$I65,INDIRECT("'"&amp;$A65&amp;"'!$A$2:$A$501"),"&lt;"&amp;($BA65+1),INDIRECT("'"&amp;$A65&amp;"'!$E$2:$E$501"),"Maybe"),0)))</f>
        <v>0</v>
      </c>
      <c r="AX65" s="30" t="n">
        <f aca="true">IF(OR($A65="",$I65=""),"",IF($BC65="Y",SUMIFS(survey_frozen!$L$2:$L$251,survey_frozen!$P$2:$P$251,$A65&amp;"|"&amp;$B65),IFERROR(COUNTIFS(INDIRECT("'"&amp;$A65&amp;"'!$B$2:$B$501"),$T65,INDIRECT("'"&amp;$A65&amp;"'!$A$2:$A$501"),"&gt;="&amp;$I65,INDIRECT("'"&amp;$A65&amp;"'!$A$2:$A$501"),"&lt;"&amp;($BA65+1),INDIRECT("'"&amp;$A65&amp;"'!$E$2:$E$501"),"No"),0)))</f>
        <v>0</v>
      </c>
      <c r="AY65" s="30" t="n">
        <f aca="true">IF(OR($A65="",$I65=""),"",IF($BC65="Y",SUMIFS(survey_frozen!$M$2:$M$251,survey_frozen!$P$2:$P$251,$A65&amp;"|"&amp;$B65),IFERROR(COUNTIFS(INDIRECT("'"&amp;$A65&amp;"'!$B$2:$B$501"),$T65,INDIRECT("'"&amp;$A65&amp;"'!$A$2:$A$501"),"&gt;="&amp;$I65,INDIRECT("'"&amp;$A65&amp;"'!$A$2:$A$501"),"&lt;"&amp;($BA65+1),INDIRECT("'"&amp;$A65&amp;"'!$G$2:$G$501"),"&lt;&gt;"),0)))</f>
        <v>0</v>
      </c>
      <c r="AZ65" s="30" t="str">
        <f aca="false">IF($A65="","",$A65&amp;"|"&amp;$L65)</f>
        <v>SAMPLE-CMP-008|4</v>
      </c>
      <c r="BA65" s="31" t="n">
        <f aca="false">IF($A65="","",IFERROR(IF(INDEX(drops!$R$2:$R$21,MATCH($H65,drops!$A$2:$A$21,0))="","",INDEX(drops!$R$2:$R$21,MATCH($H65,drops!$A$2:$A$21,0))),""))</f>
        <v>46475</v>
      </c>
      <c r="BB65" s="30" t="n">
        <f aca="false">IF(OR($A65="",$Q65&lt;&gt;"Y"),1000000,N($AL65))</f>
        <v>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A66" s="0" t="s">
        <v>579</v>
      </c>
      <c r="B66" s="0" t="s">
        <v>678</v>
      </c>
      <c r="C66" s="11" t="n">
        <v>46442</v>
      </c>
      <c r="D66" s="10"/>
      <c r="E66" s="11"/>
      <c r="H66" s="30" t="str">
        <f aca="false">IF($A66="","",IFERROR(IF(INDEX(campaigns!$B$2:$B$51,MATCH($A66,campaigns!$A$2:$A$51,0))="","",INDEX(campaigns!$B$2:$B$51,MATCH($A66,campaigns!$A$2:$A$51,0))),""))</f>
        <v>SAMPLE-DRP-004</v>
      </c>
      <c r="I66" s="31" t="n">
        <f aca="false">IF($A66="","",IFERROR(IF(INDEX(campaigns!$BG$2:$BG$51,MATCH($A66,campaigns!$A$2:$A$51,0))="","",INDEX(campaigns!$BG$2:$BG$51,MATCH($A66,campaigns!$A$2:$A$51,0))),""))</f>
        <v>46469</v>
      </c>
      <c r="J66" s="30" t="str">
        <f aca="false">IF($A66="","",IFERROR(IF(INDEX(campaigns!$BE$2:$BE$51,MATCH($A66,campaigns!$A$2:$A$51,0))="","",INDEX(campaigns!$BE$2:$BE$51,MATCH($A66,campaigns!$A$2:$A$51,0))),""))</f>
        <v>SAMPLE Tallgrass</v>
      </c>
      <c r="K66" s="30" t="str">
        <f aca="false">IF($B66="","",IFERROR(IF(INDEX(offices!$O$2:$O$61,MATCH($B66,offices!$A$2:$A$61,0))="","",INDEX(offices!$O$2:$O$61,MATCH($B66,offices!$A$2:$A$61,0))),""))</f>
        <v>SAMPLE Studio Marlow</v>
      </c>
      <c r="L66" s="30" t="n">
        <f aca="false">IF($A66="","",IF($Q66="N","",COUNTIFS($A$2:$A66,$A66,$Q$2:$Q66,"&lt;&gt;N")))</f>
        <v>5</v>
      </c>
      <c r="M66" s="30" t="str">
        <f aca="false">IF(OR($A66="",$L66=""),"",IF(AND(config!$B$34="names_if_public",IFERROR(IF(INDEX(offices!$AG$2:$AG$61,MATCH($B66,offices!$A$2:$A$61,0))="","",INDEX(offices!$AG$2:$AG$61,MATCH($B66,offices!$A$2:$A$61,0))),"")="Y"),$K66,CHAR(64+$L66)))</f>
        <v>E</v>
      </c>
      <c r="N66" s="30" t="n">
        <f aca="false">IF(OR($A66="",$I66=""),"",COUNTIFS(stops!$B$2:$B$151,$B66,stops!$P$2:$P$151,"&lt;"&amp;$I66,stops!$L$2:$L$151,"&lt;&gt;not_delivered")+1)</f>
        <v>4</v>
      </c>
      <c r="O66" s="30" t="str">
        <f aca="false">IF($A66="","",IF(N($N66)&lt;=config!$B$29,"explicit","opt-out"))</f>
        <v>opt-out</v>
      </c>
      <c r="P66" s="30" t="str">
        <f aca="false">IF($A66="","",IF($O66="explicit",IF($D66="yes","Y",IF($D66="no","N","pending")),IF($D66="no","N",IF(AND($C66&lt;&gt;"",$I66&lt;&gt;"",$C66&lt;=WORKDAY(N($I66),-5,calendar!$A$2:$A$80)),"Y","pending"))))</f>
        <v>Y</v>
      </c>
      <c r="Q66" s="30" t="str">
        <f aca="false">IF($A66="","",IF($P66="N","N",IF($P66&lt;&gt;"Y","pending",IF(AND((COUNTIFS(stops!$A$2:$A$151,$H66,stops!$B$2:$B$151,$B66,stops!$L$2:$L$151,"declined")+COUNTIFS(stops!$A$2:$A$151,$H66,stops!$B$2:$B$151,$B66,stops!$L$2:$L$151,"building_refused")+COUNTIFS(stops!$A$2:$A$151,$H66,stops!$B$2:$B$151,$B66,stops!$L$2:$L$151,"not_delivered"))&gt;0,N($U66)=0),"N","Y"))))</f>
        <v>Y</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n">
        <f aca="false">IF($A66="","",IF($G66&lt;&gt;"",$G66,IFERROR(IF(INDEX(offices!$AM$2:$AM$61,MATCH($B66,offices!$A$2:$A$61,0))="","",INDEX(offices!$AM$2:$AM$61,MATCH($B66,offices!$A$2:$A$61,0))),"")))</f>
        <v>70</v>
      </c>
      <c r="T66" s="30" t="str">
        <f aca="false">IF($A66="","",$A66&amp;"."&amp;$B66)</f>
        <v>SAMPLE-CMP-008.SAMPLE-O-005</v>
      </c>
      <c r="U66" s="30" t="n">
        <f aca="false">IF($A66="","",SUMIFS(inventory!$G$2:$G$801,inventory!$C$2:$C$801,$A66,inventory!$D$2:$D$801,$B66,inventory!$E$2:$E$801,"delivered"))</f>
        <v>0</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n">
        <f aca="false">IF($A66="","",IF($Y66="",0,N($Z66)))</f>
        <v>0</v>
      </c>
      <c r="AB66" s="30" t="str">
        <f aca="false">IF($A66="","",IF(OR($Y66="",$I66=""),"N",IF($Y66&lt;=WORKDAY(N($I66),1,calendar!$A$2:$A$80),"Y","N")))</f>
        <v>N</v>
      </c>
      <c r="AC66" s="33" t="str">
        <f aca="false">IF(OR($A66="",$V66="",$Y66=""),"",ROUND(($Y66+N(IFERROR(IF(INDEX(photos!$F$2:$F$701,MATCH($A66&amp;"|"&amp;$B66&amp;"|placement|Y",photos!$R$2:$R$701,0))="","",INDEX(photos!$F$2:$F$701,MATCH($A66&amp;"|"&amp;$B66&amp;"|placement|Y",photos!$R$2:$R$701,0))),""))-$V66)*24,1))</f>
        <v/>
      </c>
      <c r="AD66" s="30" t="n">
        <f aca="false">IF($A66="","",SUMIFS(inventory!$G$2:$G$801,inventory!$C$2:$C$801,$A66,inventory!$D$2:$D$801,$B66,inventory!$E$2:$E$801,"topped_up"))</f>
        <v>0</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N</v>
      </c>
      <c r="AL66" s="30" t="n">
        <f aca="true">IF(OR($A66="",$I66=""),"",IF($BC66="Y",SUMIFS(survey_frozen!$C$2:$C$251,survey_frozen!$P$2:$P$251,$A66&amp;"|"&amp;$B66),IFERROR(COUNTIFS(INDIRECT("'"&amp;$A66&amp;"'!$B$2:$B$501"),$T66,INDIRECT("'"&amp;$A66&amp;"'!$A$2:$A$501"),"&gt;="&amp;$I66,INDIRECT("'"&amp;$A66&amp;"'!$A$2:$A$501"),"&lt;"&amp;($BA66+1)),0)))</f>
        <v>0</v>
      </c>
      <c r="AM66" s="30" t="n">
        <f aca="true">IF(OR($A66="",$I66=""),"",IF($BC66="Y",SUMIFS(survey_frozen!$D$2:$D$251,survey_frozen!$P$2:$P$251,$A66&amp;"|"&amp;$B66),IFERROR(COUNTIFS(INDIRECT("'"&amp;$A66&amp;"'!$B$2:$B$501"),$T66,INDIRECT("'"&amp;$A66&amp;"'!$A$2:$A$501"),"&gt;="&amp;$I66,INDIRECT("'"&amp;$A66&amp;"'!$A$2:$A$501"),"&lt;"&amp;($BA66+1),INDIRECT("'"&amp;$A66&amp;"'!$C$2:$C$501"),"Yes"),0)))</f>
        <v>0</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n">
        <f aca="true">IF(OR($A66="",$I66=""),"",IF($BC66="Y",SUMIFS(survey_frozen!$E$2:$E$251,survey_frozen!$P$2:$P$251,$A66&amp;"|"&amp;$B66),IFERROR(COUNTIFS(INDIRECT("'"&amp;$A66&amp;"'!$B$2:$B$501"),$T66,INDIRECT("'"&amp;$A66&amp;"'!$A$2:$A$501"),"&gt;="&amp;$I66,INDIRECT("'"&amp;$A66&amp;"'!$A$2:$A$501"),"&lt;"&amp;($BA66+1),INDIRECT("'"&amp;$A66&amp;"'!$F$2:$F$501"),"Didn't see it"),0)))</f>
        <v>0</v>
      </c>
      <c r="AR66" s="30" t="n">
        <f aca="true">IF(OR($A66="",$I66=""),"",IF($BC66="Y",SUMIFS(survey_frozen!$F$2:$F$251,survey_frozen!$P$2:$P$251,$A66&amp;"|"&amp;$B66),IFERROR(COUNTIFS(INDIRECT("'"&amp;$A66&amp;"'!$B$2:$B$501"),$T66,INDIRECT("'"&amp;$A66&amp;"'!$A$2:$A$501"),"&gt;="&amp;$I66,INDIRECT("'"&amp;$A66&amp;"'!$A$2:$A$501"),"&lt;"&amp;($BA66+1),INDIRECT("'"&amp;$A66&amp;"'!$F$2:$F$501"),"Not for me"),0)))</f>
        <v>0</v>
      </c>
      <c r="AS66" s="30" t="n">
        <f aca="true">IF(OR($A66="",$I66=""),"",IF($BC66="Y",SUMIFS(survey_frozen!$G$2:$G$251,survey_frozen!$P$2:$P$251,$A66&amp;"|"&amp;$B66),IFERROR(COUNTIFS(INDIRECT("'"&amp;$A66&amp;"'!$B$2:$B$501"),$T66,INDIRECT("'"&amp;$A66&amp;"'!$A$2:$A$501"),"&gt;="&amp;$I66,INDIRECT("'"&amp;$A66&amp;"'!$A$2:$A$501"),"&lt;"&amp;($BA66+1),INDIRECT("'"&amp;$A66&amp;"'!$F$2:$F$501"),"Gone by the time I looked"),0)))</f>
        <v>0</v>
      </c>
      <c r="AT66" s="30" t="n">
        <f aca="true">IF(OR($A66="",$I66=""),"",IF($BC66="Y",SUMIFS(survey_frozen!$H$2:$H$251,survey_frozen!$P$2:$P$251,$A66&amp;"|"&amp;$B66),IFERROR(COUNTIFS(INDIRECT("'"&amp;$A66&amp;"'!$B$2:$B$501"),$T66,INDIRECT("'"&amp;$A66&amp;"'!$A$2:$A$501"),"&gt;="&amp;$I66,INDIRECT("'"&amp;$A66&amp;"'!$A$2:$A$501"),"&lt;"&amp;($BA66+1),INDIRECT("'"&amp;$A66&amp;"'!$D$2:$D$501"),"&gt;=1"),0)))</f>
        <v>0</v>
      </c>
      <c r="AU66" s="30" t="n">
        <f aca="true">IF(OR($A66="",$I66=""),"",IF($BC66="Y",SUMIFS(survey_frozen!$I$2:$I$251,survey_frozen!$P$2:$P$251,$A66&amp;"|"&amp;$B66),IFERROR(SUMIFS(INDIRECT("'"&amp;$A66&amp;"'!$D$2:$D$501"),INDIRECT("'"&amp;$A66&amp;"'!$B$2:$B$501"),$T66,INDIRECT("'"&amp;$A66&amp;"'!$A$2:$A$501"),"&gt;="&amp;$I66,INDIRECT("'"&amp;$A66&amp;"'!$A$2:$A$501"),"&lt;"&amp;($BA66+1)),0)))</f>
        <v>0</v>
      </c>
      <c r="AV66" s="30" t="n">
        <f aca="true">IF(OR($A66="",$I66=""),"",IF($BC66="Y",SUMIFS(survey_frozen!$J$2:$J$251,survey_frozen!$P$2:$P$251,$A66&amp;"|"&amp;$B66),IFERROR(COUNTIFS(INDIRECT("'"&amp;$A66&amp;"'!$B$2:$B$501"),$T66,INDIRECT("'"&amp;$A66&amp;"'!$A$2:$A$501"),"&gt;="&amp;$I66,INDIRECT("'"&amp;$A66&amp;"'!$A$2:$A$501"),"&lt;"&amp;($BA66+1),INDIRECT("'"&amp;$A66&amp;"'!$E$2:$E$501"),"Yes"),0)))</f>
        <v>0</v>
      </c>
      <c r="AW66" s="30" t="n">
        <f aca="true">IF(OR($A66="",$I66=""),"",IF($BC66="Y",SUMIFS(survey_frozen!$K$2:$K$251,survey_frozen!$P$2:$P$251,$A66&amp;"|"&amp;$B66),IFERROR(COUNTIFS(INDIRECT("'"&amp;$A66&amp;"'!$B$2:$B$501"),$T66,INDIRECT("'"&amp;$A66&amp;"'!$A$2:$A$501"),"&gt;="&amp;$I66,INDIRECT("'"&amp;$A66&amp;"'!$A$2:$A$501"),"&lt;"&amp;($BA66+1),INDIRECT("'"&amp;$A66&amp;"'!$E$2:$E$501"),"Maybe"),0)))</f>
        <v>0</v>
      </c>
      <c r="AX66" s="30" t="n">
        <f aca="true">IF(OR($A66="",$I66=""),"",IF($BC66="Y",SUMIFS(survey_frozen!$L$2:$L$251,survey_frozen!$P$2:$P$251,$A66&amp;"|"&amp;$B66),IFERROR(COUNTIFS(INDIRECT("'"&amp;$A66&amp;"'!$B$2:$B$501"),$T66,INDIRECT("'"&amp;$A66&amp;"'!$A$2:$A$501"),"&gt;="&amp;$I66,INDIRECT("'"&amp;$A66&amp;"'!$A$2:$A$501"),"&lt;"&amp;($BA66+1),INDIRECT("'"&amp;$A66&amp;"'!$E$2:$E$501"),"No"),0)))</f>
        <v>0</v>
      </c>
      <c r="AY66" s="30" t="n">
        <f aca="true">IF(OR($A66="",$I66=""),"",IF($BC66="Y",SUMIFS(survey_frozen!$M$2:$M$251,survey_frozen!$P$2:$P$251,$A66&amp;"|"&amp;$B66),IFERROR(COUNTIFS(INDIRECT("'"&amp;$A66&amp;"'!$B$2:$B$501"),$T66,INDIRECT("'"&amp;$A66&amp;"'!$A$2:$A$501"),"&gt;="&amp;$I66,INDIRECT("'"&amp;$A66&amp;"'!$A$2:$A$501"),"&lt;"&amp;($BA66+1),INDIRECT("'"&amp;$A66&amp;"'!$G$2:$G$501"),"&lt;&gt;"),0)))</f>
        <v>0</v>
      </c>
      <c r="AZ66" s="30" t="str">
        <f aca="false">IF($A66="","",$A66&amp;"|"&amp;$L66)</f>
        <v>SAMPLE-CMP-008|5</v>
      </c>
      <c r="BA66" s="31" t="n">
        <f aca="false">IF($A66="","",IFERROR(IF(INDEX(drops!$R$2:$R$21,MATCH($H66,drops!$A$2:$A$21,0))="","",INDEX(drops!$R$2:$R$21,MATCH($H66,drops!$A$2:$A$21,0))),""))</f>
        <v>46475</v>
      </c>
      <c r="BB66" s="30" t="n">
        <f aca="false">IF(OR($A66="",$Q66&lt;&gt;"Y"),1000000,N($AL66))</f>
        <v>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A67" s="0" t="s">
        <v>579</v>
      </c>
      <c r="B67" s="0" t="s">
        <v>680</v>
      </c>
      <c r="C67" s="11" t="n">
        <v>46442</v>
      </c>
      <c r="D67" s="10" t="s">
        <v>496</v>
      </c>
      <c r="E67" s="11" t="n">
        <v>46443</v>
      </c>
      <c r="F67" s="10" t="s">
        <v>727</v>
      </c>
      <c r="H67" s="30" t="str">
        <f aca="false">IF($A67="","",IFERROR(IF(INDEX(campaigns!$B$2:$B$51,MATCH($A67,campaigns!$A$2:$A$51,0))="","",INDEX(campaigns!$B$2:$B$51,MATCH($A67,campaigns!$A$2:$A$51,0))),""))</f>
        <v>SAMPLE-DRP-004</v>
      </c>
      <c r="I67" s="31" t="n">
        <f aca="false">IF($A67="","",IFERROR(IF(INDEX(campaigns!$BG$2:$BG$51,MATCH($A67,campaigns!$A$2:$A$51,0))="","",INDEX(campaigns!$BG$2:$BG$51,MATCH($A67,campaigns!$A$2:$A$51,0))),""))</f>
        <v>46469</v>
      </c>
      <c r="J67" s="30" t="str">
        <f aca="false">IF($A67="","",IFERROR(IF(INDEX(campaigns!$BE$2:$BE$51,MATCH($A67,campaigns!$A$2:$A$51,0))="","",INDEX(campaigns!$BE$2:$BE$51,MATCH($A67,campaigns!$A$2:$A$51,0))),""))</f>
        <v>SAMPLE Tallgrass</v>
      </c>
      <c r="K67" s="30" t="str">
        <f aca="false">IF($B67="","",IFERROR(IF(INDEX(offices!$O$2:$O$61,MATCH($B67,offices!$A$2:$A$61,0))="","",INDEX(offices!$O$2:$O$61,MATCH($B67,offices!$A$2:$A$61,0))),""))</f>
        <v>SAMPLE Kestrel Analytics</v>
      </c>
      <c r="L67" s="30" t="n">
        <f aca="false">IF($A67="","",IF($Q67="N","",COUNTIFS($A$2:$A67,$A67,$Q$2:$Q67,"&lt;&gt;N")))</f>
        <v>6</v>
      </c>
      <c r="M67" s="30" t="str">
        <f aca="false">IF(OR($A67="",$L67=""),"",IF(AND(config!$B$34="names_if_public",IFERROR(IF(INDEX(offices!$AG$2:$AG$61,MATCH($B67,offices!$A$2:$A$61,0))="","",INDEX(offices!$AG$2:$AG$61,MATCH($B67,offices!$A$2:$A$61,0))),"")="Y"),$K67,CHAR(64+$L67)))</f>
        <v>F</v>
      </c>
      <c r="N67" s="30" t="n">
        <f aca="false">IF(OR($A67="",$I67=""),"",COUNTIFS(stops!$B$2:$B$151,$B67,stops!$P$2:$P$151,"&lt;"&amp;$I67,stops!$L$2:$L$151,"&lt;&gt;not_delivered")+1)</f>
        <v>3</v>
      </c>
      <c r="O67" s="30" t="str">
        <f aca="false">IF($A67="","",IF(N($N67)&lt;=config!$B$29,"explicit","opt-out"))</f>
        <v>explicit</v>
      </c>
      <c r="P67" s="30" t="str">
        <f aca="false">IF($A67="","",IF($O67="explicit",IF($D67="yes","Y",IF($D67="no","N","pending")),IF($D67="no","N",IF(AND($C67&lt;&gt;"",$I67&lt;&gt;"",$C67&lt;=WORKDAY(N($I67),-5,calendar!$A$2:$A$80)),"Y","pending"))))</f>
        <v>Y</v>
      </c>
      <c r="Q67" s="30" t="str">
        <f aca="false">IF($A67="","",IF($P67="N","N",IF($P67&lt;&gt;"Y","pending",IF(AND((COUNTIFS(stops!$A$2:$A$151,$H67,stops!$B$2:$B$151,$B67,stops!$L$2:$L$151,"declined")+COUNTIFS(stops!$A$2:$A$151,$H67,stops!$B$2:$B$151,$B67,stops!$L$2:$L$151,"building_refused")+COUNTIFS(stops!$A$2:$A$151,$H67,stops!$B$2:$B$151,$B67,stops!$L$2:$L$151,"not_delivered"))&gt;0,N($U67)=0),"N","Y"))))</f>
        <v>Y</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n">
        <f aca="false">IF($A67="","",IF($G67&lt;&gt;"",$G67,IFERROR(IF(INDEX(offices!$AM$2:$AM$61,MATCH($B67,offices!$A$2:$A$61,0))="","",INDEX(offices!$AM$2:$AM$61,MATCH($B67,offices!$A$2:$A$61,0))),"")))</f>
        <v>45</v>
      </c>
      <c r="T67" s="30" t="str">
        <f aca="false">IF($A67="","",$A67&amp;"."&amp;$B67)</f>
        <v>SAMPLE-CMP-008.SAMPLE-O-006</v>
      </c>
      <c r="U67" s="30" t="n">
        <f aca="false">IF($A67="","",SUMIFS(inventory!$G$2:$G$801,inventory!$C$2:$C$801,$A67,inventory!$D$2:$D$801,$B67,inventory!$E$2:$E$801,"delivered"))</f>
        <v>0</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n">
        <f aca="false">IF($A67="","",IF($Y67="",0,N($Z67)))</f>
        <v>0</v>
      </c>
      <c r="AB67" s="30" t="str">
        <f aca="false">IF($A67="","",IF(OR($Y67="",$I67=""),"N",IF($Y67&lt;=WORKDAY(N($I67),1,calendar!$A$2:$A$80),"Y","N")))</f>
        <v>N</v>
      </c>
      <c r="AC67" s="33" t="str">
        <f aca="false">IF(OR($A67="",$V67="",$Y67=""),"",ROUND(($Y67+N(IFERROR(IF(INDEX(photos!$F$2:$F$701,MATCH($A67&amp;"|"&amp;$B67&amp;"|placement|Y",photos!$R$2:$R$701,0))="","",INDEX(photos!$F$2:$F$701,MATCH($A67&amp;"|"&amp;$B67&amp;"|placement|Y",photos!$R$2:$R$701,0))),""))-$V67)*24,1))</f>
        <v/>
      </c>
      <c r="AD67" s="30" t="n">
        <f aca="false">IF($A67="","",SUMIFS(inventory!$G$2:$G$801,inventory!$C$2:$C$801,$A67,inventory!$D$2:$D$801,$B67,inventory!$E$2:$E$801,"topped_up"))</f>
        <v>0</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N</v>
      </c>
      <c r="AL67" s="30" t="n">
        <f aca="true">IF(OR($A67="",$I67=""),"",IF($BC67="Y",SUMIFS(survey_frozen!$C$2:$C$251,survey_frozen!$P$2:$P$251,$A67&amp;"|"&amp;$B67),IFERROR(COUNTIFS(INDIRECT("'"&amp;$A67&amp;"'!$B$2:$B$501"),$T67,INDIRECT("'"&amp;$A67&amp;"'!$A$2:$A$501"),"&gt;="&amp;$I67,INDIRECT("'"&amp;$A67&amp;"'!$A$2:$A$501"),"&lt;"&amp;($BA67+1)),0)))</f>
        <v>0</v>
      </c>
      <c r="AM67" s="30" t="n">
        <f aca="true">IF(OR($A67="",$I67=""),"",IF($BC67="Y",SUMIFS(survey_frozen!$D$2:$D$251,survey_frozen!$P$2:$P$251,$A67&amp;"|"&amp;$B67),IFERROR(COUNTIFS(INDIRECT("'"&amp;$A67&amp;"'!$B$2:$B$501"),$T67,INDIRECT("'"&amp;$A67&amp;"'!$A$2:$A$501"),"&gt;="&amp;$I67,INDIRECT("'"&amp;$A67&amp;"'!$A$2:$A$501"),"&lt;"&amp;($BA67+1),INDIRECT("'"&amp;$A67&amp;"'!$C$2:$C$501"),"Yes"),0)))</f>
        <v>0</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n">
        <f aca="true">IF(OR($A67="",$I67=""),"",IF($BC67="Y",SUMIFS(survey_frozen!$E$2:$E$251,survey_frozen!$P$2:$P$251,$A67&amp;"|"&amp;$B67),IFERROR(COUNTIFS(INDIRECT("'"&amp;$A67&amp;"'!$B$2:$B$501"),$T67,INDIRECT("'"&amp;$A67&amp;"'!$A$2:$A$501"),"&gt;="&amp;$I67,INDIRECT("'"&amp;$A67&amp;"'!$A$2:$A$501"),"&lt;"&amp;($BA67+1),INDIRECT("'"&amp;$A67&amp;"'!$F$2:$F$501"),"Didn't see it"),0)))</f>
        <v>0</v>
      </c>
      <c r="AR67" s="30" t="n">
        <f aca="true">IF(OR($A67="",$I67=""),"",IF($BC67="Y",SUMIFS(survey_frozen!$F$2:$F$251,survey_frozen!$P$2:$P$251,$A67&amp;"|"&amp;$B67),IFERROR(COUNTIFS(INDIRECT("'"&amp;$A67&amp;"'!$B$2:$B$501"),$T67,INDIRECT("'"&amp;$A67&amp;"'!$A$2:$A$501"),"&gt;="&amp;$I67,INDIRECT("'"&amp;$A67&amp;"'!$A$2:$A$501"),"&lt;"&amp;($BA67+1),INDIRECT("'"&amp;$A67&amp;"'!$F$2:$F$501"),"Not for me"),0)))</f>
        <v>0</v>
      </c>
      <c r="AS67" s="30" t="n">
        <f aca="true">IF(OR($A67="",$I67=""),"",IF($BC67="Y",SUMIFS(survey_frozen!$G$2:$G$251,survey_frozen!$P$2:$P$251,$A67&amp;"|"&amp;$B67),IFERROR(COUNTIFS(INDIRECT("'"&amp;$A67&amp;"'!$B$2:$B$501"),$T67,INDIRECT("'"&amp;$A67&amp;"'!$A$2:$A$501"),"&gt;="&amp;$I67,INDIRECT("'"&amp;$A67&amp;"'!$A$2:$A$501"),"&lt;"&amp;($BA67+1),INDIRECT("'"&amp;$A67&amp;"'!$F$2:$F$501"),"Gone by the time I looked"),0)))</f>
        <v>0</v>
      </c>
      <c r="AT67" s="30" t="n">
        <f aca="true">IF(OR($A67="",$I67=""),"",IF($BC67="Y",SUMIFS(survey_frozen!$H$2:$H$251,survey_frozen!$P$2:$P$251,$A67&amp;"|"&amp;$B67),IFERROR(COUNTIFS(INDIRECT("'"&amp;$A67&amp;"'!$B$2:$B$501"),$T67,INDIRECT("'"&amp;$A67&amp;"'!$A$2:$A$501"),"&gt;="&amp;$I67,INDIRECT("'"&amp;$A67&amp;"'!$A$2:$A$501"),"&lt;"&amp;($BA67+1),INDIRECT("'"&amp;$A67&amp;"'!$D$2:$D$501"),"&gt;=1"),0)))</f>
        <v>0</v>
      </c>
      <c r="AU67" s="30" t="n">
        <f aca="true">IF(OR($A67="",$I67=""),"",IF($BC67="Y",SUMIFS(survey_frozen!$I$2:$I$251,survey_frozen!$P$2:$P$251,$A67&amp;"|"&amp;$B67),IFERROR(SUMIFS(INDIRECT("'"&amp;$A67&amp;"'!$D$2:$D$501"),INDIRECT("'"&amp;$A67&amp;"'!$B$2:$B$501"),$T67,INDIRECT("'"&amp;$A67&amp;"'!$A$2:$A$501"),"&gt;="&amp;$I67,INDIRECT("'"&amp;$A67&amp;"'!$A$2:$A$501"),"&lt;"&amp;($BA67+1)),0)))</f>
        <v>0</v>
      </c>
      <c r="AV67" s="30" t="n">
        <f aca="true">IF(OR($A67="",$I67=""),"",IF($BC67="Y",SUMIFS(survey_frozen!$J$2:$J$251,survey_frozen!$P$2:$P$251,$A67&amp;"|"&amp;$B67),IFERROR(COUNTIFS(INDIRECT("'"&amp;$A67&amp;"'!$B$2:$B$501"),$T67,INDIRECT("'"&amp;$A67&amp;"'!$A$2:$A$501"),"&gt;="&amp;$I67,INDIRECT("'"&amp;$A67&amp;"'!$A$2:$A$501"),"&lt;"&amp;($BA67+1),INDIRECT("'"&amp;$A67&amp;"'!$E$2:$E$501"),"Yes"),0)))</f>
        <v>0</v>
      </c>
      <c r="AW67" s="30" t="n">
        <f aca="true">IF(OR($A67="",$I67=""),"",IF($BC67="Y",SUMIFS(survey_frozen!$K$2:$K$251,survey_frozen!$P$2:$P$251,$A67&amp;"|"&amp;$B67),IFERROR(COUNTIFS(INDIRECT("'"&amp;$A67&amp;"'!$B$2:$B$501"),$T67,INDIRECT("'"&amp;$A67&amp;"'!$A$2:$A$501"),"&gt;="&amp;$I67,INDIRECT("'"&amp;$A67&amp;"'!$A$2:$A$501"),"&lt;"&amp;($BA67+1),INDIRECT("'"&amp;$A67&amp;"'!$E$2:$E$501"),"Maybe"),0)))</f>
        <v>0</v>
      </c>
      <c r="AX67" s="30" t="n">
        <f aca="true">IF(OR($A67="",$I67=""),"",IF($BC67="Y",SUMIFS(survey_frozen!$L$2:$L$251,survey_frozen!$P$2:$P$251,$A67&amp;"|"&amp;$B67),IFERROR(COUNTIFS(INDIRECT("'"&amp;$A67&amp;"'!$B$2:$B$501"),$T67,INDIRECT("'"&amp;$A67&amp;"'!$A$2:$A$501"),"&gt;="&amp;$I67,INDIRECT("'"&amp;$A67&amp;"'!$A$2:$A$501"),"&lt;"&amp;($BA67+1),INDIRECT("'"&amp;$A67&amp;"'!$E$2:$E$501"),"No"),0)))</f>
        <v>0</v>
      </c>
      <c r="AY67" s="30" t="n">
        <f aca="true">IF(OR($A67="",$I67=""),"",IF($BC67="Y",SUMIFS(survey_frozen!$M$2:$M$251,survey_frozen!$P$2:$P$251,$A67&amp;"|"&amp;$B67),IFERROR(COUNTIFS(INDIRECT("'"&amp;$A67&amp;"'!$B$2:$B$501"),$T67,INDIRECT("'"&amp;$A67&amp;"'!$A$2:$A$501"),"&gt;="&amp;$I67,INDIRECT("'"&amp;$A67&amp;"'!$A$2:$A$501"),"&lt;"&amp;($BA67+1),INDIRECT("'"&amp;$A67&amp;"'!$G$2:$G$501"),"&lt;&gt;"),0)))</f>
        <v>0</v>
      </c>
      <c r="AZ67" s="30" t="str">
        <f aca="false">IF($A67="","",$A67&amp;"|"&amp;$L67)</f>
        <v>SAMPLE-CMP-008|6</v>
      </c>
      <c r="BA67" s="31" t="n">
        <f aca="false">IF($A67="","",IFERROR(IF(INDEX(drops!$R$2:$R$21,MATCH($H67,drops!$A$2:$A$21,0))="","",INDEX(drops!$R$2:$R$21,MATCH($H67,drops!$A$2:$A$21,0))),""))</f>
        <v>46475</v>
      </c>
      <c r="BB67" s="30" t="n">
        <f aca="false">IF(OR($A67="",$Q67&lt;&gt;"Y"),1000000,N($AL67))</f>
        <v>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A68" s="0" t="s">
        <v>579</v>
      </c>
      <c r="B68" s="0" t="s">
        <v>682</v>
      </c>
      <c r="C68" s="11" t="n">
        <v>46442</v>
      </c>
      <c r="D68" s="10" t="s">
        <v>496</v>
      </c>
      <c r="E68" s="11" t="n">
        <v>46443</v>
      </c>
      <c r="F68" s="10" t="s">
        <v>727</v>
      </c>
      <c r="H68" s="30" t="str">
        <f aca="false">IF($A68="","",IFERROR(IF(INDEX(campaigns!$B$2:$B$51,MATCH($A68,campaigns!$A$2:$A$51,0))="","",INDEX(campaigns!$B$2:$B$51,MATCH($A68,campaigns!$A$2:$A$51,0))),""))</f>
        <v>SAMPLE-DRP-004</v>
      </c>
      <c r="I68" s="31" t="n">
        <f aca="false">IF($A68="","",IFERROR(IF(INDEX(campaigns!$BG$2:$BG$51,MATCH($A68,campaigns!$A$2:$A$51,0))="","",INDEX(campaigns!$BG$2:$BG$51,MATCH($A68,campaigns!$A$2:$A$51,0))),""))</f>
        <v>46469</v>
      </c>
      <c r="J68" s="30" t="str">
        <f aca="false">IF($A68="","",IFERROR(IF(INDEX(campaigns!$BE$2:$BE$51,MATCH($A68,campaigns!$A$2:$A$51,0))="","",INDEX(campaigns!$BE$2:$BE$51,MATCH($A68,campaigns!$A$2:$A$51,0))),""))</f>
        <v>SAMPLE Tallgrass</v>
      </c>
      <c r="K68" s="30" t="str">
        <f aca="false">IF($B68="","",IFERROR(IF(INDEX(offices!$O$2:$O$61,MATCH($B68,offices!$A$2:$A$61,0))="","",INDEX(offices!$O$2:$O$61,MATCH($B68,offices!$A$2:$A$61,0))),""))</f>
        <v>SAMPLE Brine &amp; Bell PR</v>
      </c>
      <c r="L68" s="30" t="n">
        <f aca="false">IF($A68="","",IF($Q68="N","",COUNTIFS($A$2:$A68,$A68,$Q$2:$Q68,"&lt;&gt;N")))</f>
        <v>7</v>
      </c>
      <c r="M68" s="30" t="str">
        <f aca="false">IF(OR($A68="",$L68=""),"",IF(AND(config!$B$34="names_if_public",IFERROR(IF(INDEX(offices!$AG$2:$AG$61,MATCH($B68,offices!$A$2:$A$61,0))="","",INDEX(offices!$AG$2:$AG$61,MATCH($B68,offices!$A$2:$A$61,0))),"")="Y"),$K68,CHAR(64+$L68)))</f>
        <v>G</v>
      </c>
      <c r="N68" s="30" t="n">
        <f aca="false">IF(OR($A68="",$I68=""),"",COUNTIFS(stops!$B$2:$B$151,$B68,stops!$P$2:$P$151,"&lt;"&amp;$I68,stops!$L$2:$L$151,"&lt;&gt;not_delivered")+1)</f>
        <v>3</v>
      </c>
      <c r="O68" s="30" t="str">
        <f aca="false">IF($A68="","",IF(N($N68)&lt;=config!$B$29,"explicit","opt-out"))</f>
        <v>explicit</v>
      </c>
      <c r="P68" s="30" t="str">
        <f aca="false">IF($A68="","",IF($O68="explicit",IF($D68="yes","Y",IF($D68="no","N","pending")),IF($D68="no","N",IF(AND($C68&lt;&gt;"",$I68&lt;&gt;"",$C68&lt;=WORKDAY(N($I68),-5,calendar!$A$2:$A$80)),"Y","pending"))))</f>
        <v>Y</v>
      </c>
      <c r="Q68" s="30" t="str">
        <f aca="false">IF($A68="","",IF($P68="N","N",IF($P68&lt;&gt;"Y","pending",IF(AND((COUNTIFS(stops!$A$2:$A$151,$H68,stops!$B$2:$B$151,$B68,stops!$L$2:$L$151,"declined")+COUNTIFS(stops!$A$2:$A$151,$H68,stops!$B$2:$B$151,$B68,stops!$L$2:$L$151,"building_refused")+COUNTIFS(stops!$A$2:$A$151,$H68,stops!$B$2:$B$151,$B68,stops!$L$2:$L$151,"not_delivered"))&gt;0,N($U68)=0),"N","Y"))))</f>
        <v>Y</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info: read the vetoes against the label; </v>
      </c>
      <c r="S68" s="30" t="n">
        <f aca="false">IF($A68="","",IF($G68&lt;&gt;"",$G68,IFERROR(IF(INDEX(offices!$AM$2:$AM$61,MATCH($B68,offices!$A$2:$A$61,0))="","",INDEX(offices!$AM$2:$AM$61,MATCH($B68,offices!$A$2:$A$61,0))),"")))</f>
        <v>60</v>
      </c>
      <c r="T68" s="30" t="str">
        <f aca="false">IF($A68="","",$A68&amp;"."&amp;$B68)</f>
        <v>SAMPLE-CMP-008.SAMPLE-O-007</v>
      </c>
      <c r="U68" s="30" t="n">
        <f aca="false">IF($A68="","",SUMIFS(inventory!$G$2:$G$801,inventory!$C$2:$C$801,$A68,inventory!$D$2:$D$801,$B68,inventory!$E$2:$E$801,"delivered"))</f>
        <v>0</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n">
        <f aca="false">IF($A68="","",IF($Y68="",0,N($Z68)))</f>
        <v>0</v>
      </c>
      <c r="AB68" s="30" t="str">
        <f aca="false">IF($A68="","",IF(OR($Y68="",$I68=""),"N",IF($Y68&lt;=WORKDAY(N($I68),1,calendar!$A$2:$A$80),"Y","N")))</f>
        <v>N</v>
      </c>
      <c r="AC68" s="33" t="str">
        <f aca="false">IF(OR($A68="",$V68="",$Y68=""),"",ROUND(($Y68+N(IFERROR(IF(INDEX(photos!$F$2:$F$701,MATCH($A68&amp;"|"&amp;$B68&amp;"|placement|Y",photos!$R$2:$R$701,0))="","",INDEX(photos!$F$2:$F$701,MATCH($A68&amp;"|"&amp;$B68&amp;"|placement|Y",photos!$R$2:$R$701,0))),""))-$V68)*24,1))</f>
        <v/>
      </c>
      <c r="AD68" s="30" t="n">
        <f aca="false">IF($A68="","",SUMIFS(inventory!$G$2:$G$801,inventory!$C$2:$C$801,$A68,inventory!$D$2:$D$801,$B68,inventory!$E$2:$E$801,"topped_up"))</f>
        <v>0</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N</v>
      </c>
      <c r="AL68" s="30" t="n">
        <f aca="true">IF(OR($A68="",$I68=""),"",IF($BC68="Y",SUMIFS(survey_frozen!$C$2:$C$251,survey_frozen!$P$2:$P$251,$A68&amp;"|"&amp;$B68),IFERROR(COUNTIFS(INDIRECT("'"&amp;$A68&amp;"'!$B$2:$B$501"),$T68,INDIRECT("'"&amp;$A68&amp;"'!$A$2:$A$501"),"&gt;="&amp;$I68,INDIRECT("'"&amp;$A68&amp;"'!$A$2:$A$501"),"&lt;"&amp;($BA68+1)),0)))</f>
        <v>0</v>
      </c>
      <c r="AM68" s="30" t="n">
        <f aca="true">IF(OR($A68="",$I68=""),"",IF($BC68="Y",SUMIFS(survey_frozen!$D$2:$D$251,survey_frozen!$P$2:$P$251,$A68&amp;"|"&amp;$B68),IFERROR(COUNTIFS(INDIRECT("'"&amp;$A68&amp;"'!$B$2:$B$501"),$T68,INDIRECT("'"&amp;$A68&amp;"'!$A$2:$A$501"),"&gt;="&amp;$I68,INDIRECT("'"&amp;$A68&amp;"'!$A$2:$A$501"),"&lt;"&amp;($BA68+1),INDIRECT("'"&amp;$A68&amp;"'!$C$2:$C$501"),"Yes"),0)))</f>
        <v>0</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info: read the vetoes against the label; </v>
      </c>
      <c r="AQ68" s="30" t="n">
        <f aca="true">IF(OR($A68="",$I68=""),"",IF($BC68="Y",SUMIFS(survey_frozen!$E$2:$E$251,survey_frozen!$P$2:$P$251,$A68&amp;"|"&amp;$B68),IFERROR(COUNTIFS(INDIRECT("'"&amp;$A68&amp;"'!$B$2:$B$501"),$T68,INDIRECT("'"&amp;$A68&amp;"'!$A$2:$A$501"),"&gt;="&amp;$I68,INDIRECT("'"&amp;$A68&amp;"'!$A$2:$A$501"),"&lt;"&amp;($BA68+1),INDIRECT("'"&amp;$A68&amp;"'!$F$2:$F$501"),"Didn't see it"),0)))</f>
        <v>0</v>
      </c>
      <c r="AR68" s="30" t="n">
        <f aca="true">IF(OR($A68="",$I68=""),"",IF($BC68="Y",SUMIFS(survey_frozen!$F$2:$F$251,survey_frozen!$P$2:$P$251,$A68&amp;"|"&amp;$B68),IFERROR(COUNTIFS(INDIRECT("'"&amp;$A68&amp;"'!$B$2:$B$501"),$T68,INDIRECT("'"&amp;$A68&amp;"'!$A$2:$A$501"),"&gt;="&amp;$I68,INDIRECT("'"&amp;$A68&amp;"'!$A$2:$A$501"),"&lt;"&amp;($BA68+1),INDIRECT("'"&amp;$A68&amp;"'!$F$2:$F$501"),"Not for me"),0)))</f>
        <v>0</v>
      </c>
      <c r="AS68" s="30" t="n">
        <f aca="true">IF(OR($A68="",$I68=""),"",IF($BC68="Y",SUMIFS(survey_frozen!$G$2:$G$251,survey_frozen!$P$2:$P$251,$A68&amp;"|"&amp;$B68),IFERROR(COUNTIFS(INDIRECT("'"&amp;$A68&amp;"'!$B$2:$B$501"),$T68,INDIRECT("'"&amp;$A68&amp;"'!$A$2:$A$501"),"&gt;="&amp;$I68,INDIRECT("'"&amp;$A68&amp;"'!$A$2:$A$501"),"&lt;"&amp;($BA68+1),INDIRECT("'"&amp;$A68&amp;"'!$F$2:$F$501"),"Gone by the time I looked"),0)))</f>
        <v>0</v>
      </c>
      <c r="AT68" s="30" t="n">
        <f aca="true">IF(OR($A68="",$I68=""),"",IF($BC68="Y",SUMIFS(survey_frozen!$H$2:$H$251,survey_frozen!$P$2:$P$251,$A68&amp;"|"&amp;$B68),IFERROR(COUNTIFS(INDIRECT("'"&amp;$A68&amp;"'!$B$2:$B$501"),$T68,INDIRECT("'"&amp;$A68&amp;"'!$A$2:$A$501"),"&gt;="&amp;$I68,INDIRECT("'"&amp;$A68&amp;"'!$A$2:$A$501"),"&lt;"&amp;($BA68+1),INDIRECT("'"&amp;$A68&amp;"'!$D$2:$D$501"),"&gt;=1"),0)))</f>
        <v>0</v>
      </c>
      <c r="AU68" s="30" t="n">
        <f aca="true">IF(OR($A68="",$I68=""),"",IF($BC68="Y",SUMIFS(survey_frozen!$I$2:$I$251,survey_frozen!$P$2:$P$251,$A68&amp;"|"&amp;$B68),IFERROR(SUMIFS(INDIRECT("'"&amp;$A68&amp;"'!$D$2:$D$501"),INDIRECT("'"&amp;$A68&amp;"'!$B$2:$B$501"),$T68,INDIRECT("'"&amp;$A68&amp;"'!$A$2:$A$501"),"&gt;="&amp;$I68,INDIRECT("'"&amp;$A68&amp;"'!$A$2:$A$501"),"&lt;"&amp;($BA68+1)),0)))</f>
        <v>0</v>
      </c>
      <c r="AV68" s="30" t="n">
        <f aca="true">IF(OR($A68="",$I68=""),"",IF($BC68="Y",SUMIFS(survey_frozen!$J$2:$J$251,survey_frozen!$P$2:$P$251,$A68&amp;"|"&amp;$B68),IFERROR(COUNTIFS(INDIRECT("'"&amp;$A68&amp;"'!$B$2:$B$501"),$T68,INDIRECT("'"&amp;$A68&amp;"'!$A$2:$A$501"),"&gt;="&amp;$I68,INDIRECT("'"&amp;$A68&amp;"'!$A$2:$A$501"),"&lt;"&amp;($BA68+1),INDIRECT("'"&amp;$A68&amp;"'!$E$2:$E$501"),"Yes"),0)))</f>
        <v>0</v>
      </c>
      <c r="AW68" s="30" t="n">
        <f aca="true">IF(OR($A68="",$I68=""),"",IF($BC68="Y",SUMIFS(survey_frozen!$K$2:$K$251,survey_frozen!$P$2:$P$251,$A68&amp;"|"&amp;$B68),IFERROR(COUNTIFS(INDIRECT("'"&amp;$A68&amp;"'!$B$2:$B$501"),$T68,INDIRECT("'"&amp;$A68&amp;"'!$A$2:$A$501"),"&gt;="&amp;$I68,INDIRECT("'"&amp;$A68&amp;"'!$A$2:$A$501"),"&lt;"&amp;($BA68+1),INDIRECT("'"&amp;$A68&amp;"'!$E$2:$E$501"),"Maybe"),0)))</f>
        <v>0</v>
      </c>
      <c r="AX68" s="30" t="n">
        <f aca="true">IF(OR($A68="",$I68=""),"",IF($BC68="Y",SUMIFS(survey_frozen!$L$2:$L$251,survey_frozen!$P$2:$P$251,$A68&amp;"|"&amp;$B68),IFERROR(COUNTIFS(INDIRECT("'"&amp;$A68&amp;"'!$B$2:$B$501"),$T68,INDIRECT("'"&amp;$A68&amp;"'!$A$2:$A$501"),"&gt;="&amp;$I68,INDIRECT("'"&amp;$A68&amp;"'!$A$2:$A$501"),"&lt;"&amp;($BA68+1),INDIRECT("'"&amp;$A68&amp;"'!$E$2:$E$501"),"No"),0)))</f>
        <v>0</v>
      </c>
      <c r="AY68" s="30" t="n">
        <f aca="true">IF(OR($A68="",$I68=""),"",IF($BC68="Y",SUMIFS(survey_frozen!$M$2:$M$251,survey_frozen!$P$2:$P$251,$A68&amp;"|"&amp;$B68),IFERROR(COUNTIFS(INDIRECT("'"&amp;$A68&amp;"'!$B$2:$B$501"),$T68,INDIRECT("'"&amp;$A68&amp;"'!$A$2:$A$501"),"&gt;="&amp;$I68,INDIRECT("'"&amp;$A68&amp;"'!$A$2:$A$501"),"&lt;"&amp;($BA68+1),INDIRECT("'"&amp;$A68&amp;"'!$G$2:$G$501"),"&lt;&gt;"),0)))</f>
        <v>0</v>
      </c>
      <c r="AZ68" s="30" t="str">
        <f aca="false">IF($A68="","",$A68&amp;"|"&amp;$L68)</f>
        <v>SAMPLE-CMP-008|7</v>
      </c>
      <c r="BA68" s="31" t="n">
        <f aca="false">IF($A68="","",IFERROR(IF(INDEX(drops!$R$2:$R$21,MATCH($H68,drops!$A$2:$A$21,0))="","",INDEX(drops!$R$2:$R$21,MATCH($H68,drops!$A$2:$A$21,0))),""))</f>
        <v>46475</v>
      </c>
      <c r="BB68" s="30" t="n">
        <f aca="false">IF(OR($A68="",$Q68&lt;&gt;"Y"),1000000,N($AL68))</f>
        <v>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A69" s="0" t="s">
        <v>579</v>
      </c>
      <c r="B69" s="0" t="s">
        <v>684</v>
      </c>
      <c r="C69" s="11" t="n">
        <v>46442</v>
      </c>
      <c r="D69" s="10" t="s">
        <v>496</v>
      </c>
      <c r="E69" s="11" t="n">
        <v>46443</v>
      </c>
      <c r="F69" s="10" t="s">
        <v>727</v>
      </c>
      <c r="H69" s="30" t="str">
        <f aca="false">IF($A69="","",IFERROR(IF(INDEX(campaigns!$B$2:$B$51,MATCH($A69,campaigns!$A$2:$A$51,0))="","",INDEX(campaigns!$B$2:$B$51,MATCH($A69,campaigns!$A$2:$A$51,0))),""))</f>
        <v>SAMPLE-DRP-004</v>
      </c>
      <c r="I69" s="31" t="n">
        <f aca="false">IF($A69="","",IFERROR(IF(INDEX(campaigns!$BG$2:$BG$51,MATCH($A69,campaigns!$A$2:$A$51,0))="","",INDEX(campaigns!$BG$2:$BG$51,MATCH($A69,campaigns!$A$2:$A$51,0))),""))</f>
        <v>46469</v>
      </c>
      <c r="J69" s="30" t="str">
        <f aca="false">IF($A69="","",IFERROR(IF(INDEX(campaigns!$BE$2:$BE$51,MATCH($A69,campaigns!$A$2:$A$51,0))="","",INDEX(campaigns!$BE$2:$BE$51,MATCH($A69,campaigns!$A$2:$A$51,0))),""))</f>
        <v>SAMPLE Tallgrass</v>
      </c>
      <c r="K69" s="30" t="str">
        <f aca="false">IF($B69="","",IFERROR(IF(INDEX(offices!$O$2:$O$61,MATCH($B69,offices!$A$2:$A$61,0))="","",INDEX(offices!$O$2:$O$61,MATCH($B69,offices!$A$2:$A$61,0))),""))</f>
        <v>SAMPLE Larch Legal</v>
      </c>
      <c r="L69" s="30" t="n">
        <f aca="false">IF($A69="","",IF($Q69="N","",COUNTIFS($A$2:$A69,$A69,$Q$2:$Q69,"&lt;&gt;N")))</f>
        <v>8</v>
      </c>
      <c r="M69" s="30" t="str">
        <f aca="false">IF(OR($A69="",$L69=""),"",IF(AND(config!$B$34="names_if_public",IFERROR(IF(INDEX(offices!$AG$2:$AG$61,MATCH($B69,offices!$A$2:$A$61,0))="","",INDEX(offices!$AG$2:$AG$61,MATCH($B69,offices!$A$2:$A$61,0))),"")="Y"),$K69,CHAR(64+$L69)))</f>
        <v>H</v>
      </c>
      <c r="N69" s="30" t="n">
        <f aca="false">IF(OR($A69="",$I69=""),"",COUNTIFS(stops!$B$2:$B$151,$B69,stops!$P$2:$P$151,"&lt;"&amp;$I69,stops!$L$2:$L$151,"&lt;&gt;not_delivered")+1)</f>
        <v>3</v>
      </c>
      <c r="O69" s="30" t="str">
        <f aca="false">IF($A69="","",IF(N($N69)&lt;=config!$B$29,"explicit","opt-out"))</f>
        <v>explicit</v>
      </c>
      <c r="P69" s="30" t="str">
        <f aca="false">IF($A69="","",IF($O69="explicit",IF($D69="yes","Y",IF($D69="no","N","pending")),IF($D69="no","N",IF(AND($C69&lt;&gt;"",$I69&lt;&gt;"",$C69&lt;=WORKDAY(N($I69),-5,calendar!$A$2:$A$80)),"Y","pending"))))</f>
        <v>Y</v>
      </c>
      <c r="Q69" s="30" t="str">
        <f aca="false">IF($A69="","",IF($P69="N","N",IF($P69&lt;&gt;"Y","pending",IF(AND((COUNTIFS(stops!$A$2:$A$151,$H69,stops!$B$2:$B$151,$B69,stops!$L$2:$L$151,"declined")+COUNTIFS(stops!$A$2:$A$151,$H69,stops!$B$2:$B$151,$B69,stops!$L$2:$L$151,"building_refused")+COUNTIFS(stops!$A$2:$A$151,$H69,stops!$B$2:$B$151,$B69,stops!$L$2:$L$151,"not_delivered"))&gt;0,N($U69)=0),"N","Y"))))</f>
        <v>Y</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n">
        <f aca="false">IF($A69="","",IF($G69&lt;&gt;"",$G69,IFERROR(IF(INDEX(offices!$AM$2:$AM$61,MATCH($B69,offices!$A$2:$A$61,0))="","",INDEX(offices!$AM$2:$AM$61,MATCH($B69,offices!$A$2:$A$61,0))),"")))</f>
        <v>45</v>
      </c>
      <c r="T69" s="30" t="str">
        <f aca="false">IF($A69="","",$A69&amp;"."&amp;$B69)</f>
        <v>SAMPLE-CMP-008.SAMPLE-O-008</v>
      </c>
      <c r="U69" s="30" t="n">
        <f aca="false">IF($A69="","",SUMIFS(inventory!$G$2:$G$801,inventory!$C$2:$C$801,$A69,inventory!$D$2:$D$801,$B69,inventory!$E$2:$E$801,"delivered"))</f>
        <v>0</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n">
        <f aca="false">IF($A69="","",IF($Y69="",0,N($Z69)))</f>
        <v>0</v>
      </c>
      <c r="AB69" s="30" t="str">
        <f aca="false">IF($A69="","",IF(OR($Y69="",$I69=""),"N",IF($Y69&lt;=WORKDAY(N($I69),1,calendar!$A$2:$A$80),"Y","N")))</f>
        <v>N</v>
      </c>
      <c r="AC69" s="33" t="str">
        <f aca="false">IF(OR($A69="",$V69="",$Y69=""),"",ROUND(($Y69+N(IFERROR(IF(INDEX(photos!$F$2:$F$701,MATCH($A69&amp;"|"&amp;$B69&amp;"|placement|Y",photos!$R$2:$R$701,0))="","",INDEX(photos!$F$2:$F$701,MATCH($A69&amp;"|"&amp;$B69&amp;"|placement|Y",photos!$R$2:$R$701,0))),""))-$V69)*24,1))</f>
        <v/>
      </c>
      <c r="AD69" s="30" t="n">
        <f aca="false">IF($A69="","",SUMIFS(inventory!$G$2:$G$801,inventory!$C$2:$C$801,$A69,inventory!$D$2:$D$801,$B69,inventory!$E$2:$E$801,"topped_up"))</f>
        <v>0</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N</v>
      </c>
      <c r="AL69" s="30" t="n">
        <f aca="true">IF(OR($A69="",$I69=""),"",IF($BC69="Y",SUMIFS(survey_frozen!$C$2:$C$251,survey_frozen!$P$2:$P$251,$A69&amp;"|"&amp;$B69),IFERROR(COUNTIFS(INDIRECT("'"&amp;$A69&amp;"'!$B$2:$B$501"),$T69,INDIRECT("'"&amp;$A69&amp;"'!$A$2:$A$501"),"&gt;="&amp;$I69,INDIRECT("'"&amp;$A69&amp;"'!$A$2:$A$501"),"&lt;"&amp;($BA69+1)),0)))</f>
        <v>0</v>
      </c>
      <c r="AM69" s="30" t="n">
        <f aca="true">IF(OR($A69="",$I69=""),"",IF($BC69="Y",SUMIFS(survey_frozen!$D$2:$D$251,survey_frozen!$P$2:$P$251,$A69&amp;"|"&amp;$B69),IFERROR(COUNTIFS(INDIRECT("'"&amp;$A69&amp;"'!$B$2:$B$501"),$T69,INDIRECT("'"&amp;$A69&amp;"'!$A$2:$A$501"),"&gt;="&amp;$I69,INDIRECT("'"&amp;$A69&amp;"'!$A$2:$A$501"),"&lt;"&amp;($BA69+1),INDIRECT("'"&amp;$A69&amp;"'!$C$2:$C$501"),"Yes"),0)))</f>
        <v>0</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n">
        <f aca="true">IF(OR($A69="",$I69=""),"",IF($BC69="Y",SUMIFS(survey_frozen!$E$2:$E$251,survey_frozen!$P$2:$P$251,$A69&amp;"|"&amp;$B69),IFERROR(COUNTIFS(INDIRECT("'"&amp;$A69&amp;"'!$B$2:$B$501"),$T69,INDIRECT("'"&amp;$A69&amp;"'!$A$2:$A$501"),"&gt;="&amp;$I69,INDIRECT("'"&amp;$A69&amp;"'!$A$2:$A$501"),"&lt;"&amp;($BA69+1),INDIRECT("'"&amp;$A69&amp;"'!$F$2:$F$501"),"Didn't see it"),0)))</f>
        <v>0</v>
      </c>
      <c r="AR69" s="30" t="n">
        <f aca="true">IF(OR($A69="",$I69=""),"",IF($BC69="Y",SUMIFS(survey_frozen!$F$2:$F$251,survey_frozen!$P$2:$P$251,$A69&amp;"|"&amp;$B69),IFERROR(COUNTIFS(INDIRECT("'"&amp;$A69&amp;"'!$B$2:$B$501"),$T69,INDIRECT("'"&amp;$A69&amp;"'!$A$2:$A$501"),"&gt;="&amp;$I69,INDIRECT("'"&amp;$A69&amp;"'!$A$2:$A$501"),"&lt;"&amp;($BA69+1),INDIRECT("'"&amp;$A69&amp;"'!$F$2:$F$501"),"Not for me"),0)))</f>
        <v>0</v>
      </c>
      <c r="AS69" s="30" t="n">
        <f aca="true">IF(OR($A69="",$I69=""),"",IF($BC69="Y",SUMIFS(survey_frozen!$G$2:$G$251,survey_frozen!$P$2:$P$251,$A69&amp;"|"&amp;$B69),IFERROR(COUNTIFS(INDIRECT("'"&amp;$A69&amp;"'!$B$2:$B$501"),$T69,INDIRECT("'"&amp;$A69&amp;"'!$A$2:$A$501"),"&gt;="&amp;$I69,INDIRECT("'"&amp;$A69&amp;"'!$A$2:$A$501"),"&lt;"&amp;($BA69+1),INDIRECT("'"&amp;$A69&amp;"'!$F$2:$F$501"),"Gone by the time I looked"),0)))</f>
        <v>0</v>
      </c>
      <c r="AT69" s="30" t="n">
        <f aca="true">IF(OR($A69="",$I69=""),"",IF($BC69="Y",SUMIFS(survey_frozen!$H$2:$H$251,survey_frozen!$P$2:$P$251,$A69&amp;"|"&amp;$B69),IFERROR(COUNTIFS(INDIRECT("'"&amp;$A69&amp;"'!$B$2:$B$501"),$T69,INDIRECT("'"&amp;$A69&amp;"'!$A$2:$A$501"),"&gt;="&amp;$I69,INDIRECT("'"&amp;$A69&amp;"'!$A$2:$A$501"),"&lt;"&amp;($BA69+1),INDIRECT("'"&amp;$A69&amp;"'!$D$2:$D$501"),"&gt;=1"),0)))</f>
        <v>0</v>
      </c>
      <c r="AU69" s="30" t="n">
        <f aca="true">IF(OR($A69="",$I69=""),"",IF($BC69="Y",SUMIFS(survey_frozen!$I$2:$I$251,survey_frozen!$P$2:$P$251,$A69&amp;"|"&amp;$B69),IFERROR(SUMIFS(INDIRECT("'"&amp;$A69&amp;"'!$D$2:$D$501"),INDIRECT("'"&amp;$A69&amp;"'!$B$2:$B$501"),$T69,INDIRECT("'"&amp;$A69&amp;"'!$A$2:$A$501"),"&gt;="&amp;$I69,INDIRECT("'"&amp;$A69&amp;"'!$A$2:$A$501"),"&lt;"&amp;($BA69+1)),0)))</f>
        <v>0</v>
      </c>
      <c r="AV69" s="30" t="n">
        <f aca="true">IF(OR($A69="",$I69=""),"",IF($BC69="Y",SUMIFS(survey_frozen!$J$2:$J$251,survey_frozen!$P$2:$P$251,$A69&amp;"|"&amp;$B69),IFERROR(COUNTIFS(INDIRECT("'"&amp;$A69&amp;"'!$B$2:$B$501"),$T69,INDIRECT("'"&amp;$A69&amp;"'!$A$2:$A$501"),"&gt;="&amp;$I69,INDIRECT("'"&amp;$A69&amp;"'!$A$2:$A$501"),"&lt;"&amp;($BA69+1),INDIRECT("'"&amp;$A69&amp;"'!$E$2:$E$501"),"Yes"),0)))</f>
        <v>0</v>
      </c>
      <c r="AW69" s="30" t="n">
        <f aca="true">IF(OR($A69="",$I69=""),"",IF($BC69="Y",SUMIFS(survey_frozen!$K$2:$K$251,survey_frozen!$P$2:$P$251,$A69&amp;"|"&amp;$B69),IFERROR(COUNTIFS(INDIRECT("'"&amp;$A69&amp;"'!$B$2:$B$501"),$T69,INDIRECT("'"&amp;$A69&amp;"'!$A$2:$A$501"),"&gt;="&amp;$I69,INDIRECT("'"&amp;$A69&amp;"'!$A$2:$A$501"),"&lt;"&amp;($BA69+1),INDIRECT("'"&amp;$A69&amp;"'!$E$2:$E$501"),"Maybe"),0)))</f>
        <v>0</v>
      </c>
      <c r="AX69" s="30" t="n">
        <f aca="true">IF(OR($A69="",$I69=""),"",IF($BC69="Y",SUMIFS(survey_frozen!$L$2:$L$251,survey_frozen!$P$2:$P$251,$A69&amp;"|"&amp;$B69),IFERROR(COUNTIFS(INDIRECT("'"&amp;$A69&amp;"'!$B$2:$B$501"),$T69,INDIRECT("'"&amp;$A69&amp;"'!$A$2:$A$501"),"&gt;="&amp;$I69,INDIRECT("'"&amp;$A69&amp;"'!$A$2:$A$501"),"&lt;"&amp;($BA69+1),INDIRECT("'"&amp;$A69&amp;"'!$E$2:$E$501"),"No"),0)))</f>
        <v>0</v>
      </c>
      <c r="AY69" s="30" t="n">
        <f aca="true">IF(OR($A69="",$I69=""),"",IF($BC69="Y",SUMIFS(survey_frozen!$M$2:$M$251,survey_frozen!$P$2:$P$251,$A69&amp;"|"&amp;$B69),IFERROR(COUNTIFS(INDIRECT("'"&amp;$A69&amp;"'!$B$2:$B$501"),$T69,INDIRECT("'"&amp;$A69&amp;"'!$A$2:$A$501"),"&gt;="&amp;$I69,INDIRECT("'"&amp;$A69&amp;"'!$A$2:$A$501"),"&lt;"&amp;($BA69+1),INDIRECT("'"&amp;$A69&amp;"'!$G$2:$G$501"),"&lt;&gt;"),0)))</f>
        <v>0</v>
      </c>
      <c r="AZ69" s="30" t="str">
        <f aca="false">IF($A69="","",$A69&amp;"|"&amp;$L69)</f>
        <v>SAMPLE-CMP-008|8</v>
      </c>
      <c r="BA69" s="31" t="n">
        <f aca="false">IF($A69="","",IFERROR(IF(INDEX(drops!$R$2:$R$21,MATCH($H69,drops!$A$2:$A$21,0))="","",INDEX(drops!$R$2:$R$21,MATCH($H69,drops!$A$2:$A$21,0))),""))</f>
        <v>46475</v>
      </c>
      <c r="BB69" s="30" t="n">
        <f aca="false">IF(OR($A69="",$Q69&lt;&gt;"Y"),1000000,N($AL69))</f>
        <v>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A70" s="0" t="s">
        <v>579</v>
      </c>
      <c r="B70" s="0" t="s">
        <v>686</v>
      </c>
      <c r="C70" s="11" t="n">
        <v>46442</v>
      </c>
      <c r="D70" s="10" t="s">
        <v>496</v>
      </c>
      <c r="E70" s="11" t="n">
        <v>46443</v>
      </c>
      <c r="F70" s="10" t="s">
        <v>727</v>
      </c>
      <c r="H70" s="30" t="str">
        <f aca="false">IF($A70="","",IFERROR(IF(INDEX(campaigns!$B$2:$B$51,MATCH($A70,campaigns!$A$2:$A$51,0))="","",INDEX(campaigns!$B$2:$B$51,MATCH($A70,campaigns!$A$2:$A$51,0))),""))</f>
        <v>SAMPLE-DRP-004</v>
      </c>
      <c r="I70" s="31" t="n">
        <f aca="false">IF($A70="","",IFERROR(IF(INDEX(campaigns!$BG$2:$BG$51,MATCH($A70,campaigns!$A$2:$A$51,0))="","",INDEX(campaigns!$BG$2:$BG$51,MATCH($A70,campaigns!$A$2:$A$51,0))),""))</f>
        <v>46469</v>
      </c>
      <c r="J70" s="30" t="str">
        <f aca="false">IF($A70="","",IFERROR(IF(INDEX(campaigns!$BE$2:$BE$51,MATCH($A70,campaigns!$A$2:$A$51,0))="","",INDEX(campaigns!$BE$2:$BE$51,MATCH($A70,campaigns!$A$2:$A$51,0))),""))</f>
        <v>SAMPLE Tallgrass</v>
      </c>
      <c r="K70" s="30" t="str">
        <f aca="false">IF($B70="","",IFERROR(IF(INDEX(offices!$O$2:$O$61,MATCH($B70,offices!$A$2:$A$61,0))="","",INDEX(offices!$O$2:$O$61,MATCH($B70,offices!$A$2:$A$61,0))),""))</f>
        <v>SAMPLE Overlook Games</v>
      </c>
      <c r="L70" s="30" t="n">
        <f aca="false">IF($A70="","",IF($Q70="N","",COUNTIFS($A$2:$A70,$A70,$Q$2:$Q70,"&lt;&gt;N")))</f>
        <v>9</v>
      </c>
      <c r="M70" s="30" t="str">
        <f aca="false">IF(OR($A70="",$L70=""),"",IF(AND(config!$B$34="names_if_public",IFERROR(IF(INDEX(offices!$AG$2:$AG$61,MATCH($B70,offices!$A$2:$A$61,0))="","",INDEX(offices!$AG$2:$AG$61,MATCH($B70,offices!$A$2:$A$61,0))),"")="Y"),$K70,CHAR(64+$L70)))</f>
        <v>I</v>
      </c>
      <c r="N70" s="30" t="n">
        <f aca="false">IF(OR($A70="",$I70=""),"",COUNTIFS(stops!$B$2:$B$151,$B70,stops!$P$2:$P$151,"&lt;"&amp;$I70,stops!$L$2:$L$151,"&lt;&gt;not_delivered")+1)</f>
        <v>3</v>
      </c>
      <c r="O70" s="30" t="str">
        <f aca="false">IF($A70="","",IF(N($N70)&lt;=config!$B$29,"explicit","opt-out"))</f>
        <v>explicit</v>
      </c>
      <c r="P70" s="30" t="str">
        <f aca="false">IF($A70="","",IF($O70="explicit",IF($D70="yes","Y",IF($D70="no","N","pending")),IF($D70="no","N",IF(AND($C70&lt;&gt;"",$I70&lt;&gt;"",$C70&lt;=WORKDAY(N($I70),-5,calendar!$A$2:$A$80)),"Y","pending"))))</f>
        <v>Y</v>
      </c>
      <c r="Q70" s="30" t="str">
        <f aca="false">IF($A70="","",IF($P70="N","N",IF($P70&lt;&gt;"Y","pending",IF(AND((COUNTIFS(stops!$A$2:$A$151,$H70,stops!$B$2:$B$151,$B70,stops!$L$2:$L$151,"declined")+COUNTIFS(stops!$A$2:$A$151,$H70,stops!$B$2:$B$151,$B70,stops!$L$2:$L$151,"building_refused")+COUNTIFS(stops!$A$2:$A$151,$H70,stops!$B$2:$B$151,$B70,stops!$L$2:$L$151,"not_delivered"))&gt;0,N($U70)=0),"N","Y"))))</f>
        <v>Y</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n">
        <f aca="false">IF($A70="","",IF($G70&lt;&gt;"",$G70,IFERROR(IF(INDEX(offices!$AM$2:$AM$61,MATCH($B70,offices!$A$2:$A$61,0))="","",INDEX(offices!$AM$2:$AM$61,MATCH($B70,offices!$A$2:$A$61,0))),"")))</f>
        <v>75</v>
      </c>
      <c r="T70" s="30" t="str">
        <f aca="false">IF($A70="","",$A70&amp;"."&amp;$B70)</f>
        <v>SAMPLE-CMP-008.SAMPLE-O-009</v>
      </c>
      <c r="U70" s="30" t="n">
        <f aca="false">IF($A70="","",SUMIFS(inventory!$G$2:$G$801,inventory!$C$2:$C$801,$A70,inventory!$D$2:$D$801,$B70,inventory!$E$2:$E$801,"delivered"))</f>
        <v>0</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n">
        <f aca="false">IF($A70="","",IF($Y70="",0,N($Z70)))</f>
        <v>0</v>
      </c>
      <c r="AB70" s="30" t="str">
        <f aca="false">IF($A70="","",IF(OR($Y70="",$I70=""),"N",IF($Y70&lt;=WORKDAY(N($I70),1,calendar!$A$2:$A$80),"Y","N")))</f>
        <v>N</v>
      </c>
      <c r="AC70" s="33" t="str">
        <f aca="false">IF(OR($A70="",$V70="",$Y70=""),"",ROUND(($Y70+N(IFERROR(IF(INDEX(photos!$F$2:$F$701,MATCH($A70&amp;"|"&amp;$B70&amp;"|placement|Y",photos!$R$2:$R$701,0))="","",INDEX(photos!$F$2:$F$701,MATCH($A70&amp;"|"&amp;$B70&amp;"|placement|Y",photos!$R$2:$R$701,0))),""))-$V70)*24,1))</f>
        <v/>
      </c>
      <c r="AD70" s="30" t="n">
        <f aca="false">IF($A70="","",SUMIFS(inventory!$G$2:$G$801,inventory!$C$2:$C$801,$A70,inventory!$D$2:$D$801,$B70,inventory!$E$2:$E$801,"topped_up"))</f>
        <v>0</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N</v>
      </c>
      <c r="AL70" s="30" t="n">
        <f aca="true">IF(OR($A70="",$I70=""),"",IF($BC70="Y",SUMIFS(survey_frozen!$C$2:$C$251,survey_frozen!$P$2:$P$251,$A70&amp;"|"&amp;$B70),IFERROR(COUNTIFS(INDIRECT("'"&amp;$A70&amp;"'!$B$2:$B$501"),$T70,INDIRECT("'"&amp;$A70&amp;"'!$A$2:$A$501"),"&gt;="&amp;$I70,INDIRECT("'"&amp;$A70&amp;"'!$A$2:$A$501"),"&lt;"&amp;($BA70+1)),0)))</f>
        <v>0</v>
      </c>
      <c r="AM70" s="30" t="n">
        <f aca="true">IF(OR($A70="",$I70=""),"",IF($BC70="Y",SUMIFS(survey_frozen!$D$2:$D$251,survey_frozen!$P$2:$P$251,$A70&amp;"|"&amp;$B70),IFERROR(COUNTIFS(INDIRECT("'"&amp;$A70&amp;"'!$B$2:$B$501"),$T70,INDIRECT("'"&amp;$A70&amp;"'!$A$2:$A$501"),"&gt;="&amp;$I70,INDIRECT("'"&amp;$A70&amp;"'!$A$2:$A$501"),"&lt;"&amp;($BA70+1),INDIRECT("'"&amp;$A70&amp;"'!$C$2:$C$501"),"Yes"),0)))</f>
        <v>0</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n">
        <f aca="true">IF(OR($A70="",$I70=""),"",IF($BC70="Y",SUMIFS(survey_frozen!$E$2:$E$251,survey_frozen!$P$2:$P$251,$A70&amp;"|"&amp;$B70),IFERROR(COUNTIFS(INDIRECT("'"&amp;$A70&amp;"'!$B$2:$B$501"),$T70,INDIRECT("'"&amp;$A70&amp;"'!$A$2:$A$501"),"&gt;="&amp;$I70,INDIRECT("'"&amp;$A70&amp;"'!$A$2:$A$501"),"&lt;"&amp;($BA70+1),INDIRECT("'"&amp;$A70&amp;"'!$F$2:$F$501"),"Didn't see it"),0)))</f>
        <v>0</v>
      </c>
      <c r="AR70" s="30" t="n">
        <f aca="true">IF(OR($A70="",$I70=""),"",IF($BC70="Y",SUMIFS(survey_frozen!$F$2:$F$251,survey_frozen!$P$2:$P$251,$A70&amp;"|"&amp;$B70),IFERROR(COUNTIFS(INDIRECT("'"&amp;$A70&amp;"'!$B$2:$B$501"),$T70,INDIRECT("'"&amp;$A70&amp;"'!$A$2:$A$501"),"&gt;="&amp;$I70,INDIRECT("'"&amp;$A70&amp;"'!$A$2:$A$501"),"&lt;"&amp;($BA70+1),INDIRECT("'"&amp;$A70&amp;"'!$F$2:$F$501"),"Not for me"),0)))</f>
        <v>0</v>
      </c>
      <c r="AS70" s="30" t="n">
        <f aca="true">IF(OR($A70="",$I70=""),"",IF($BC70="Y",SUMIFS(survey_frozen!$G$2:$G$251,survey_frozen!$P$2:$P$251,$A70&amp;"|"&amp;$B70),IFERROR(COUNTIFS(INDIRECT("'"&amp;$A70&amp;"'!$B$2:$B$501"),$T70,INDIRECT("'"&amp;$A70&amp;"'!$A$2:$A$501"),"&gt;="&amp;$I70,INDIRECT("'"&amp;$A70&amp;"'!$A$2:$A$501"),"&lt;"&amp;($BA70+1),INDIRECT("'"&amp;$A70&amp;"'!$F$2:$F$501"),"Gone by the time I looked"),0)))</f>
        <v>0</v>
      </c>
      <c r="AT70" s="30" t="n">
        <f aca="true">IF(OR($A70="",$I70=""),"",IF($BC70="Y",SUMIFS(survey_frozen!$H$2:$H$251,survey_frozen!$P$2:$P$251,$A70&amp;"|"&amp;$B70),IFERROR(COUNTIFS(INDIRECT("'"&amp;$A70&amp;"'!$B$2:$B$501"),$T70,INDIRECT("'"&amp;$A70&amp;"'!$A$2:$A$501"),"&gt;="&amp;$I70,INDIRECT("'"&amp;$A70&amp;"'!$A$2:$A$501"),"&lt;"&amp;($BA70+1),INDIRECT("'"&amp;$A70&amp;"'!$D$2:$D$501"),"&gt;=1"),0)))</f>
        <v>0</v>
      </c>
      <c r="AU70" s="30" t="n">
        <f aca="true">IF(OR($A70="",$I70=""),"",IF($BC70="Y",SUMIFS(survey_frozen!$I$2:$I$251,survey_frozen!$P$2:$P$251,$A70&amp;"|"&amp;$B70),IFERROR(SUMIFS(INDIRECT("'"&amp;$A70&amp;"'!$D$2:$D$501"),INDIRECT("'"&amp;$A70&amp;"'!$B$2:$B$501"),$T70,INDIRECT("'"&amp;$A70&amp;"'!$A$2:$A$501"),"&gt;="&amp;$I70,INDIRECT("'"&amp;$A70&amp;"'!$A$2:$A$501"),"&lt;"&amp;($BA70+1)),0)))</f>
        <v>0</v>
      </c>
      <c r="AV70" s="30" t="n">
        <f aca="true">IF(OR($A70="",$I70=""),"",IF($BC70="Y",SUMIFS(survey_frozen!$J$2:$J$251,survey_frozen!$P$2:$P$251,$A70&amp;"|"&amp;$B70),IFERROR(COUNTIFS(INDIRECT("'"&amp;$A70&amp;"'!$B$2:$B$501"),$T70,INDIRECT("'"&amp;$A70&amp;"'!$A$2:$A$501"),"&gt;="&amp;$I70,INDIRECT("'"&amp;$A70&amp;"'!$A$2:$A$501"),"&lt;"&amp;($BA70+1),INDIRECT("'"&amp;$A70&amp;"'!$E$2:$E$501"),"Yes"),0)))</f>
        <v>0</v>
      </c>
      <c r="AW70" s="30" t="n">
        <f aca="true">IF(OR($A70="",$I70=""),"",IF($BC70="Y",SUMIFS(survey_frozen!$K$2:$K$251,survey_frozen!$P$2:$P$251,$A70&amp;"|"&amp;$B70),IFERROR(COUNTIFS(INDIRECT("'"&amp;$A70&amp;"'!$B$2:$B$501"),$T70,INDIRECT("'"&amp;$A70&amp;"'!$A$2:$A$501"),"&gt;="&amp;$I70,INDIRECT("'"&amp;$A70&amp;"'!$A$2:$A$501"),"&lt;"&amp;($BA70+1),INDIRECT("'"&amp;$A70&amp;"'!$E$2:$E$501"),"Maybe"),0)))</f>
        <v>0</v>
      </c>
      <c r="AX70" s="30" t="n">
        <f aca="true">IF(OR($A70="",$I70=""),"",IF($BC70="Y",SUMIFS(survey_frozen!$L$2:$L$251,survey_frozen!$P$2:$P$251,$A70&amp;"|"&amp;$B70),IFERROR(COUNTIFS(INDIRECT("'"&amp;$A70&amp;"'!$B$2:$B$501"),$T70,INDIRECT("'"&amp;$A70&amp;"'!$A$2:$A$501"),"&gt;="&amp;$I70,INDIRECT("'"&amp;$A70&amp;"'!$A$2:$A$501"),"&lt;"&amp;($BA70+1),INDIRECT("'"&amp;$A70&amp;"'!$E$2:$E$501"),"No"),0)))</f>
        <v>0</v>
      </c>
      <c r="AY70" s="30" t="n">
        <f aca="true">IF(OR($A70="",$I70=""),"",IF($BC70="Y",SUMIFS(survey_frozen!$M$2:$M$251,survey_frozen!$P$2:$P$251,$A70&amp;"|"&amp;$B70),IFERROR(COUNTIFS(INDIRECT("'"&amp;$A70&amp;"'!$B$2:$B$501"),$T70,INDIRECT("'"&amp;$A70&amp;"'!$A$2:$A$501"),"&gt;="&amp;$I70,INDIRECT("'"&amp;$A70&amp;"'!$A$2:$A$501"),"&lt;"&amp;($BA70+1),INDIRECT("'"&amp;$A70&amp;"'!$G$2:$G$501"),"&lt;&gt;"),0)))</f>
        <v>0</v>
      </c>
      <c r="AZ70" s="30" t="str">
        <f aca="false">IF($A70="","",$A70&amp;"|"&amp;$L70)</f>
        <v>SAMPLE-CMP-008|9</v>
      </c>
      <c r="BA70" s="31" t="n">
        <f aca="false">IF($A70="","",IFERROR(IF(INDEX(drops!$R$2:$R$21,MATCH($H70,drops!$A$2:$A$21,0))="","",INDEX(drops!$R$2:$R$21,MATCH($H70,drops!$A$2:$A$21,0))),""))</f>
        <v>46475</v>
      </c>
      <c r="BB70" s="30" t="n">
        <f aca="false">IF(OR($A70="",$Q70&lt;&gt;"Y"),1000000,N($AL70))</f>
        <v>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Y</v>
      </c>
    </row>
    <row r="71" customFormat="false" ht="15" hidden="false" customHeight="false" outlineLevel="0" collapsed="false">
      <c r="A71" s="0" t="s">
        <v>579</v>
      </c>
      <c r="B71" s="0" t="s">
        <v>688</v>
      </c>
      <c r="C71" s="11" t="n">
        <v>46442</v>
      </c>
      <c r="D71" s="10" t="s">
        <v>496</v>
      </c>
      <c r="E71" s="11" t="n">
        <v>46443</v>
      </c>
      <c r="F71" s="10" t="s">
        <v>727</v>
      </c>
      <c r="H71" s="30" t="str">
        <f aca="false">IF($A71="","",IFERROR(IF(INDEX(campaigns!$B$2:$B$51,MATCH($A71,campaigns!$A$2:$A$51,0))="","",INDEX(campaigns!$B$2:$B$51,MATCH($A71,campaigns!$A$2:$A$51,0))),""))</f>
        <v>SAMPLE-DRP-004</v>
      </c>
      <c r="I71" s="31" t="n">
        <f aca="false">IF($A71="","",IFERROR(IF(INDEX(campaigns!$BG$2:$BG$51,MATCH($A71,campaigns!$A$2:$A$51,0))="","",INDEX(campaigns!$BG$2:$BG$51,MATCH($A71,campaigns!$A$2:$A$51,0))),""))</f>
        <v>46469</v>
      </c>
      <c r="J71" s="30" t="str">
        <f aca="false">IF($A71="","",IFERROR(IF(INDEX(campaigns!$BE$2:$BE$51,MATCH($A71,campaigns!$A$2:$A$51,0))="","",INDEX(campaigns!$BE$2:$BE$51,MATCH($A71,campaigns!$A$2:$A$51,0))),""))</f>
        <v>SAMPLE Tallgrass</v>
      </c>
      <c r="K71" s="30" t="str">
        <f aca="false">IF($B71="","",IFERROR(IF(INDEX(offices!$O$2:$O$61,MATCH($B71,offices!$A$2:$A$61,0))="","",INDEX(offices!$O$2:$O$61,MATCH($B71,offices!$A$2:$A$61,0))),""))</f>
        <v>SAMPLE Quill Nonprofit Press</v>
      </c>
      <c r="L71" s="30" t="n">
        <f aca="false">IF($A71="","",IF($Q71="N","",COUNTIFS($A$2:$A71,$A71,$Q$2:$Q71,"&lt;&gt;N")))</f>
        <v>10</v>
      </c>
      <c r="M71" s="30" t="str">
        <f aca="false">IF(OR($A71="",$L71=""),"",IF(AND(config!$B$34="names_if_public",IFERROR(IF(INDEX(offices!$AG$2:$AG$61,MATCH($B71,offices!$A$2:$A$61,0))="","",INDEX(offices!$AG$2:$AG$61,MATCH($B71,offices!$A$2:$A$61,0))),"")="Y"),$K71,CHAR(64+$L71)))</f>
        <v>J</v>
      </c>
      <c r="N71" s="30" t="n">
        <f aca="false">IF(OR($A71="",$I71=""),"",COUNTIFS(stops!$B$2:$B$151,$B71,stops!$P$2:$P$151,"&lt;"&amp;$I71,stops!$L$2:$L$151,"&lt;&gt;not_delivered")+1)</f>
        <v>3</v>
      </c>
      <c r="O71" s="30" t="str">
        <f aca="false">IF($A71="","",IF(N($N71)&lt;=config!$B$29,"explicit","opt-out"))</f>
        <v>explicit</v>
      </c>
      <c r="P71" s="30" t="str">
        <f aca="false">IF($A71="","",IF($O71="explicit",IF($D71="yes","Y",IF($D71="no","N","pending")),IF($D71="no","N",IF(AND($C71&lt;&gt;"",$I71&lt;&gt;"",$C71&lt;=WORKDAY(N($I71),-5,calendar!$A$2:$A$80)),"Y","pending"))))</f>
        <v>Y</v>
      </c>
      <c r="Q71" s="30" t="str">
        <f aca="false">IF($A71="","",IF($P71="N","N",IF($P71&lt;&gt;"Y","pending",IF(AND((COUNTIFS(stops!$A$2:$A$151,$H71,stops!$B$2:$B$151,$B71,stops!$L$2:$L$151,"declined")+COUNTIFS(stops!$A$2:$A$151,$H71,stops!$B$2:$B$151,$B71,stops!$L$2:$L$151,"building_refused")+COUNTIFS(stops!$A$2:$A$151,$H71,stops!$B$2:$B$151,$B71,stops!$L$2:$L$151,"not_delivered"))&gt;0,N($U71)=0),"N","Y"))))</f>
        <v>Y</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n">
        <f aca="false">IF($A71="","",IF($G71&lt;&gt;"",$G71,IFERROR(IF(INDEX(offices!$AM$2:$AM$61,MATCH($B71,offices!$A$2:$A$61,0))="","",INDEX(offices!$AM$2:$AM$61,MATCH($B71,offices!$A$2:$A$61,0))),"")))</f>
        <v>40</v>
      </c>
      <c r="T71" s="30" t="str">
        <f aca="false">IF($A71="","",$A71&amp;"."&amp;$B71)</f>
        <v>SAMPLE-CMP-008.SAMPLE-O-010</v>
      </c>
      <c r="U71" s="30" t="n">
        <f aca="false">IF($A71="","",SUMIFS(inventory!$G$2:$G$801,inventory!$C$2:$C$801,$A71,inventory!$D$2:$D$801,$B71,inventory!$E$2:$E$801,"delivered"))</f>
        <v>0</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n">
        <f aca="false">IF($A71="","",IF($Y71="",0,N($Z71)))</f>
        <v>0</v>
      </c>
      <c r="AB71" s="30" t="str">
        <f aca="false">IF($A71="","",IF(OR($Y71="",$I71=""),"N",IF($Y71&lt;=WORKDAY(N($I71),1,calendar!$A$2:$A$80),"Y","N")))</f>
        <v>N</v>
      </c>
      <c r="AC71" s="33" t="str">
        <f aca="false">IF(OR($A71="",$V71="",$Y71=""),"",ROUND(($Y71+N(IFERROR(IF(INDEX(photos!$F$2:$F$701,MATCH($A71&amp;"|"&amp;$B71&amp;"|placement|Y",photos!$R$2:$R$701,0))="","",INDEX(photos!$F$2:$F$701,MATCH($A71&amp;"|"&amp;$B71&amp;"|placement|Y",photos!$R$2:$R$701,0))),""))-$V71)*24,1))</f>
        <v/>
      </c>
      <c r="AD71" s="30" t="n">
        <f aca="false">IF($A71="","",SUMIFS(inventory!$G$2:$G$801,inventory!$C$2:$C$801,$A71,inventory!$D$2:$D$801,$B71,inventory!$E$2:$E$801,"topped_up"))</f>
        <v>0</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N</v>
      </c>
      <c r="AL71" s="30" t="n">
        <f aca="true">IF(OR($A71="",$I71=""),"",IF($BC71="Y",SUMIFS(survey_frozen!$C$2:$C$251,survey_frozen!$P$2:$P$251,$A71&amp;"|"&amp;$B71),IFERROR(COUNTIFS(INDIRECT("'"&amp;$A71&amp;"'!$B$2:$B$501"),$T71,INDIRECT("'"&amp;$A71&amp;"'!$A$2:$A$501"),"&gt;="&amp;$I71,INDIRECT("'"&amp;$A71&amp;"'!$A$2:$A$501"),"&lt;"&amp;($BA71+1)),0)))</f>
        <v>0</v>
      </c>
      <c r="AM71" s="30" t="n">
        <f aca="true">IF(OR($A71="",$I71=""),"",IF($BC71="Y",SUMIFS(survey_frozen!$D$2:$D$251,survey_frozen!$P$2:$P$251,$A71&amp;"|"&amp;$B71),IFERROR(COUNTIFS(INDIRECT("'"&amp;$A71&amp;"'!$B$2:$B$501"),$T71,INDIRECT("'"&amp;$A71&amp;"'!$A$2:$A$501"),"&gt;="&amp;$I71,INDIRECT("'"&amp;$A71&amp;"'!$A$2:$A$501"),"&lt;"&amp;($BA71+1),INDIRECT("'"&amp;$A71&amp;"'!$C$2:$C$501"),"Yes"),0)))</f>
        <v>0</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n">
        <f aca="true">IF(OR($A71="",$I71=""),"",IF($BC71="Y",SUMIFS(survey_frozen!$E$2:$E$251,survey_frozen!$P$2:$P$251,$A71&amp;"|"&amp;$B71),IFERROR(COUNTIFS(INDIRECT("'"&amp;$A71&amp;"'!$B$2:$B$501"),$T71,INDIRECT("'"&amp;$A71&amp;"'!$A$2:$A$501"),"&gt;="&amp;$I71,INDIRECT("'"&amp;$A71&amp;"'!$A$2:$A$501"),"&lt;"&amp;($BA71+1),INDIRECT("'"&amp;$A71&amp;"'!$F$2:$F$501"),"Didn't see it"),0)))</f>
        <v>0</v>
      </c>
      <c r="AR71" s="30" t="n">
        <f aca="true">IF(OR($A71="",$I71=""),"",IF($BC71="Y",SUMIFS(survey_frozen!$F$2:$F$251,survey_frozen!$P$2:$P$251,$A71&amp;"|"&amp;$B71),IFERROR(COUNTIFS(INDIRECT("'"&amp;$A71&amp;"'!$B$2:$B$501"),$T71,INDIRECT("'"&amp;$A71&amp;"'!$A$2:$A$501"),"&gt;="&amp;$I71,INDIRECT("'"&amp;$A71&amp;"'!$A$2:$A$501"),"&lt;"&amp;($BA71+1),INDIRECT("'"&amp;$A71&amp;"'!$F$2:$F$501"),"Not for me"),0)))</f>
        <v>0</v>
      </c>
      <c r="AS71" s="30" t="n">
        <f aca="true">IF(OR($A71="",$I71=""),"",IF($BC71="Y",SUMIFS(survey_frozen!$G$2:$G$251,survey_frozen!$P$2:$P$251,$A71&amp;"|"&amp;$B71),IFERROR(COUNTIFS(INDIRECT("'"&amp;$A71&amp;"'!$B$2:$B$501"),$T71,INDIRECT("'"&amp;$A71&amp;"'!$A$2:$A$501"),"&gt;="&amp;$I71,INDIRECT("'"&amp;$A71&amp;"'!$A$2:$A$501"),"&lt;"&amp;($BA71+1),INDIRECT("'"&amp;$A71&amp;"'!$F$2:$F$501"),"Gone by the time I looked"),0)))</f>
        <v>0</v>
      </c>
      <c r="AT71" s="30" t="n">
        <f aca="true">IF(OR($A71="",$I71=""),"",IF($BC71="Y",SUMIFS(survey_frozen!$H$2:$H$251,survey_frozen!$P$2:$P$251,$A71&amp;"|"&amp;$B71),IFERROR(COUNTIFS(INDIRECT("'"&amp;$A71&amp;"'!$B$2:$B$501"),$T71,INDIRECT("'"&amp;$A71&amp;"'!$A$2:$A$501"),"&gt;="&amp;$I71,INDIRECT("'"&amp;$A71&amp;"'!$A$2:$A$501"),"&lt;"&amp;($BA71+1),INDIRECT("'"&amp;$A71&amp;"'!$D$2:$D$501"),"&gt;=1"),0)))</f>
        <v>0</v>
      </c>
      <c r="AU71" s="30" t="n">
        <f aca="true">IF(OR($A71="",$I71=""),"",IF($BC71="Y",SUMIFS(survey_frozen!$I$2:$I$251,survey_frozen!$P$2:$P$251,$A71&amp;"|"&amp;$B71),IFERROR(SUMIFS(INDIRECT("'"&amp;$A71&amp;"'!$D$2:$D$501"),INDIRECT("'"&amp;$A71&amp;"'!$B$2:$B$501"),$T71,INDIRECT("'"&amp;$A71&amp;"'!$A$2:$A$501"),"&gt;="&amp;$I71,INDIRECT("'"&amp;$A71&amp;"'!$A$2:$A$501"),"&lt;"&amp;($BA71+1)),0)))</f>
        <v>0</v>
      </c>
      <c r="AV71" s="30" t="n">
        <f aca="true">IF(OR($A71="",$I71=""),"",IF($BC71="Y",SUMIFS(survey_frozen!$J$2:$J$251,survey_frozen!$P$2:$P$251,$A71&amp;"|"&amp;$B71),IFERROR(COUNTIFS(INDIRECT("'"&amp;$A71&amp;"'!$B$2:$B$501"),$T71,INDIRECT("'"&amp;$A71&amp;"'!$A$2:$A$501"),"&gt;="&amp;$I71,INDIRECT("'"&amp;$A71&amp;"'!$A$2:$A$501"),"&lt;"&amp;($BA71+1),INDIRECT("'"&amp;$A71&amp;"'!$E$2:$E$501"),"Yes"),0)))</f>
        <v>0</v>
      </c>
      <c r="AW71" s="30" t="n">
        <f aca="true">IF(OR($A71="",$I71=""),"",IF($BC71="Y",SUMIFS(survey_frozen!$K$2:$K$251,survey_frozen!$P$2:$P$251,$A71&amp;"|"&amp;$B71),IFERROR(COUNTIFS(INDIRECT("'"&amp;$A71&amp;"'!$B$2:$B$501"),$T71,INDIRECT("'"&amp;$A71&amp;"'!$A$2:$A$501"),"&gt;="&amp;$I71,INDIRECT("'"&amp;$A71&amp;"'!$A$2:$A$501"),"&lt;"&amp;($BA71+1),INDIRECT("'"&amp;$A71&amp;"'!$E$2:$E$501"),"Maybe"),0)))</f>
        <v>0</v>
      </c>
      <c r="AX71" s="30" t="n">
        <f aca="true">IF(OR($A71="",$I71=""),"",IF($BC71="Y",SUMIFS(survey_frozen!$L$2:$L$251,survey_frozen!$P$2:$P$251,$A71&amp;"|"&amp;$B71),IFERROR(COUNTIFS(INDIRECT("'"&amp;$A71&amp;"'!$B$2:$B$501"),$T71,INDIRECT("'"&amp;$A71&amp;"'!$A$2:$A$501"),"&gt;="&amp;$I71,INDIRECT("'"&amp;$A71&amp;"'!$A$2:$A$501"),"&lt;"&amp;($BA71+1),INDIRECT("'"&amp;$A71&amp;"'!$E$2:$E$501"),"No"),0)))</f>
        <v>0</v>
      </c>
      <c r="AY71" s="30" t="n">
        <f aca="true">IF(OR($A71="",$I71=""),"",IF($BC71="Y",SUMIFS(survey_frozen!$M$2:$M$251,survey_frozen!$P$2:$P$251,$A71&amp;"|"&amp;$B71),IFERROR(COUNTIFS(INDIRECT("'"&amp;$A71&amp;"'!$B$2:$B$501"),$T71,INDIRECT("'"&amp;$A71&amp;"'!$A$2:$A$501"),"&gt;="&amp;$I71,INDIRECT("'"&amp;$A71&amp;"'!$A$2:$A$501"),"&lt;"&amp;($BA71+1),INDIRECT("'"&amp;$A71&amp;"'!$G$2:$G$501"),"&lt;&gt;"),0)))</f>
        <v>0</v>
      </c>
      <c r="AZ71" s="30" t="str">
        <f aca="false">IF($A71="","",$A71&amp;"|"&amp;$L71)</f>
        <v>SAMPLE-CMP-008|10</v>
      </c>
      <c r="BA71" s="31" t="n">
        <f aca="false">IF($A71="","",IFERROR(IF(INDEX(drops!$R$2:$R$21,MATCH($H71,drops!$A$2:$A$21,0))="","",INDEX(drops!$R$2:$R$21,MATCH($H71,drops!$A$2:$A$21,0))),""))</f>
        <v>46475</v>
      </c>
      <c r="BB71" s="30" t="n">
        <f aca="false">IF(OR($A71="",$Q71&lt;&gt;"Y"),1000000,N($AL71))</f>
        <v>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632</v>
      </c>
      <c r="C1" s="28" t="s">
        <v>728</v>
      </c>
      <c r="D1" s="28" t="s">
        <v>729</v>
      </c>
      <c r="E1" s="28" t="s">
        <v>730</v>
      </c>
      <c r="F1" s="28" t="s">
        <v>731</v>
      </c>
      <c r="G1" s="28" t="s">
        <v>732</v>
      </c>
      <c r="H1" s="28" t="s">
        <v>733</v>
      </c>
      <c r="I1" s="28" t="s">
        <v>734</v>
      </c>
      <c r="J1" s="28" t="s">
        <v>735</v>
      </c>
      <c r="K1" s="28" t="s">
        <v>736</v>
      </c>
      <c r="L1" s="28" t="s">
        <v>737</v>
      </c>
      <c r="M1" s="28" t="s">
        <v>305</v>
      </c>
      <c r="N1" s="28" t="s">
        <v>738</v>
      </c>
      <c r="O1" s="28" t="s">
        <v>739</v>
      </c>
      <c r="P1" s="29" t="s">
        <v>300</v>
      </c>
      <c r="Q1" s="29" t="s">
        <v>138</v>
      </c>
      <c r="R1" s="29" t="s">
        <v>644</v>
      </c>
      <c r="S1" s="29" t="s">
        <v>645</v>
      </c>
      <c r="T1" s="29" t="s">
        <v>651</v>
      </c>
      <c r="U1" s="29" t="s">
        <v>650</v>
      </c>
      <c r="V1" s="29" t="s">
        <v>647</v>
      </c>
      <c r="W1" s="29" t="s">
        <v>660</v>
      </c>
      <c r="X1" s="29" t="s">
        <v>638</v>
      </c>
      <c r="Y1" s="29" t="s">
        <v>640</v>
      </c>
      <c r="Z1" s="29" t="s">
        <v>740</v>
      </c>
      <c r="AA1" s="29" t="s">
        <v>741</v>
      </c>
      <c r="AB1" s="29" t="s">
        <v>742</v>
      </c>
      <c r="AC1" s="29" t="s">
        <v>743</v>
      </c>
      <c r="AD1" s="29" t="s">
        <v>120</v>
      </c>
      <c r="AE1" s="29" t="s">
        <v>639</v>
      </c>
      <c r="AF1" s="29" t="s">
        <v>744</v>
      </c>
    </row>
    <row r="2" customFormat="false" ht="15" hidden="false" customHeight="false" outlineLevel="0" collapsed="false">
      <c r="A2" s="0" t="s">
        <v>337</v>
      </c>
      <c r="B2" s="0" t="s">
        <v>668</v>
      </c>
      <c r="C2" s="0" t="n">
        <v>1</v>
      </c>
      <c r="D2" s="38" t="n">
        <v>0.340277777777778</v>
      </c>
      <c r="E2" s="11" t="n">
        <v>46394</v>
      </c>
      <c r="F2" s="11" t="n">
        <v>46398</v>
      </c>
      <c r="G2" s="11"/>
      <c r="I2" s="38" t="n">
        <v>0.347222222222222</v>
      </c>
      <c r="J2" s="38" t="n">
        <v>0.359722222222222</v>
      </c>
      <c r="K2" s="10" t="s">
        <v>745</v>
      </c>
      <c r="L2" s="10" t="s">
        <v>746</v>
      </c>
      <c r="N2" s="11" t="n">
        <v>46412</v>
      </c>
      <c r="O2" s="10" t="s">
        <v>496</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673</v>
      </c>
      <c r="C3" s="0" t="n">
        <v>2</v>
      </c>
      <c r="D3" s="38" t="n">
        <v>0.371527777777778</v>
      </c>
      <c r="E3" s="11" t="n">
        <v>46394</v>
      </c>
      <c r="F3" s="11" t="n">
        <v>46398</v>
      </c>
      <c r="G3" s="11"/>
      <c r="I3" s="38" t="n">
        <v>0.372916666666667</v>
      </c>
      <c r="J3" s="38" t="n">
        <v>0.384722222222222</v>
      </c>
      <c r="K3" s="10" t="s">
        <v>745</v>
      </c>
      <c r="L3" s="10" t="s">
        <v>746</v>
      </c>
      <c r="N3" s="11" t="n">
        <v>46412</v>
      </c>
      <c r="O3" s="10" t="s">
        <v>496</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671</v>
      </c>
      <c r="C4" s="0" t="n">
        <v>3</v>
      </c>
      <c r="D4" s="38" t="n">
        <v>0.395833333333333</v>
      </c>
      <c r="E4" s="11" t="n">
        <v>46394</v>
      </c>
      <c r="F4" s="11" t="n">
        <v>46398</v>
      </c>
      <c r="G4" s="11"/>
      <c r="I4" s="38" t="n">
        <v>0.396527777777778</v>
      </c>
      <c r="J4" s="38" t="n">
        <v>0.406944444444444</v>
      </c>
      <c r="K4" s="10" t="s">
        <v>745</v>
      </c>
      <c r="L4" s="10" t="s">
        <v>747</v>
      </c>
      <c r="N4" s="11" t="n">
        <v>46412</v>
      </c>
      <c r="O4" s="10" t="s">
        <v>496</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678</v>
      </c>
      <c r="C5" s="0" t="n">
        <v>4</v>
      </c>
      <c r="D5" s="38" t="n">
        <v>0.423611111111111</v>
      </c>
      <c r="E5" s="11" t="n">
        <v>46394</v>
      </c>
      <c r="F5" s="11" t="n">
        <v>46398</v>
      </c>
      <c r="G5" s="11"/>
      <c r="I5" s="38" t="n">
        <v>0.426388888888889</v>
      </c>
      <c r="J5" s="38" t="n">
        <v>0.441666666666667</v>
      </c>
      <c r="K5" s="10" t="s">
        <v>745</v>
      </c>
      <c r="L5" s="10" t="s">
        <v>747</v>
      </c>
      <c r="N5" s="11" t="n">
        <v>46412</v>
      </c>
      <c r="O5" s="10" t="s">
        <v>496</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676</v>
      </c>
      <c r="C6" s="0" t="n">
        <v>5</v>
      </c>
      <c r="D6" s="38" t="n">
        <v>0.451388888888889</v>
      </c>
      <c r="E6" s="11" t="n">
        <v>46394</v>
      </c>
      <c r="F6" s="11" t="n">
        <v>46398</v>
      </c>
      <c r="G6" s="11"/>
      <c r="I6" s="38" t="n">
        <v>0.452777777777778</v>
      </c>
      <c r="J6" s="38" t="n">
        <v>0.461111111111111</v>
      </c>
      <c r="K6" s="10" t="s">
        <v>748</v>
      </c>
      <c r="L6" s="10" t="s">
        <v>749</v>
      </c>
      <c r="M6" s="10" t="s">
        <v>750</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668</v>
      </c>
      <c r="C7" s="0" t="n">
        <v>1</v>
      </c>
      <c r="D7" s="38" t="n">
        <v>0.336805555555556</v>
      </c>
      <c r="E7" s="11" t="n">
        <v>46422</v>
      </c>
      <c r="F7" s="11" t="n">
        <v>46426</v>
      </c>
      <c r="G7" s="11"/>
      <c r="I7" s="38" t="n">
        <v>0.3375</v>
      </c>
      <c r="J7" s="38" t="n">
        <v>0.345833333333333</v>
      </c>
      <c r="K7" s="10" t="s">
        <v>745</v>
      </c>
      <c r="L7" s="10" t="s">
        <v>747</v>
      </c>
      <c r="N7" s="11" t="n">
        <v>46435</v>
      </c>
      <c r="O7" s="10" t="s">
        <v>496</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680</v>
      </c>
      <c r="C8" s="0" t="n">
        <v>2</v>
      </c>
      <c r="D8" s="38" t="n">
        <v>0.348611111111111</v>
      </c>
      <c r="E8" s="11" t="n">
        <v>46422</v>
      </c>
      <c r="F8" s="11" t="n">
        <v>46426</v>
      </c>
      <c r="G8" s="11"/>
      <c r="I8" s="38" t="n">
        <v>0.349305555555556</v>
      </c>
      <c r="J8" s="38" t="n">
        <v>0.357638888888889</v>
      </c>
      <c r="K8" s="10" t="s">
        <v>745</v>
      </c>
      <c r="L8" s="10" t="s">
        <v>747</v>
      </c>
      <c r="N8" s="11" t="n">
        <v>46435</v>
      </c>
      <c r="O8" s="10" t="s">
        <v>496</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688</v>
      </c>
      <c r="C9" s="0" t="n">
        <v>3</v>
      </c>
      <c r="D9" s="38" t="n">
        <v>0.361111111111111</v>
      </c>
      <c r="E9" s="11" t="n">
        <v>46422</v>
      </c>
      <c r="F9" s="11" t="n">
        <v>46426</v>
      </c>
      <c r="G9" s="11"/>
      <c r="I9" s="38" t="n">
        <v>0.361805555555556</v>
      </c>
      <c r="J9" s="38" t="n">
        <v>0.370138888888889</v>
      </c>
      <c r="K9" s="10" t="s">
        <v>745</v>
      </c>
      <c r="L9" s="10" t="s">
        <v>747</v>
      </c>
      <c r="N9" s="11" t="n">
        <v>46435</v>
      </c>
      <c r="O9" s="10" t="s">
        <v>496</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673</v>
      </c>
      <c r="C10" s="0" t="n">
        <v>4</v>
      </c>
      <c r="D10" s="38" t="n">
        <v>0.376388888888889</v>
      </c>
      <c r="E10" s="11" t="n">
        <v>46422</v>
      </c>
      <c r="F10" s="11" t="n">
        <v>46426</v>
      </c>
      <c r="G10" s="11"/>
      <c r="I10" s="38" t="n">
        <v>0.377083333333333</v>
      </c>
      <c r="J10" s="38" t="n">
        <v>0.385416666666667</v>
      </c>
      <c r="K10" s="10" t="s">
        <v>745</v>
      </c>
      <c r="L10" s="10" t="s">
        <v>747</v>
      </c>
      <c r="N10" s="11" t="n">
        <v>46435</v>
      </c>
      <c r="O10" s="10" t="s">
        <v>496</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671</v>
      </c>
      <c r="C11" s="0" t="n">
        <v>5</v>
      </c>
      <c r="D11" s="38" t="n">
        <v>0.388888888888889</v>
      </c>
      <c r="E11" s="11" t="n">
        <v>46422</v>
      </c>
      <c r="F11" s="11" t="n">
        <v>46426</v>
      </c>
      <c r="G11" s="11"/>
      <c r="I11" s="38" t="n">
        <v>0.389583333333333</v>
      </c>
      <c r="J11" s="38" t="n">
        <v>0.397916666666667</v>
      </c>
      <c r="K11" s="10" t="s">
        <v>745</v>
      </c>
      <c r="L11" s="10" t="s">
        <v>747</v>
      </c>
      <c r="N11" s="11" t="n">
        <v>46435</v>
      </c>
      <c r="O11" s="10" t="s">
        <v>496</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682</v>
      </c>
      <c r="C12" s="0" t="n">
        <v>6</v>
      </c>
      <c r="D12" s="38" t="n">
        <v>0.401388888888889</v>
      </c>
      <c r="E12" s="11" t="n">
        <v>46422</v>
      </c>
      <c r="F12" s="11" t="n">
        <v>46426</v>
      </c>
      <c r="G12" s="11"/>
      <c r="I12" s="38" t="n">
        <v>0.402083333333333</v>
      </c>
      <c r="J12" s="38" t="n">
        <v>0.410416666666667</v>
      </c>
      <c r="K12" s="10" t="s">
        <v>745</v>
      </c>
      <c r="L12" s="10" t="s">
        <v>747</v>
      </c>
      <c r="N12" s="11" t="n">
        <v>46435</v>
      </c>
      <c r="O12" s="10" t="s">
        <v>496</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684</v>
      </c>
      <c r="C13" s="0" t="n">
        <v>7</v>
      </c>
      <c r="D13" s="38" t="n">
        <v>0.415277777777778</v>
      </c>
      <c r="E13" s="11" t="n">
        <v>46422</v>
      </c>
      <c r="F13" s="11" t="n">
        <v>46426</v>
      </c>
      <c r="G13" s="11"/>
      <c r="I13" s="38" t="n">
        <v>0.415972222222222</v>
      </c>
      <c r="J13" s="38" t="n">
        <v>0.424305555555556</v>
      </c>
      <c r="K13" s="10" t="s">
        <v>745</v>
      </c>
      <c r="L13" s="10" t="s">
        <v>747</v>
      </c>
      <c r="N13" s="11" t="n">
        <v>46435</v>
      </c>
      <c r="O13" s="10" t="s">
        <v>496</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676</v>
      </c>
      <c r="C14" s="0" t="n">
        <v>8</v>
      </c>
      <c r="D14" s="38" t="n">
        <v>0.429166666666667</v>
      </c>
      <c r="E14" s="11" t="n">
        <v>46422</v>
      </c>
      <c r="F14" s="11" t="n">
        <v>46426</v>
      </c>
      <c r="G14" s="11"/>
      <c r="I14" s="38" t="n">
        <v>0.429861111111111</v>
      </c>
      <c r="J14" s="38" t="n">
        <v>0.438194444444444</v>
      </c>
      <c r="K14" s="10" t="s">
        <v>745</v>
      </c>
      <c r="L14" s="10" t="s">
        <v>747</v>
      </c>
      <c r="N14" s="11" t="n">
        <v>46435</v>
      </c>
      <c r="O14" s="10" t="s">
        <v>496</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678</v>
      </c>
      <c r="C15" s="0" t="n">
        <v>9</v>
      </c>
      <c r="D15" s="38" t="n">
        <v>0.444444444444444</v>
      </c>
      <c r="E15" s="11" t="n">
        <v>46422</v>
      </c>
      <c r="F15" s="11" t="n">
        <v>46426</v>
      </c>
      <c r="G15" s="11"/>
      <c r="I15" s="38" t="n">
        <v>0.445138888888889</v>
      </c>
      <c r="J15" s="38" t="n">
        <v>0.453472222222222</v>
      </c>
      <c r="K15" s="10" t="s">
        <v>745</v>
      </c>
      <c r="L15" s="10" t="s">
        <v>747</v>
      </c>
      <c r="N15" s="11" t="n">
        <v>46435</v>
      </c>
      <c r="O15" s="10" t="s">
        <v>496</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686</v>
      </c>
      <c r="C16" s="0" t="n">
        <v>10</v>
      </c>
      <c r="D16" s="38" t="n">
        <v>0.459722222222222</v>
      </c>
      <c r="E16" s="11" t="n">
        <v>46422</v>
      </c>
      <c r="F16" s="11" t="n">
        <v>46426</v>
      </c>
      <c r="G16" s="11"/>
      <c r="I16" s="38" t="n">
        <v>0.460416666666667</v>
      </c>
      <c r="J16" s="38" t="n">
        <v>0.46875</v>
      </c>
      <c r="K16" s="10" t="s">
        <v>751</v>
      </c>
      <c r="L16" s="10" t="s">
        <v>752</v>
      </c>
      <c r="M16" s="10" t="s">
        <v>753</v>
      </c>
      <c r="N16" s="11" t="n">
        <v>46435</v>
      </c>
      <c r="O16" s="10" t="s">
        <v>496</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668</v>
      </c>
      <c r="C17" s="0" t="n">
        <v>1</v>
      </c>
      <c r="D17" s="38" t="n">
        <v>0.336805555555556</v>
      </c>
      <c r="E17" s="11" t="n">
        <v>46436</v>
      </c>
      <c r="F17" s="11" t="n">
        <v>46440</v>
      </c>
      <c r="G17" s="11"/>
      <c r="I17" s="38" t="n">
        <v>0.3375</v>
      </c>
      <c r="J17" s="38" t="n">
        <v>0.345138888888889</v>
      </c>
      <c r="K17" s="10" t="s">
        <v>745</v>
      </c>
      <c r="L17" s="10" t="s">
        <v>747</v>
      </c>
      <c r="N17" s="11" t="n">
        <v>46450</v>
      </c>
      <c r="O17" s="10" t="s">
        <v>496</v>
      </c>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n">
        <f aca="false">IF(OR($I17="",$J17=""),"",ROUND(($J17-$I17)*1440,0))</f>
        <v>11</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680</v>
      </c>
      <c r="C18" s="0" t="n">
        <v>2</v>
      </c>
      <c r="D18" s="38" t="n">
        <v>0.348611111111111</v>
      </c>
      <c r="E18" s="11" t="n">
        <v>46436</v>
      </c>
      <c r="F18" s="11" t="n">
        <v>46440</v>
      </c>
      <c r="G18" s="11"/>
      <c r="I18" s="38" t="n">
        <v>0.349305555555556</v>
      </c>
      <c r="J18" s="38" t="n">
        <v>0.356944444444445</v>
      </c>
      <c r="K18" s="10" t="s">
        <v>745</v>
      </c>
      <c r="L18" s="10" t="s">
        <v>754</v>
      </c>
      <c r="M18" s="10" t="s">
        <v>755</v>
      </c>
      <c r="N18" s="11" t="n">
        <v>46450</v>
      </c>
      <c r="O18" s="10" t="s">
        <v>145</v>
      </c>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n">
        <f aca="false">IF(OR($I18="",$J18=""),"",ROUND(($J18-$I18)*1440,0))</f>
        <v>11</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Y</v>
      </c>
    </row>
    <row r="19" customFormat="false" ht="15" hidden="false" customHeight="false" outlineLevel="0" collapsed="false">
      <c r="A19" s="0" t="s">
        <v>349</v>
      </c>
      <c r="B19" s="0" t="s">
        <v>688</v>
      </c>
      <c r="C19" s="0" t="n">
        <v>3</v>
      </c>
      <c r="D19" s="38" t="n">
        <v>0.361111111111111</v>
      </c>
      <c r="E19" s="11" t="n">
        <v>46436</v>
      </c>
      <c r="F19" s="11" t="n">
        <v>46440</v>
      </c>
      <c r="G19" s="11"/>
      <c r="I19" s="38" t="n">
        <v>0.361805555555556</v>
      </c>
      <c r="J19" s="38" t="n">
        <v>0.369444444444445</v>
      </c>
      <c r="K19" s="10" t="s">
        <v>745</v>
      </c>
      <c r="L19" s="10" t="s">
        <v>747</v>
      </c>
      <c r="N19" s="11" t="n">
        <v>46450</v>
      </c>
      <c r="O19" s="10" t="s">
        <v>496</v>
      </c>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n">
        <f aca="false">IF(OR($I19="",$J19=""),"",ROUND(($J19-$I19)*1440,0))</f>
        <v>11</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673</v>
      </c>
      <c r="C20" s="0" t="n">
        <v>4</v>
      </c>
      <c r="D20" s="38" t="n">
        <v>0.376388888888889</v>
      </c>
      <c r="E20" s="11" t="n">
        <v>46436</v>
      </c>
      <c r="F20" s="11" t="n">
        <v>46440</v>
      </c>
      <c r="G20" s="11"/>
      <c r="I20" s="38" t="n">
        <v>0.377083333333333</v>
      </c>
      <c r="J20" s="38" t="n">
        <v>0.384722222222222</v>
      </c>
      <c r="K20" s="10" t="s">
        <v>745</v>
      </c>
      <c r="L20" s="10" t="s">
        <v>747</v>
      </c>
      <c r="N20" s="11" t="n">
        <v>46450</v>
      </c>
      <c r="O20" s="10" t="s">
        <v>496</v>
      </c>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n">
        <f aca="false">IF(OR($I20="",$J20=""),"",ROUND(($J20-$I20)*1440,0))</f>
        <v>11</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671</v>
      </c>
      <c r="C21" s="0" t="n">
        <v>5</v>
      </c>
      <c r="D21" s="38" t="n">
        <v>0.388888888888889</v>
      </c>
      <c r="E21" s="11" t="n">
        <v>46436</v>
      </c>
      <c r="F21" s="11" t="n">
        <v>46440</v>
      </c>
      <c r="G21" s="11"/>
      <c r="I21" s="38" t="n">
        <v>0.389583333333333</v>
      </c>
      <c r="J21" s="38" t="n">
        <v>0.397222222222222</v>
      </c>
      <c r="K21" s="10" t="s">
        <v>745</v>
      </c>
      <c r="L21" s="10" t="s">
        <v>747</v>
      </c>
      <c r="N21" s="11" t="n">
        <v>46450</v>
      </c>
      <c r="O21" s="10" t="s">
        <v>496</v>
      </c>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n">
        <f aca="false">IF(OR($I21="",$J21=""),"",ROUND(($J21-$I21)*1440,0))</f>
        <v>11</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682</v>
      </c>
      <c r="C22" s="0" t="n">
        <v>6</v>
      </c>
      <c r="D22" s="38" t="n">
        <v>0.401388888888889</v>
      </c>
      <c r="E22" s="11" t="n">
        <v>46436</v>
      </c>
      <c r="F22" s="11" t="n">
        <v>46440</v>
      </c>
      <c r="G22" s="11"/>
      <c r="I22" s="38" t="n">
        <v>0.402083333333333</v>
      </c>
      <c r="J22" s="38" t="n">
        <v>0.409722222222222</v>
      </c>
      <c r="K22" s="10" t="s">
        <v>745</v>
      </c>
      <c r="L22" s="10" t="s">
        <v>747</v>
      </c>
      <c r="N22" s="11" t="n">
        <v>46450</v>
      </c>
      <c r="O22" s="10" t="s">
        <v>496</v>
      </c>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n">
        <f aca="false">IF(OR($I22="",$J22=""),"",ROUND(($J22-$I22)*1440,0))</f>
        <v>11</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684</v>
      </c>
      <c r="C23" s="0" t="n">
        <v>7</v>
      </c>
      <c r="D23" s="38" t="n">
        <v>0.415277777777778</v>
      </c>
      <c r="E23" s="11" t="n">
        <v>46436</v>
      </c>
      <c r="F23" s="11" t="n">
        <v>46440</v>
      </c>
      <c r="G23" s="11"/>
      <c r="I23" s="38" t="n">
        <v>0.415972222222222</v>
      </c>
      <c r="J23" s="38" t="n">
        <v>0.423611111111111</v>
      </c>
      <c r="K23" s="10" t="s">
        <v>745</v>
      </c>
      <c r="L23" s="10" t="s">
        <v>747</v>
      </c>
      <c r="N23" s="11" t="n">
        <v>46450</v>
      </c>
      <c r="O23" s="10" t="s">
        <v>496</v>
      </c>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n">
        <f aca="false">IF(OR($I23="",$J23=""),"",ROUND(($J23-$I23)*1440,0))</f>
        <v>11</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676</v>
      </c>
      <c r="C24" s="0" t="n">
        <v>8</v>
      </c>
      <c r="D24" s="38" t="n">
        <v>0.429166666666667</v>
      </c>
      <c r="E24" s="11" t="n">
        <v>46436</v>
      </c>
      <c r="F24" s="11" t="n">
        <v>46440</v>
      </c>
      <c r="G24" s="11"/>
      <c r="I24" s="38" t="n">
        <v>0.429861111111111</v>
      </c>
      <c r="J24" s="38" t="n">
        <v>0.4375</v>
      </c>
      <c r="K24" s="10" t="s">
        <v>745</v>
      </c>
      <c r="L24" s="10" t="s">
        <v>747</v>
      </c>
      <c r="N24" s="11" t="n">
        <v>46450</v>
      </c>
      <c r="O24" s="10" t="s">
        <v>496</v>
      </c>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n">
        <f aca="false">IF(OR($I24="",$J24=""),"",ROUND(($J24-$I24)*1440,0))</f>
        <v>11</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678</v>
      </c>
      <c r="C25" s="0" t="n">
        <v>9</v>
      </c>
      <c r="D25" s="38" t="n">
        <v>0.444444444444444</v>
      </c>
      <c r="E25" s="11" t="n">
        <v>46436</v>
      </c>
      <c r="F25" s="11" t="n">
        <v>46440</v>
      </c>
      <c r="G25" s="11"/>
      <c r="I25" s="38" t="n">
        <v>0.445138888888889</v>
      </c>
      <c r="J25" s="38" t="n">
        <v>0.452777777777778</v>
      </c>
      <c r="K25" s="10" t="s">
        <v>745</v>
      </c>
      <c r="L25" s="10" t="s">
        <v>747</v>
      </c>
      <c r="N25" s="11" t="n">
        <v>46450</v>
      </c>
      <c r="O25" s="10" t="s">
        <v>496</v>
      </c>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n">
        <f aca="false">IF(OR($I25="",$J25=""),"",ROUND(($J25-$I25)*1440,0))</f>
        <v>11</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686</v>
      </c>
      <c r="C26" s="0" t="n">
        <v>10</v>
      </c>
      <c r="D26" s="38" t="n">
        <v>0.459722222222222</v>
      </c>
      <c r="E26" s="11" t="n">
        <v>46436</v>
      </c>
      <c r="F26" s="11" t="n">
        <v>46440</v>
      </c>
      <c r="G26" s="11"/>
      <c r="I26" s="38" t="n">
        <v>0.460416666666667</v>
      </c>
      <c r="J26" s="38" t="n">
        <v>0.468055555555556</v>
      </c>
      <c r="K26" s="10" t="s">
        <v>745</v>
      </c>
      <c r="L26" s="10" t="s">
        <v>747</v>
      </c>
      <c r="N26" s="11" t="n">
        <v>46450</v>
      </c>
      <c r="O26" s="10" t="s">
        <v>496</v>
      </c>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n">
        <f aca="false">IF(OR($I26="",$J26=""),"",ROUND(($J26-$I26)*1440,0))</f>
        <v>11</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A27" s="0" t="s">
        <v>353</v>
      </c>
      <c r="B27" s="0" t="s">
        <v>668</v>
      </c>
      <c r="C27" s="0" t="n">
        <v>1</v>
      </c>
      <c r="D27" s="38" t="n">
        <v>0.416666666666667</v>
      </c>
      <c r="E27" s="11" t="n">
        <v>46464</v>
      </c>
      <c r="F27" s="11" t="n">
        <v>46468</v>
      </c>
      <c r="G27" s="11" t="n">
        <v>46464</v>
      </c>
      <c r="H27" s="10" t="s">
        <v>756</v>
      </c>
      <c r="I27" s="38"/>
      <c r="J27" s="38"/>
      <c r="K27" s="10"/>
      <c r="L27" s="10"/>
      <c r="N27" s="11"/>
      <c r="O27" s="10"/>
      <c r="P27" s="31" t="n">
        <f aca="false">IF($A27="","",IF(IFERROR(IF(INDEX(drops!$I$2:$I$21,MATCH($A27,drops!$A$2:$A$21,0))="","",INDEX(drops!$I$2:$I$21,MATCH($A27,drops!$A$2:$A$21,0))),"")="OK",IFERROR(IF(INDEX(drops!$B$2:$B$21,MATCH($A27,drops!$A$2:$A$21,0))="","",INDEX(drops!$B$2:$B$21,MATCH($A27,drops!$A$2:$A$21,0))),""),""))</f>
        <v>46469</v>
      </c>
      <c r="Q27" s="30" t="str">
        <f aca="false">IF($B27="","",IFERROR(IF(INDEX(offices!$O$2:$O$61,MATCH($B27,offices!$A$2:$A$61,0))="","",INDEX(offices!$O$2:$O$61,MATCH($B27,offices!$A$2:$A$61,0))),""))</f>
        <v>SAMPLE Northpoint Software</v>
      </c>
      <c r="R27" s="30" t="str">
        <f aca="false">IF($B27="","",IFERROR(IF(INDEX(offices!$P$2:$P$61,MATCH($B27,offices!$A$2:$A$61,0))="","",INDEX(offices!$P$2:$P$61,MATCH($B27,offices!$A$2:$A$61,0))),""))</f>
        <v>SAMPLE 110 Example Avenue</v>
      </c>
      <c r="S27" s="30" t="str">
        <f aca="false">IF($B27="","",IFERROR(IF(INDEX(offices!$Q$2:$Q$61,MATCH($B27,offices!$A$2:$A$61,0))="","",INDEX(offices!$Q$2:$Q$61,MATCH($B27,offices!$A$2:$A$61,0))),""))</f>
        <v>SAMPLE Floor 3</v>
      </c>
      <c r="T27" s="30" t="str">
        <f aca="false">IF($B27="","",IFERROR(IF(INDEX(offices!$Z$2:$Z$61,MATCH($B27,offices!$A$2:$A$61,0))="","",INDEX(offices!$Z$2:$Z$61,MATCH($B27,offices!$A$2:$A$61,0))),""))</f>
        <v>8 to 10 am</v>
      </c>
      <c r="U27" s="30" t="str">
        <f aca="false">IF($B27="","",IFERROR(IF(INDEX(offices!$Y$2:$Y$61,MATCH($B27,offices!$A$2:$A$61,0))="","",INDEX(offices!$Y$2:$Y$61,MATCH($B27,offices!$A$2:$A$61,0))),""))</f>
        <v>walk-up</v>
      </c>
      <c r="V27" s="30" t="str">
        <f aca="false">IF($B27="","",IFERROR(IF(INDEX(offices!$V$2:$V$61,MATCH($B27,offices!$A$2:$A$61,0))="","",INDEX(offices!$V$2:$V$61,MATCH($B27,offices!$A$2:$A$61,0))),""))</f>
        <v>SAMPLE Owner 001</v>
      </c>
      <c r="W27" s="30" t="str">
        <f aca="false">IF($B27="","",IFERROR(IF(INDEX(offices!$AJ$2:$AJ$61,MATCH($B27,offices!$A$2:$A$61,0))="","",INDEX(offices!$AJ$2:$AJ$61,MATCH($B27,offices!$A$2:$A$61,0))),""))</f>
        <v>SAMPLE (212) 555-0101</v>
      </c>
      <c r="X27" s="30" t="str">
        <f aca="false">IF($B27="","",IFERROR(IF(INDEX(offices!$G$2:$G$61,MATCH($B27,offices!$A$2:$A$61,0))="","",INDEX(offices!$G$2:$G$61,MATCH($B27,offices!$A$2:$A$61,0))),""))</f>
        <v>N</v>
      </c>
      <c r="Y27" s="30" t="str">
        <f aca="false">IF($B27="","",IFERROR(IF(INDEX(offices!$I$2:$I$61,MATCH($B27,offices!$A$2:$A$61,0))="","",INDEX(offices!$I$2:$I$61,MATCH($B27,offices!$A$2:$A$61,0))),""))</f>
        <v>not_needed</v>
      </c>
      <c r="Z27" s="30" t="n">
        <f aca="false">IF($A27="","",COUNTIFS(approvals!$H$2:$H$251,$A27,approvals!$B$2:$B$251,$B27,approvals!$P$2:$P$251,"Y"))</f>
        <v>2</v>
      </c>
      <c r="AA27" s="30" t="n">
        <f aca="false">IF($A27="","",SUMIFS(approvals!$S$2:$S$251,approvals!$H$2:$H$251,$A27,approvals!$B$2:$B$251,$B27,approvals!$P$2:$P$251,"Y"))</f>
        <v>80</v>
      </c>
      <c r="AB27" s="30" t="str">
        <f aca="false">IF(OR($A27="",$P27=""),"",IF(COUNTIFS(stops!$B$2:$B$151,$B27,stops!$P$2:$P$151,"&lt;"&amp;$P27,stops!$L$2:$L$151,"&lt;&gt;not_delivered")=0,"Y","N"))</f>
        <v>N</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SAMPLE 4th floor kitchen, left of the coffee machine</v>
      </c>
      <c r="AF27" s="30" t="str">
        <f aca="false">IF($A27="","",IF(AND($L27="declined",N($Z27)&gt;0,COUNTIFS(approvals!$H$2:$H$251,$A27,approvals!$B$2:$B$251,$B27,approvals!$P$2:$P$251,"Y",approvals!$U$2:$U$251,"&gt;0")=0),"Y",""))</f>
        <v/>
      </c>
    </row>
    <row r="28" customFormat="false" ht="15" hidden="false" customHeight="false" outlineLevel="0" collapsed="false">
      <c r="A28" s="0" t="s">
        <v>353</v>
      </c>
      <c r="B28" s="0" t="s">
        <v>671</v>
      </c>
      <c r="C28" s="0" t="n">
        <v>2</v>
      </c>
      <c r="D28" s="38" t="n">
        <v>0.416666666666667</v>
      </c>
      <c r="E28" s="11" t="n">
        <v>46464</v>
      </c>
      <c r="F28" s="11" t="n">
        <v>46468</v>
      </c>
      <c r="G28" s="11" t="n">
        <v>46464</v>
      </c>
      <c r="H28" s="10" t="s">
        <v>757</v>
      </c>
      <c r="I28" s="38"/>
      <c r="J28" s="38"/>
      <c r="K28" s="10"/>
      <c r="L28" s="10"/>
      <c r="N28" s="11"/>
      <c r="O28" s="10"/>
      <c r="P28" s="31" t="n">
        <f aca="false">IF($A28="","",IF(IFERROR(IF(INDEX(drops!$I$2:$I$21,MATCH($A28,drops!$A$2:$A$21,0))="","",INDEX(drops!$I$2:$I$21,MATCH($A28,drops!$A$2:$A$21,0))),"")="OK",IFERROR(IF(INDEX(drops!$B$2:$B$21,MATCH($A28,drops!$A$2:$A$21,0))="","",INDEX(drops!$B$2:$B$21,MATCH($A28,drops!$A$2:$A$21,0))),""),""))</f>
        <v>46469</v>
      </c>
      <c r="Q28" s="30" t="str">
        <f aca="false">IF($B28="","",IFERROR(IF(INDEX(offices!$O$2:$O$61,MATCH($B28,offices!$A$2:$A$61,0))="","",INDEX(offices!$O$2:$O$61,MATCH($B28,offices!$A$2:$A$61,0))),""))</f>
        <v>SAMPLE Ferro Architecture</v>
      </c>
      <c r="R28" s="30" t="str">
        <f aca="false">IF($B28="","",IFERROR(IF(INDEX(offices!$P$2:$P$61,MATCH($B28,offices!$A$2:$A$61,0))="","",INDEX(offices!$P$2:$P$61,MATCH($B28,offices!$A$2:$A$61,0))),""))</f>
        <v>SAMPLE 120 Example Avenue</v>
      </c>
      <c r="S28" s="30" t="str">
        <f aca="false">IF($B28="","",IFERROR(IF(INDEX(offices!$Q$2:$Q$61,MATCH($B28,offices!$A$2:$A$61,0))="","",INDEX(offices!$Q$2:$Q$61,MATCH($B28,offices!$A$2:$A$61,0))),""))</f>
        <v>SAMPLE Floor 4</v>
      </c>
      <c r="T28" s="30" t="str">
        <f aca="false">IF($B28="","",IFERROR(IF(INDEX(offices!$Z$2:$Z$61,MATCH($B28,offices!$A$2:$A$61,0))="","",INDEX(offices!$Z$2:$Z$61,MATCH($B28,offices!$A$2:$A$61,0))),""))</f>
        <v>9 to 11 am</v>
      </c>
      <c r="U28" s="30" t="str">
        <f aca="false">IF($B28="","",IFERROR(IF(INDEX(offices!$Y$2:$Y$61,MATCH($B28,offices!$A$2:$A$61,0))="","",INDEX(offices!$Y$2:$Y$61,MATCH($B28,offices!$A$2:$A$61,0))),""))</f>
        <v>front desk</v>
      </c>
      <c r="V28" s="30" t="str">
        <f aca="false">IF($B28="","",IFERROR(IF(INDEX(offices!$V$2:$V$61,MATCH($B28,offices!$A$2:$A$61,0))="","",INDEX(offices!$V$2:$V$61,MATCH($B28,offices!$A$2:$A$61,0))),""))</f>
        <v>SAMPLE Owner 002</v>
      </c>
      <c r="W28" s="30" t="str">
        <f aca="false">IF($B28="","",IFERROR(IF(INDEX(offices!$AJ$2:$AJ$61,MATCH($B28,offices!$A$2:$A$61,0))="","",INDEX(offices!$AJ$2:$AJ$61,MATCH($B28,offices!$A$2:$A$61,0))),""))</f>
        <v>SAMPLE (212) 555-0102</v>
      </c>
      <c r="X28" s="30" t="str">
        <f aca="false">IF($B28="","",IFERROR(IF(INDEX(offices!$G$2:$G$61,MATCH($B28,offices!$A$2:$A$61,0))="","",INDEX(offices!$G$2:$G$61,MATCH($B28,offices!$A$2:$A$61,0))),""))</f>
        <v>Y</v>
      </c>
      <c r="Y28" s="30" t="str">
        <f aca="false">IF($B28="","",IFERROR(IF(INDEX(offices!$I$2:$I$61,MATCH($B28,offices!$A$2:$A$61,0))="","",INDEX(offices!$I$2:$I$61,MATCH($B28,offices!$A$2:$A$61,0))),""))</f>
        <v>not_needed</v>
      </c>
      <c r="Z28" s="30" t="n">
        <f aca="false">IF($A28="","",COUNTIFS(approvals!$H$2:$H$251,$A28,approvals!$B$2:$B$251,$B28,approvals!$P$2:$P$251,"Y"))</f>
        <v>2</v>
      </c>
      <c r="AA28" s="30" t="n">
        <f aca="false">IF($A28="","",SUMIFS(approvals!$S$2:$S$251,approvals!$H$2:$H$251,$A28,approvals!$B$2:$B$251,$B28,approvals!$P$2:$P$251,"Y"))</f>
        <v>80</v>
      </c>
      <c r="AB28" s="30" t="str">
        <f aca="false">IF(OR($A28="",$P28=""),"",IF(COUNTIFS(stops!$B$2:$B$151,$B28,stops!$P$2:$P$151,"&lt;"&amp;$P28,stops!$L$2:$L$151,"&lt;&gt;not_delivered")=0,"Y","N"))</f>
        <v>N</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SAMPLE front desk calls up; owner meets you in the lobby</v>
      </c>
      <c r="AF28" s="30" t="str">
        <f aca="false">IF($A28="","",IF(AND($L28="declined",N($Z28)&gt;0,COUNTIFS(approvals!$H$2:$H$251,$A28,approvals!$B$2:$B$251,$B28,approvals!$P$2:$P$251,"Y",approvals!$U$2:$U$251,"&gt;0")=0),"Y",""))</f>
        <v/>
      </c>
    </row>
    <row r="29" customFormat="false" ht="15" hidden="false" customHeight="false" outlineLevel="0" collapsed="false">
      <c r="A29" s="0" t="s">
        <v>353</v>
      </c>
      <c r="B29" s="0" t="s">
        <v>673</v>
      </c>
      <c r="C29" s="0" t="n">
        <v>3</v>
      </c>
      <c r="D29" s="38" t="n">
        <v>0.416666666666667</v>
      </c>
      <c r="E29" s="11" t="n">
        <v>46464</v>
      </c>
      <c r="F29" s="11" t="n">
        <v>46468</v>
      </c>
      <c r="G29" s="11" t="n">
        <v>46464</v>
      </c>
      <c r="H29" s="10" t="s">
        <v>758</v>
      </c>
      <c r="I29" s="38"/>
      <c r="J29" s="38"/>
      <c r="K29" s="10"/>
      <c r="L29" s="10"/>
      <c r="N29" s="11"/>
      <c r="O29" s="10"/>
      <c r="P29" s="31" t="n">
        <f aca="false">IF($A29="","",IF(IFERROR(IF(INDEX(drops!$I$2:$I$21,MATCH($A29,drops!$A$2:$A$21,0))="","",INDEX(drops!$I$2:$I$21,MATCH($A29,drops!$A$2:$A$21,0))),"")="OK",IFERROR(IF(INDEX(drops!$B$2:$B$21,MATCH($A29,drops!$A$2:$A$21,0))="","",INDEX(drops!$B$2:$B$21,MATCH($A29,drops!$A$2:$A$21,0))),""),""))</f>
        <v>46469</v>
      </c>
      <c r="Q29" s="30" t="str">
        <f aca="false">IF($B29="","",IFERROR(IF(INDEX(offices!$O$2:$O$61,MATCH($B29,offices!$A$2:$A$61,0))="","",INDEX(offices!$O$2:$O$61,MATCH($B29,offices!$A$2:$A$61,0))),""))</f>
        <v>SAMPLE Halcyon Media</v>
      </c>
      <c r="R29" s="30" t="str">
        <f aca="false">IF($B29="","",IFERROR(IF(INDEX(offices!$P$2:$P$61,MATCH($B29,offices!$A$2:$A$61,0))="","",INDEX(offices!$P$2:$P$61,MATCH($B29,offices!$A$2:$A$61,0))),""))</f>
        <v>SAMPLE 130 Example Avenue</v>
      </c>
      <c r="S29" s="30" t="str">
        <f aca="false">IF($B29="","",IFERROR(IF(INDEX(offices!$Q$2:$Q$61,MATCH($B29,offices!$A$2:$A$61,0))="","",INDEX(offices!$Q$2:$Q$61,MATCH($B29,offices!$A$2:$A$61,0))),""))</f>
        <v>SAMPLE Floor 5</v>
      </c>
      <c r="T29" s="30" t="str">
        <f aca="false">IF($B29="","",IFERROR(IF(INDEX(offices!$Z$2:$Z$61,MATCH($B29,offices!$A$2:$A$61,0))="","",INDEX(offices!$Z$2:$Z$61,MATCH($B29,offices!$A$2:$A$61,0))),""))</f>
        <v>9 to 11 am</v>
      </c>
      <c r="U29" s="30" t="str">
        <f aca="false">IF($B29="","",IFERROR(IF(INDEX(offices!$Y$2:$Y$61,MATCH($B29,offices!$A$2:$A$61,0))="","",INDEX(offices!$Y$2:$Y$61,MATCH($B29,offices!$A$2:$A$61,0))),""))</f>
        <v>walk-up</v>
      </c>
      <c r="V29" s="30" t="str">
        <f aca="false">IF($B29="","",IFERROR(IF(INDEX(offices!$V$2:$V$61,MATCH($B29,offices!$A$2:$A$61,0))="","",INDEX(offices!$V$2:$V$61,MATCH($B29,offices!$A$2:$A$61,0))),""))</f>
        <v>SAMPLE Owner 003</v>
      </c>
      <c r="W29" s="30" t="str">
        <f aca="false">IF($B29="","",IFERROR(IF(INDEX(offices!$AJ$2:$AJ$61,MATCH($B29,offices!$A$2:$A$61,0))="","",INDEX(offices!$AJ$2:$AJ$61,MATCH($B29,offices!$A$2:$A$61,0))),""))</f>
        <v>SAMPLE (212) 555-0103</v>
      </c>
      <c r="X29" s="30" t="str">
        <f aca="false">IF($B29="","",IFERROR(IF(INDEX(offices!$G$2:$G$61,MATCH($B29,offices!$A$2:$A$61,0))="","",INDEX(offices!$G$2:$G$61,MATCH($B29,offices!$A$2:$A$61,0))),""))</f>
        <v>N</v>
      </c>
      <c r="Y29" s="30" t="str">
        <f aca="false">IF($B29="","",IFERROR(IF(INDEX(offices!$I$2:$I$61,MATCH($B29,offices!$A$2:$A$61,0))="","",INDEX(offices!$I$2:$I$61,MATCH($B29,offices!$A$2:$A$61,0))),""))</f>
        <v>received</v>
      </c>
      <c r="Z29" s="30" t="n">
        <f aca="false">IF($A29="","",COUNTIFS(approvals!$H$2:$H$251,$A29,approvals!$B$2:$B$251,$B29,approvals!$P$2:$P$251,"Y"))</f>
        <v>2</v>
      </c>
      <c r="AA29" s="30" t="n">
        <f aca="false">IF($A29="","",SUMIFS(approvals!$S$2:$S$251,approvals!$H$2:$H$251,$A29,approvals!$B$2:$B$251,$B29,approvals!$P$2:$P$251,"Y"))</f>
        <v>100</v>
      </c>
      <c r="AB29" s="30" t="str">
        <f aca="false">IF(OR($A29="",$P29=""),"",IF(COUNTIFS(stops!$B$2:$B$151,$B29,stops!$P$2:$P$151,"&lt;"&amp;$P29,stops!$L$2:$L$151,"&lt;&gt;not_delivered")=0,"Y","N"))</f>
        <v>N</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SAMPLE 2nd floor pantry, shelf by the window</v>
      </c>
      <c r="AF29" s="30" t="str">
        <f aca="false">IF($A29="","",IF(AND($L29="declined",N($Z29)&gt;0,COUNTIFS(approvals!$H$2:$H$251,$A29,approvals!$B$2:$B$251,$B29,approvals!$P$2:$P$251,"Y",approvals!$U$2:$U$251,"&gt;0")=0),"Y",""))</f>
        <v/>
      </c>
    </row>
    <row r="30" customFormat="false" ht="15" hidden="false" customHeight="false" outlineLevel="0" collapsed="false">
      <c r="A30" s="0" t="s">
        <v>353</v>
      </c>
      <c r="B30" s="0" t="s">
        <v>676</v>
      </c>
      <c r="C30" s="0" t="n">
        <v>4</v>
      </c>
      <c r="D30" s="38" t="n">
        <v>0.416666666666667</v>
      </c>
      <c r="E30" s="11" t="n">
        <v>46464</v>
      </c>
      <c r="F30" s="11" t="n">
        <v>46468</v>
      </c>
      <c r="G30" s="11" t="n">
        <v>46464</v>
      </c>
      <c r="H30" s="10" t="s">
        <v>759</v>
      </c>
      <c r="I30" s="38"/>
      <c r="J30" s="38"/>
      <c r="K30" s="10"/>
      <c r="L30" s="10"/>
      <c r="N30" s="11"/>
      <c r="O30" s="10"/>
      <c r="P30" s="31" t="n">
        <f aca="false">IF($A30="","",IF(IFERROR(IF(INDEX(drops!$I$2:$I$21,MATCH($A30,drops!$A$2:$A$21,0))="","",INDEX(drops!$I$2:$I$21,MATCH($A30,drops!$A$2:$A$21,0))),"")="OK",IFERROR(IF(INDEX(drops!$B$2:$B$21,MATCH($A30,drops!$A$2:$A$21,0))="","",INDEX(drops!$B$2:$B$21,MATCH($A30,drops!$A$2:$A$21,0))),""),""))</f>
        <v>46469</v>
      </c>
      <c r="Q30" s="30" t="str">
        <f aca="false">IF($B30="","",IFERROR(IF(INDEX(offices!$O$2:$O$61,MATCH($B30,offices!$A$2:$A$61,0))="","",INDEX(offices!$O$2:$O$61,MATCH($B30,offices!$A$2:$A$61,0))),""))</f>
        <v>SAMPLE Union Food Fund</v>
      </c>
      <c r="R30" s="30" t="str">
        <f aca="false">IF($B30="","",IFERROR(IF(INDEX(offices!$P$2:$P$61,MATCH($B30,offices!$A$2:$A$61,0))="","",INDEX(offices!$P$2:$P$61,MATCH($B30,offices!$A$2:$A$61,0))),""))</f>
        <v>SAMPLE 140 Example Avenue</v>
      </c>
      <c r="S30" s="30" t="str">
        <f aca="false">IF($B30="","",IFERROR(IF(INDEX(offices!$Q$2:$Q$61,MATCH($B30,offices!$A$2:$A$61,0))="","",INDEX(offices!$Q$2:$Q$61,MATCH($B30,offices!$A$2:$A$61,0))),""))</f>
        <v>SAMPLE Floor 6</v>
      </c>
      <c r="T30" s="30" t="str">
        <f aca="false">IF($B30="","",IFERROR(IF(INDEX(offices!$Z$2:$Z$61,MATCH($B30,offices!$A$2:$A$61,0))="","",INDEX(offices!$Z$2:$Z$61,MATCH($B30,offices!$A$2:$A$61,0))),""))</f>
        <v>10 am to noon</v>
      </c>
      <c r="U30" s="30" t="str">
        <f aca="false">IF($B30="","",IFERROR(IF(INDEX(offices!$Y$2:$Y$61,MATCH($B30,offices!$A$2:$A$61,0))="","",INDEX(offices!$Y$2:$Y$61,MATCH($B30,offices!$A$2:$A$61,0))),""))</f>
        <v>loading dock</v>
      </c>
      <c r="V30" s="30" t="str">
        <f aca="false">IF($B30="","",IFERROR(IF(INDEX(offices!$V$2:$V$61,MATCH($B30,offices!$A$2:$A$61,0))="","",INDEX(offices!$V$2:$V$61,MATCH($B30,offices!$A$2:$A$61,0))),""))</f>
        <v>SAMPLE Owner 004</v>
      </c>
      <c r="W30" s="30" t="str">
        <f aca="false">IF($B30="","",IFERROR(IF(INDEX(offices!$AJ$2:$AJ$61,MATCH($B30,offices!$A$2:$A$61,0))="","",INDEX(offices!$AJ$2:$AJ$61,MATCH($B30,offices!$A$2:$A$61,0))),""))</f>
        <v>SAMPLE (212) 555-0104</v>
      </c>
      <c r="X30" s="30" t="str">
        <f aca="false">IF($B30="","",IFERROR(IF(INDEX(offices!$G$2:$G$61,MATCH($B30,offices!$A$2:$A$61,0))="","",INDEX(offices!$G$2:$G$61,MATCH($B30,offices!$A$2:$A$61,0))),""))</f>
        <v>Y</v>
      </c>
      <c r="Y30" s="30" t="str">
        <f aca="false">IF($B30="","",IFERROR(IF(INDEX(offices!$I$2:$I$61,MATCH($B30,offices!$A$2:$A$61,0))="","",INDEX(offices!$I$2:$I$61,MATCH($B30,offices!$A$2:$A$61,0))),""))</f>
        <v>not_needed</v>
      </c>
      <c r="Z30" s="30" t="n">
        <f aca="false">IF($A30="","",COUNTIFS(approvals!$H$2:$H$251,$A30,approvals!$B$2:$B$251,$B30,approvals!$P$2:$P$251,"Y"))</f>
        <v>2</v>
      </c>
      <c r="AA30" s="30" t="n">
        <f aca="false">IF($A30="","",SUMIFS(approvals!$S$2:$S$251,approvals!$H$2:$H$251,$A30,approvals!$B$2:$B$251,$B30,approvals!$P$2:$P$251,"Y"))</f>
        <v>100</v>
      </c>
      <c r="AB30" s="30" t="str">
        <f aca="false">IF(OR($A30="",$P30=""),"",IF(COUNTIFS(stops!$B$2:$B$151,$B30,stops!$P$2:$P$151,"&lt;"&amp;$P30,stops!$L$2:$L$151,"&lt;&gt;not_delivered")=0,"Y","N"))</f>
        <v>N</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SAMPLE loading dock on the side street; mailroom signs, owner collects</v>
      </c>
      <c r="AF30" s="30" t="str">
        <f aca="false">IF($A30="","",IF(AND($L30="declined",N($Z30)&gt;0,COUNTIFS(approvals!$H$2:$H$251,$A30,approvals!$B$2:$B$251,$B30,approvals!$P$2:$P$251,"Y",approvals!$U$2:$U$251,"&gt;0")=0),"Y",""))</f>
        <v/>
      </c>
    </row>
    <row r="31" customFormat="false" ht="15" hidden="false" customHeight="false" outlineLevel="0" collapsed="false">
      <c r="A31" s="0" t="s">
        <v>353</v>
      </c>
      <c r="B31" s="0" t="s">
        <v>678</v>
      </c>
      <c r="C31" s="0" t="n">
        <v>5</v>
      </c>
      <c r="D31" s="38" t="n">
        <v>0.416666666666667</v>
      </c>
      <c r="E31" s="11" t="n">
        <v>46464</v>
      </c>
      <c r="F31" s="11" t="n">
        <v>46468</v>
      </c>
      <c r="G31" s="11" t="n">
        <v>46464</v>
      </c>
      <c r="H31" s="10" t="s">
        <v>760</v>
      </c>
      <c r="I31" s="38"/>
      <c r="J31" s="38"/>
      <c r="K31" s="10"/>
      <c r="L31" s="10"/>
      <c r="N31" s="11"/>
      <c r="O31" s="10"/>
      <c r="P31" s="31" t="n">
        <f aca="false">IF($A31="","",IF(IFERROR(IF(INDEX(drops!$I$2:$I$21,MATCH($A31,drops!$A$2:$A$21,0))="","",INDEX(drops!$I$2:$I$21,MATCH($A31,drops!$A$2:$A$21,0))),"")="OK",IFERROR(IF(INDEX(drops!$B$2:$B$21,MATCH($A31,drops!$A$2:$A$21,0))="","",INDEX(drops!$B$2:$B$21,MATCH($A31,drops!$A$2:$A$21,0))),""),""))</f>
        <v>46469</v>
      </c>
      <c r="Q31" s="30" t="str">
        <f aca="false">IF($B31="","",IFERROR(IF(INDEX(offices!$O$2:$O$61,MATCH($B31,offices!$A$2:$A$61,0))="","",INDEX(offices!$O$2:$O$61,MATCH($B31,offices!$A$2:$A$61,0))),""))</f>
        <v>SAMPLE Studio Marlow</v>
      </c>
      <c r="R31" s="30" t="str">
        <f aca="false">IF($B31="","",IFERROR(IF(INDEX(offices!$P$2:$P$61,MATCH($B31,offices!$A$2:$A$61,0))="","",INDEX(offices!$P$2:$P$61,MATCH($B31,offices!$A$2:$A$61,0))),""))</f>
        <v>SAMPLE 150 Example Avenue</v>
      </c>
      <c r="S31" s="30" t="str">
        <f aca="false">IF($B31="","",IFERROR(IF(INDEX(offices!$Q$2:$Q$61,MATCH($B31,offices!$A$2:$A$61,0))="","",INDEX(offices!$Q$2:$Q$61,MATCH($B31,offices!$A$2:$A$61,0))),""))</f>
        <v>SAMPLE Floor 7</v>
      </c>
      <c r="T31" s="30" t="str">
        <f aca="false">IF($B31="","",IFERROR(IF(INDEX(offices!$Z$2:$Z$61,MATCH($B31,offices!$A$2:$A$61,0))="","",INDEX(offices!$Z$2:$Z$61,MATCH($B31,offices!$A$2:$A$61,0))),""))</f>
        <v>10 am to noon</v>
      </c>
      <c r="U31" s="30" t="str">
        <f aca="false">IF($B31="","",IFERROR(IF(INDEX(offices!$Y$2:$Y$61,MATCH($B31,offices!$A$2:$A$61,0))="","",INDEX(offices!$Y$2:$Y$61,MATCH($B31,offices!$A$2:$A$61,0))),""))</f>
        <v>front desk</v>
      </c>
      <c r="V31" s="30" t="str">
        <f aca="false">IF($B31="","",IFERROR(IF(INDEX(offices!$V$2:$V$61,MATCH($B31,offices!$A$2:$A$61,0))="","",INDEX(offices!$V$2:$V$61,MATCH($B31,offices!$A$2:$A$61,0))),""))</f>
        <v>SAMPLE Owner 005</v>
      </c>
      <c r="W31" s="30" t="str">
        <f aca="false">IF($B31="","",IFERROR(IF(INDEX(offices!$AJ$2:$AJ$61,MATCH($B31,offices!$A$2:$A$61,0))="","",INDEX(offices!$AJ$2:$AJ$61,MATCH($B31,offices!$A$2:$A$61,0))),""))</f>
        <v>SAMPLE (212) 555-0105</v>
      </c>
      <c r="X31" s="30" t="str">
        <f aca="false">IF($B31="","",IFERROR(IF(INDEX(offices!$G$2:$G$61,MATCH($B31,offices!$A$2:$A$61,0))="","",INDEX(offices!$G$2:$G$61,MATCH($B31,offices!$A$2:$A$61,0))),""))</f>
        <v>Y</v>
      </c>
      <c r="Y31" s="30" t="str">
        <f aca="false">IF($B31="","",IFERROR(IF(INDEX(offices!$I$2:$I$61,MATCH($B31,offices!$A$2:$A$61,0))="","",INDEX(offices!$I$2:$I$61,MATCH($B31,offices!$A$2:$A$61,0))),""))</f>
        <v>received</v>
      </c>
      <c r="Z31" s="30" t="n">
        <f aca="false">IF($A31="","",COUNTIFS(approvals!$H$2:$H$251,$A31,approvals!$B$2:$B$251,$B31,approvals!$P$2:$P$251,"Y"))</f>
        <v>2</v>
      </c>
      <c r="AA31" s="30" t="n">
        <f aca="false">IF($A31="","",SUMIFS(approvals!$S$2:$S$251,approvals!$H$2:$H$251,$A31,approvals!$B$2:$B$251,$B31,approvals!$P$2:$P$251,"Y"))</f>
        <v>140</v>
      </c>
      <c r="AB31" s="30" t="str">
        <f aca="false">IF(OR($A31="",$P31=""),"",IF(COUNTIFS(stops!$B$2:$B$151,$B31,stops!$P$2:$P$151,"&lt;"&amp;$P31,stops!$L$2:$L$151,"&lt;&gt;not_delivered")=0,"Y","N"))</f>
        <v>N</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SAMPLE show the certificate at the desk; 9th floor kitchen</v>
      </c>
      <c r="AF31" s="30" t="str">
        <f aca="false">IF($A31="","",IF(AND($L31="declined",N($Z31)&gt;0,COUNTIFS(approvals!$H$2:$H$251,$A31,approvals!$B$2:$B$251,$B31,approvals!$P$2:$P$251,"Y",approvals!$U$2:$U$251,"&gt;0")=0),"Y",""))</f>
        <v/>
      </c>
    </row>
    <row r="32" customFormat="false" ht="15" hidden="false" customHeight="false" outlineLevel="0" collapsed="false">
      <c r="A32" s="0" t="s">
        <v>353</v>
      </c>
      <c r="B32" s="0" t="s">
        <v>680</v>
      </c>
      <c r="C32" s="0" t="n">
        <v>6</v>
      </c>
      <c r="D32" s="38" t="n">
        <v>0.416666666666667</v>
      </c>
      <c r="E32" s="11" t="n">
        <v>46464</v>
      </c>
      <c r="F32" s="11" t="n">
        <v>46468</v>
      </c>
      <c r="G32" s="11" t="n">
        <v>46464</v>
      </c>
      <c r="H32" s="10" t="s">
        <v>761</v>
      </c>
      <c r="I32" s="38"/>
      <c r="J32" s="38"/>
      <c r="K32" s="10"/>
      <c r="L32" s="10"/>
      <c r="N32" s="11"/>
      <c r="O32" s="10"/>
      <c r="P32" s="31" t="n">
        <f aca="false">IF($A32="","",IF(IFERROR(IF(INDEX(drops!$I$2:$I$21,MATCH($A32,drops!$A$2:$A$21,0))="","",INDEX(drops!$I$2:$I$21,MATCH($A32,drops!$A$2:$A$21,0))),"")="OK",IFERROR(IF(INDEX(drops!$B$2:$B$21,MATCH($A32,drops!$A$2:$A$21,0))="","",INDEX(drops!$B$2:$B$21,MATCH($A32,drops!$A$2:$A$21,0))),""),""))</f>
        <v>46469</v>
      </c>
      <c r="Q32" s="30" t="str">
        <f aca="false">IF($B32="","",IFERROR(IF(INDEX(offices!$O$2:$O$61,MATCH($B32,offices!$A$2:$A$61,0))="","",INDEX(offices!$O$2:$O$61,MATCH($B32,offices!$A$2:$A$61,0))),""))</f>
        <v>SAMPLE Kestrel Analytics</v>
      </c>
      <c r="R32" s="30" t="str">
        <f aca="false">IF($B32="","",IFERROR(IF(INDEX(offices!$P$2:$P$61,MATCH($B32,offices!$A$2:$A$61,0))="","",INDEX(offices!$P$2:$P$61,MATCH($B32,offices!$A$2:$A$61,0))),""))</f>
        <v>SAMPLE 160 Example Avenue</v>
      </c>
      <c r="S32" s="30" t="str">
        <f aca="false">IF($B32="","",IFERROR(IF(INDEX(offices!$Q$2:$Q$61,MATCH($B32,offices!$A$2:$A$61,0))="","",INDEX(offices!$Q$2:$Q$61,MATCH($B32,offices!$A$2:$A$61,0))),""))</f>
        <v>SAMPLE Floor 8</v>
      </c>
      <c r="T32" s="30" t="str">
        <f aca="false">IF($B32="","",IFERROR(IF(INDEX(offices!$Z$2:$Z$61,MATCH($B32,offices!$A$2:$A$61,0))="","",INDEX(offices!$Z$2:$Z$61,MATCH($B32,offices!$A$2:$A$61,0))),""))</f>
        <v>8 to 10 am</v>
      </c>
      <c r="U32" s="30" t="str">
        <f aca="false">IF($B32="","",IFERROR(IF(INDEX(offices!$Y$2:$Y$61,MATCH($B32,offices!$A$2:$A$61,0))="","",INDEX(offices!$Y$2:$Y$61,MATCH($B32,offices!$A$2:$A$61,0))),""))</f>
        <v>walk-up</v>
      </c>
      <c r="V32" s="30" t="str">
        <f aca="false">IF($B32="","",IFERROR(IF(INDEX(offices!$V$2:$V$61,MATCH($B32,offices!$A$2:$A$61,0))="","",INDEX(offices!$V$2:$V$61,MATCH($B32,offices!$A$2:$A$61,0))),""))</f>
        <v>SAMPLE Owner 006</v>
      </c>
      <c r="W32" s="30" t="str">
        <f aca="false">IF($B32="","",IFERROR(IF(INDEX(offices!$AJ$2:$AJ$61,MATCH($B32,offices!$A$2:$A$61,0))="","",INDEX(offices!$AJ$2:$AJ$61,MATCH($B32,offices!$A$2:$A$61,0))),""))</f>
        <v>SAMPLE (212) 555-0106</v>
      </c>
      <c r="X32" s="30" t="str">
        <f aca="false">IF($B32="","",IFERROR(IF(INDEX(offices!$G$2:$G$61,MATCH($B32,offices!$A$2:$A$61,0))="","",INDEX(offices!$G$2:$G$61,MATCH($B32,offices!$A$2:$A$61,0))),""))</f>
        <v>N</v>
      </c>
      <c r="Y32" s="30" t="str">
        <f aca="false">IF($B32="","",IFERROR(IF(INDEX(offices!$I$2:$I$61,MATCH($B32,offices!$A$2:$A$61,0))="","",INDEX(offices!$I$2:$I$61,MATCH($B32,offices!$A$2:$A$61,0))),""))</f>
        <v>not_needed</v>
      </c>
      <c r="Z32" s="30" t="n">
        <f aca="false">IF($A32="","",COUNTIFS(approvals!$H$2:$H$251,$A32,approvals!$B$2:$B$251,$B32,approvals!$P$2:$P$251,"Y"))</f>
        <v>2</v>
      </c>
      <c r="AA32" s="30" t="n">
        <f aca="false">IF($A32="","",SUMIFS(approvals!$S$2:$S$251,approvals!$H$2:$H$251,$A32,approvals!$B$2:$B$251,$B32,approvals!$P$2:$P$251,"Y"))</f>
        <v>90</v>
      </c>
      <c r="AB32" s="30" t="str">
        <f aca="false">IF(OR($A32="",$P32=""),"",IF(COUNTIFS(stops!$B$2:$B$151,$B32,stops!$P$2:$P$151,"&lt;"&amp;$P32,stops!$L$2:$L$151,"&lt;&gt;not_delivered")=0,"Y","N"))</f>
        <v>N</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SAMPLE 3rd floor, ring the bell</v>
      </c>
      <c r="AF32" s="30" t="str">
        <f aca="false">IF($A32="","",IF(AND($L32="declined",N($Z32)&gt;0,COUNTIFS(approvals!$H$2:$H$251,$A32,approvals!$B$2:$B$251,$B32,approvals!$P$2:$P$251,"Y",approvals!$U$2:$U$251,"&gt;0")=0),"Y",""))</f>
        <v/>
      </c>
    </row>
    <row r="33" customFormat="false" ht="15" hidden="false" customHeight="false" outlineLevel="0" collapsed="false">
      <c r="A33" s="0" t="s">
        <v>353</v>
      </c>
      <c r="B33" s="0" t="s">
        <v>682</v>
      </c>
      <c r="C33" s="0" t="n">
        <v>7</v>
      </c>
      <c r="D33" s="38" t="n">
        <v>0.416666666666667</v>
      </c>
      <c r="E33" s="11" t="n">
        <v>46464</v>
      </c>
      <c r="F33" s="11" t="n">
        <v>46468</v>
      </c>
      <c r="G33" s="11" t="n">
        <v>46464</v>
      </c>
      <c r="H33" s="10" t="s">
        <v>762</v>
      </c>
      <c r="I33" s="38"/>
      <c r="J33" s="38"/>
      <c r="K33" s="10"/>
      <c r="L33" s="10"/>
      <c r="N33" s="11"/>
      <c r="O33" s="10"/>
      <c r="P33" s="31" t="n">
        <f aca="false">IF($A33="","",IF(IFERROR(IF(INDEX(drops!$I$2:$I$21,MATCH($A33,drops!$A$2:$A$21,0))="","",INDEX(drops!$I$2:$I$21,MATCH($A33,drops!$A$2:$A$21,0))),"")="OK",IFERROR(IF(INDEX(drops!$B$2:$B$21,MATCH($A33,drops!$A$2:$A$21,0))="","",INDEX(drops!$B$2:$B$21,MATCH($A33,drops!$A$2:$A$21,0))),""),""))</f>
        <v>46469</v>
      </c>
      <c r="Q33" s="30" t="str">
        <f aca="false">IF($B33="","",IFERROR(IF(INDEX(offices!$O$2:$O$61,MATCH($B33,offices!$A$2:$A$61,0))="","",INDEX(offices!$O$2:$O$61,MATCH($B33,offices!$A$2:$A$61,0))),""))</f>
        <v>SAMPLE Brine &amp; Bell PR</v>
      </c>
      <c r="R33" s="30" t="str">
        <f aca="false">IF($B33="","",IFERROR(IF(INDEX(offices!$P$2:$P$61,MATCH($B33,offices!$A$2:$A$61,0))="","",INDEX(offices!$P$2:$P$61,MATCH($B33,offices!$A$2:$A$61,0))),""))</f>
        <v>SAMPLE 170 Example Avenue</v>
      </c>
      <c r="S33" s="30" t="str">
        <f aca="false">IF($B33="","",IFERROR(IF(INDEX(offices!$Q$2:$Q$61,MATCH($B33,offices!$A$2:$A$61,0))="","",INDEX(offices!$Q$2:$Q$61,MATCH($B33,offices!$A$2:$A$61,0))),""))</f>
        <v>SAMPLE Floor 9</v>
      </c>
      <c r="T33" s="30" t="str">
        <f aca="false">IF($B33="","",IFERROR(IF(INDEX(offices!$Z$2:$Z$61,MATCH($B33,offices!$A$2:$A$61,0))="","",INDEX(offices!$Z$2:$Z$61,MATCH($B33,offices!$A$2:$A$61,0))),""))</f>
        <v>9 to 11 am</v>
      </c>
      <c r="U33" s="30" t="str">
        <f aca="false">IF($B33="","",IFERROR(IF(INDEX(offices!$Y$2:$Y$61,MATCH($B33,offices!$A$2:$A$61,0))="","",INDEX(offices!$Y$2:$Y$61,MATCH($B33,offices!$A$2:$A$61,0))),""))</f>
        <v>front desk</v>
      </c>
      <c r="V33" s="30" t="str">
        <f aca="false">IF($B33="","",IFERROR(IF(INDEX(offices!$V$2:$V$61,MATCH($B33,offices!$A$2:$A$61,0))="","",INDEX(offices!$V$2:$V$61,MATCH($B33,offices!$A$2:$A$61,0))),""))</f>
        <v>SAMPLE Owner 007</v>
      </c>
      <c r="W33" s="30" t="str">
        <f aca="false">IF($B33="","",IFERROR(IF(INDEX(offices!$AJ$2:$AJ$61,MATCH($B33,offices!$A$2:$A$61,0))="","",INDEX(offices!$AJ$2:$AJ$61,MATCH($B33,offices!$A$2:$A$61,0))),""))</f>
        <v>SAMPLE (212) 555-0107</v>
      </c>
      <c r="X33" s="30" t="str">
        <f aca="false">IF($B33="","",IFERROR(IF(INDEX(offices!$G$2:$G$61,MATCH($B33,offices!$A$2:$A$61,0))="","",INDEX(offices!$G$2:$G$61,MATCH($B33,offices!$A$2:$A$61,0))),""))</f>
        <v>Y</v>
      </c>
      <c r="Y33" s="30" t="str">
        <f aca="false">IF($B33="","",IFERROR(IF(INDEX(offices!$I$2:$I$61,MATCH($B33,offices!$A$2:$A$61,0))="","",INDEX(offices!$I$2:$I$61,MATCH($B33,offices!$A$2:$A$61,0))),""))</f>
        <v>not_needed</v>
      </c>
      <c r="Z33" s="30" t="n">
        <f aca="false">IF($A33="","",COUNTIFS(approvals!$H$2:$H$251,$A33,approvals!$B$2:$B$251,$B33,approvals!$P$2:$P$251,"Y"))</f>
        <v>2</v>
      </c>
      <c r="AA33" s="30" t="n">
        <f aca="false">IF($A33="","",SUMIFS(approvals!$S$2:$S$251,approvals!$H$2:$H$251,$A33,approvals!$B$2:$B$251,$B33,approvals!$P$2:$P$251,"Y"))</f>
        <v>120</v>
      </c>
      <c r="AB33" s="30" t="str">
        <f aca="false">IF(OR($A33="",$P33=""),"",IF(COUNTIFS(stops!$B$2:$B$151,$B33,stops!$P$2:$P$151,"&lt;"&amp;$P33,stops!$L$2:$L$151,"&lt;&gt;not_delivered")=0,"Y","N"))</f>
        <v>N</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SAMPLE desk sends you up to 11; pantry at the end of the hall</v>
      </c>
      <c r="AF33" s="30" t="str">
        <f aca="false">IF($A33="","",IF(AND($L33="declined",N($Z33)&gt;0,COUNTIFS(approvals!$H$2:$H$251,$A33,approvals!$B$2:$B$251,$B33,approvals!$P$2:$P$251,"Y",approvals!$U$2:$U$251,"&gt;0")=0),"Y",""))</f>
        <v/>
      </c>
    </row>
    <row r="34" customFormat="false" ht="15" hidden="false" customHeight="false" outlineLevel="0" collapsed="false">
      <c r="A34" s="0" t="s">
        <v>353</v>
      </c>
      <c r="B34" s="0" t="s">
        <v>684</v>
      </c>
      <c r="C34" s="0" t="n">
        <v>8</v>
      </c>
      <c r="D34" s="38" t="n">
        <v>0.416666666666667</v>
      </c>
      <c r="E34" s="11" t="n">
        <v>46464</v>
      </c>
      <c r="F34" s="11" t="n">
        <v>46468</v>
      </c>
      <c r="G34" s="11" t="n">
        <v>46464</v>
      </c>
      <c r="H34" s="10" t="s">
        <v>763</v>
      </c>
      <c r="I34" s="38"/>
      <c r="J34" s="38"/>
      <c r="K34" s="10"/>
      <c r="L34" s="10"/>
      <c r="N34" s="11"/>
      <c r="O34" s="10"/>
      <c r="P34" s="31" t="n">
        <f aca="false">IF($A34="","",IF(IFERROR(IF(INDEX(drops!$I$2:$I$21,MATCH($A34,drops!$A$2:$A$21,0))="","",INDEX(drops!$I$2:$I$21,MATCH($A34,drops!$A$2:$A$21,0))),"")="OK",IFERROR(IF(INDEX(drops!$B$2:$B$21,MATCH($A34,drops!$A$2:$A$21,0))="","",INDEX(drops!$B$2:$B$21,MATCH($A34,drops!$A$2:$A$21,0))),""),""))</f>
        <v>46469</v>
      </c>
      <c r="Q34" s="30" t="str">
        <f aca="false">IF($B34="","",IFERROR(IF(INDEX(offices!$O$2:$O$61,MATCH($B34,offices!$A$2:$A$61,0))="","",INDEX(offices!$O$2:$O$61,MATCH($B34,offices!$A$2:$A$61,0))),""))</f>
        <v>SAMPLE Larch Legal</v>
      </c>
      <c r="R34" s="30" t="str">
        <f aca="false">IF($B34="","",IFERROR(IF(INDEX(offices!$P$2:$P$61,MATCH($B34,offices!$A$2:$A$61,0))="","",INDEX(offices!$P$2:$P$61,MATCH($B34,offices!$A$2:$A$61,0))),""))</f>
        <v>SAMPLE 180 Example Avenue</v>
      </c>
      <c r="S34" s="30" t="str">
        <f aca="false">IF($B34="","",IFERROR(IF(INDEX(offices!$Q$2:$Q$61,MATCH($B34,offices!$A$2:$A$61,0))="","",INDEX(offices!$Q$2:$Q$61,MATCH($B34,offices!$A$2:$A$61,0))),""))</f>
        <v>SAMPLE Floor 10</v>
      </c>
      <c r="T34" s="30" t="str">
        <f aca="false">IF($B34="","",IFERROR(IF(INDEX(offices!$Z$2:$Z$61,MATCH($B34,offices!$A$2:$A$61,0))="","",INDEX(offices!$Z$2:$Z$61,MATCH($B34,offices!$A$2:$A$61,0))),""))</f>
        <v>9 to 11 am</v>
      </c>
      <c r="U34" s="30" t="str">
        <f aca="false">IF($B34="","",IFERROR(IF(INDEX(offices!$Y$2:$Y$61,MATCH($B34,offices!$A$2:$A$61,0))="","",INDEX(offices!$Y$2:$Y$61,MATCH($B34,offices!$A$2:$A$61,0))),""))</f>
        <v>front desk</v>
      </c>
      <c r="V34" s="30" t="str">
        <f aca="false">IF($B34="","",IFERROR(IF(INDEX(offices!$V$2:$V$61,MATCH($B34,offices!$A$2:$A$61,0))="","",INDEX(offices!$V$2:$V$61,MATCH($B34,offices!$A$2:$A$61,0))),""))</f>
        <v>SAMPLE Owner 008</v>
      </c>
      <c r="W34" s="30" t="str">
        <f aca="false">IF($B34="","",IFERROR(IF(INDEX(offices!$AJ$2:$AJ$61,MATCH($B34,offices!$A$2:$A$61,0))="","",INDEX(offices!$AJ$2:$AJ$61,MATCH($B34,offices!$A$2:$A$61,0))),""))</f>
        <v>SAMPLE (212) 555-0108</v>
      </c>
      <c r="X34" s="30" t="str">
        <f aca="false">IF($B34="","",IFERROR(IF(INDEX(offices!$G$2:$G$61,MATCH($B34,offices!$A$2:$A$61,0))="","",INDEX(offices!$G$2:$G$61,MATCH($B34,offices!$A$2:$A$61,0))),""))</f>
        <v>Y</v>
      </c>
      <c r="Y34" s="30" t="str">
        <f aca="false">IF($B34="","",IFERROR(IF(INDEX(offices!$I$2:$I$61,MATCH($B34,offices!$A$2:$A$61,0))="","",INDEX(offices!$I$2:$I$61,MATCH($B34,offices!$A$2:$A$61,0))),""))</f>
        <v>received</v>
      </c>
      <c r="Z34" s="30" t="n">
        <f aca="false">IF($A34="","",COUNTIFS(approvals!$H$2:$H$251,$A34,approvals!$B$2:$B$251,$B34,approvals!$P$2:$P$251,"Y"))</f>
        <v>2</v>
      </c>
      <c r="AA34" s="30" t="n">
        <f aca="false">IF($A34="","",SUMIFS(approvals!$S$2:$S$251,approvals!$H$2:$H$251,$A34,approvals!$B$2:$B$251,$B34,approvals!$P$2:$P$251,"Y"))</f>
        <v>90</v>
      </c>
      <c r="AB34" s="30" t="str">
        <f aca="false">IF(OR($A34="",$P34=""),"",IF(COUNTIFS(stops!$B$2:$B$151,$B34,stops!$P$2:$P$151,"&lt;"&amp;$P34,stops!$L$2:$L$151,"&lt;&gt;not_delivered")=0,"Y","N"))</f>
        <v>N</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SAMPLE certificate required at the desk; 6th floor</v>
      </c>
      <c r="AF34" s="30" t="str">
        <f aca="false">IF($A34="","",IF(AND($L34="declined",N($Z34)&gt;0,COUNTIFS(approvals!$H$2:$H$251,$A34,approvals!$B$2:$B$251,$B34,approvals!$P$2:$P$251,"Y",approvals!$U$2:$U$251,"&gt;0")=0),"Y",""))</f>
        <v/>
      </c>
    </row>
    <row r="35" customFormat="false" ht="15" hidden="false" customHeight="false" outlineLevel="0" collapsed="false">
      <c r="A35" s="0" t="s">
        <v>353</v>
      </c>
      <c r="B35" s="0" t="s">
        <v>686</v>
      </c>
      <c r="C35" s="0" t="n">
        <v>9</v>
      </c>
      <c r="D35" s="38" t="n">
        <v>0.4375</v>
      </c>
      <c r="E35" s="11" t="n">
        <v>46464</v>
      </c>
      <c r="F35" s="11" t="n">
        <v>46468</v>
      </c>
      <c r="G35" s="11"/>
      <c r="H35" s="10" t="s">
        <v>764</v>
      </c>
      <c r="I35" s="38"/>
      <c r="J35" s="38"/>
      <c r="K35" s="10"/>
      <c r="L35" s="10"/>
      <c r="N35" s="11"/>
      <c r="O35" s="10"/>
      <c r="P35" s="31" t="n">
        <f aca="false">IF($A35="","",IF(IFERROR(IF(INDEX(drops!$I$2:$I$21,MATCH($A35,drops!$A$2:$A$21,0))="","",INDEX(drops!$I$2:$I$21,MATCH($A35,drops!$A$2:$A$21,0))),"")="OK",IFERROR(IF(INDEX(drops!$B$2:$B$21,MATCH($A35,drops!$A$2:$A$21,0))="","",INDEX(drops!$B$2:$B$21,MATCH($A35,drops!$A$2:$A$21,0))),""),""))</f>
        <v>46469</v>
      </c>
      <c r="Q35" s="30" t="str">
        <f aca="false">IF($B35="","",IFERROR(IF(INDEX(offices!$O$2:$O$61,MATCH($B35,offices!$A$2:$A$61,0))="","",INDEX(offices!$O$2:$O$61,MATCH($B35,offices!$A$2:$A$61,0))),""))</f>
        <v>SAMPLE Overlook Games</v>
      </c>
      <c r="R35" s="30" t="str">
        <f aca="false">IF($B35="","",IFERROR(IF(INDEX(offices!$P$2:$P$61,MATCH($B35,offices!$A$2:$A$61,0))="","",INDEX(offices!$P$2:$P$61,MATCH($B35,offices!$A$2:$A$61,0))),""))</f>
        <v>SAMPLE 190 Example Avenue</v>
      </c>
      <c r="S35" s="30" t="str">
        <f aca="false">IF($B35="","",IFERROR(IF(INDEX(offices!$Q$2:$Q$61,MATCH($B35,offices!$A$2:$A$61,0))="","",INDEX(offices!$Q$2:$Q$61,MATCH($B35,offices!$A$2:$A$61,0))),""))</f>
        <v>SAMPLE Floor 2</v>
      </c>
      <c r="T35" s="30" t="str">
        <f aca="false">IF($B35="","",IFERROR(IF(INDEX(offices!$Z$2:$Z$61,MATCH($B35,offices!$A$2:$A$61,0))="","",INDEX(offices!$Z$2:$Z$61,MATCH($B35,offices!$A$2:$A$61,0))),""))</f>
        <v>10 am to noon</v>
      </c>
      <c r="U35" s="30" t="str">
        <f aca="false">IF($B35="","",IFERROR(IF(INDEX(offices!$Y$2:$Y$61,MATCH($B35,offices!$A$2:$A$61,0))="","",INDEX(offices!$Y$2:$Y$61,MATCH($B35,offices!$A$2:$A$61,0))),""))</f>
        <v>front desk</v>
      </c>
      <c r="V35" s="30" t="str">
        <f aca="false">IF($B35="","",IFERROR(IF(INDEX(offices!$V$2:$V$61,MATCH($B35,offices!$A$2:$A$61,0))="","",INDEX(offices!$V$2:$V$61,MATCH($B35,offices!$A$2:$A$61,0))),""))</f>
        <v>SAMPLE Owner 009</v>
      </c>
      <c r="W35" s="30" t="str">
        <f aca="false">IF($B35="","",IFERROR(IF(INDEX(offices!$AJ$2:$AJ$61,MATCH($B35,offices!$A$2:$A$61,0))="","",INDEX(offices!$AJ$2:$AJ$61,MATCH($B35,offices!$A$2:$A$61,0))),""))</f>
        <v>SAMPLE (212) 555-0109</v>
      </c>
      <c r="X35" s="30" t="str">
        <f aca="false">IF($B35="","",IFERROR(IF(INDEX(offices!$G$2:$G$61,MATCH($B35,offices!$A$2:$A$61,0))="","",INDEX(offices!$G$2:$G$61,MATCH($B35,offices!$A$2:$A$61,0))),""))</f>
        <v>N</v>
      </c>
      <c r="Y35" s="30" t="str">
        <f aca="false">IF($B35="","",IFERROR(IF(INDEX(offices!$I$2:$I$61,MATCH($B35,offices!$A$2:$A$61,0))="","",INDEX(offices!$I$2:$I$61,MATCH($B35,offices!$A$2:$A$61,0))),""))</f>
        <v>not_needed</v>
      </c>
      <c r="Z35" s="30" t="n">
        <f aca="false">IF($A35="","",COUNTIFS(approvals!$H$2:$H$251,$A35,approvals!$B$2:$B$251,$B35,approvals!$P$2:$P$251,"Y"))</f>
        <v>2</v>
      </c>
      <c r="AA35" s="30" t="n">
        <f aca="false">IF($A35="","",SUMIFS(approvals!$S$2:$S$251,approvals!$H$2:$H$251,$A35,approvals!$B$2:$B$251,$B35,approvals!$P$2:$P$251,"Y"))</f>
        <v>150</v>
      </c>
      <c r="AB35" s="30" t="str">
        <f aca="false">IF(OR($A35="",$P35=""),"",IF(COUNTIFS(stops!$B$2:$B$151,$B35,stops!$P$2:$P$151,"&lt;"&amp;$P35,stops!$L$2:$L$151,"&lt;&gt;not_delivered")=0,"Y","N"))</f>
        <v>N</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info: direct-ship, and the front desk will not hold food: the brand ships this office's cartons to you with the reserve and you deliver them yourself on T (the tracking sheet and the ship-date email say so); info: front desk not agreed: the owner must take it; </v>
      </c>
      <c r="AE35" s="30" t="str">
        <f aca="false">IF($B35="","",IFERROR(IF(INDEX(offices!$H$2:$H$61,MATCH($B35,offices!$A$2:$A$61,0))="","",INDEX(offices!$H$2:$H$61,MATCH($B35,offices!$A$2:$A$61,0))),""))</f>
        <v>SAMPLE owner must take it; desk will not hold food</v>
      </c>
      <c r="AF35" s="30" t="str">
        <f aca="false">IF($A35="","",IF(AND($L35="declined",N($Z35)&gt;0,COUNTIFS(approvals!$H$2:$H$251,$A35,approvals!$B$2:$B$251,$B35,approvals!$P$2:$P$251,"Y",approvals!$U$2:$U$251,"&gt;0")=0),"Y",""))</f>
        <v/>
      </c>
    </row>
    <row r="36" customFormat="false" ht="15" hidden="false" customHeight="false" outlineLevel="0" collapsed="false">
      <c r="A36" s="0" t="s">
        <v>353</v>
      </c>
      <c r="B36" s="0" t="s">
        <v>688</v>
      </c>
      <c r="C36" s="0" t="n">
        <v>10</v>
      </c>
      <c r="D36" s="38" t="n">
        <v>0.416666666666667</v>
      </c>
      <c r="E36" s="11" t="n">
        <v>46464</v>
      </c>
      <c r="F36" s="11" t="n">
        <v>46468</v>
      </c>
      <c r="G36" s="11" t="n">
        <v>46464</v>
      </c>
      <c r="H36" s="10" t="s">
        <v>765</v>
      </c>
      <c r="I36" s="38"/>
      <c r="J36" s="38"/>
      <c r="K36" s="10"/>
      <c r="L36" s="10"/>
      <c r="N36" s="11"/>
      <c r="O36" s="10"/>
      <c r="P36" s="31" t="n">
        <f aca="false">IF($A36="","",IF(IFERROR(IF(INDEX(drops!$I$2:$I$21,MATCH($A36,drops!$A$2:$A$21,0))="","",INDEX(drops!$I$2:$I$21,MATCH($A36,drops!$A$2:$A$21,0))),"")="OK",IFERROR(IF(INDEX(drops!$B$2:$B$21,MATCH($A36,drops!$A$2:$A$21,0))="","",INDEX(drops!$B$2:$B$21,MATCH($A36,drops!$A$2:$A$21,0))),""),""))</f>
        <v>46469</v>
      </c>
      <c r="Q36" s="30" t="str">
        <f aca="false">IF($B36="","",IFERROR(IF(INDEX(offices!$O$2:$O$61,MATCH($B36,offices!$A$2:$A$61,0))="","",INDEX(offices!$O$2:$O$61,MATCH($B36,offices!$A$2:$A$61,0))),""))</f>
        <v>SAMPLE Quill Nonprofit Press</v>
      </c>
      <c r="R36" s="30" t="str">
        <f aca="false">IF($B36="","",IFERROR(IF(INDEX(offices!$P$2:$P$61,MATCH($B36,offices!$A$2:$A$61,0))="","",INDEX(offices!$P$2:$P$61,MATCH($B36,offices!$A$2:$A$61,0))),""))</f>
        <v>SAMPLE 200 Example Avenue</v>
      </c>
      <c r="S36" s="30" t="str">
        <f aca="false">IF($B36="","",IFERROR(IF(INDEX(offices!$Q$2:$Q$61,MATCH($B36,offices!$A$2:$A$61,0))="","",INDEX(offices!$Q$2:$Q$61,MATCH($B36,offices!$A$2:$A$61,0))),""))</f>
        <v>SAMPLE Floor 3</v>
      </c>
      <c r="T36" s="30" t="str">
        <f aca="false">IF($B36="","",IFERROR(IF(INDEX(offices!$Z$2:$Z$61,MATCH($B36,offices!$A$2:$A$61,0))="","",INDEX(offices!$Z$2:$Z$61,MATCH($B36,offices!$A$2:$A$61,0))),""))</f>
        <v>8 to 10 am</v>
      </c>
      <c r="U36" s="30" t="str">
        <f aca="false">IF($B36="","",IFERROR(IF(INDEX(offices!$Y$2:$Y$61,MATCH($B36,offices!$A$2:$A$61,0))="","",INDEX(offices!$Y$2:$Y$61,MATCH($B36,offices!$A$2:$A$61,0))),""))</f>
        <v>walk-up</v>
      </c>
      <c r="V36" s="30" t="str">
        <f aca="false">IF($B36="","",IFERROR(IF(INDEX(offices!$V$2:$V$61,MATCH($B36,offices!$A$2:$A$61,0))="","",INDEX(offices!$V$2:$V$61,MATCH($B36,offices!$A$2:$A$61,0))),""))</f>
        <v>SAMPLE Owner 010</v>
      </c>
      <c r="W36" s="30" t="str">
        <f aca="false">IF($B36="","",IFERROR(IF(INDEX(offices!$AJ$2:$AJ$61,MATCH($B36,offices!$A$2:$A$61,0))="","",INDEX(offices!$AJ$2:$AJ$61,MATCH($B36,offices!$A$2:$A$61,0))),""))</f>
        <v>SAMPLE (212) 555-0110</v>
      </c>
      <c r="X36" s="30" t="str">
        <f aca="false">IF($B36="","",IFERROR(IF(INDEX(offices!$G$2:$G$61,MATCH($B36,offices!$A$2:$A$61,0))="","",INDEX(offices!$G$2:$G$61,MATCH($B36,offices!$A$2:$A$61,0))),""))</f>
        <v>N</v>
      </c>
      <c r="Y36" s="30" t="str">
        <f aca="false">IF($B36="","",IFERROR(IF(INDEX(offices!$I$2:$I$61,MATCH($B36,offices!$A$2:$A$61,0))="","",INDEX(offices!$I$2:$I$61,MATCH($B36,offices!$A$2:$A$61,0))),""))</f>
        <v>not_needed</v>
      </c>
      <c r="Z36" s="30" t="n">
        <f aca="false">IF($A36="","",COUNTIFS(approvals!$H$2:$H$251,$A36,approvals!$B$2:$B$251,$B36,approvals!$P$2:$P$251,"Y"))</f>
        <v>2</v>
      </c>
      <c r="AA36" s="30" t="n">
        <f aca="false">IF($A36="","",SUMIFS(approvals!$S$2:$S$251,approvals!$H$2:$H$251,$A36,approvals!$B$2:$B$251,$B36,approvals!$P$2:$P$251,"Y"))</f>
        <v>80</v>
      </c>
      <c r="AB36" s="30" t="str">
        <f aca="false">IF(OR($A36="",$P36=""),"",IF(COUNTIFS(stops!$B$2:$B$151,$B36,stops!$P$2:$P$151,"&lt;"&amp;$P36,stops!$L$2:$L$151,"&lt;&gt;not_delivered")=0,"Y","N"))</f>
        <v>N</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SAMPLE walk-up, 2nd floor, kitchen on the right</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766</v>
      </c>
      <c r="C1" s="28" t="s">
        <v>358</v>
      </c>
      <c r="D1" s="28" t="s">
        <v>632</v>
      </c>
      <c r="E1" s="28" t="s">
        <v>767</v>
      </c>
      <c r="F1" s="28" t="s">
        <v>768</v>
      </c>
      <c r="G1" s="28" t="s">
        <v>769</v>
      </c>
      <c r="H1" s="28" t="s">
        <v>770</v>
      </c>
      <c r="I1" s="28" t="s">
        <v>771</v>
      </c>
      <c r="J1" s="28" t="s">
        <v>772</v>
      </c>
      <c r="K1" s="28" t="s">
        <v>178</v>
      </c>
      <c r="L1" s="29" t="s">
        <v>300</v>
      </c>
      <c r="M1" s="29" t="s">
        <v>773</v>
      </c>
      <c r="N1" s="29" t="s">
        <v>774</v>
      </c>
      <c r="O1" s="29" t="s">
        <v>775</v>
      </c>
      <c r="P1" s="29" t="s">
        <v>776</v>
      </c>
      <c r="Q1" s="29" t="s">
        <v>120</v>
      </c>
      <c r="R1" s="29" t="s">
        <v>176</v>
      </c>
    </row>
    <row r="2" customFormat="false" ht="15" hidden="false" customHeight="false" outlineLevel="0" collapsed="false">
      <c r="A2" s="11" t="n">
        <v>46384</v>
      </c>
      <c r="B2" s="38" t="n">
        <v>0.638888888888889</v>
      </c>
      <c r="C2" s="10" t="s">
        <v>472</v>
      </c>
      <c r="E2" s="10" t="s">
        <v>675</v>
      </c>
      <c r="G2" s="0" t="n">
        <v>276</v>
      </c>
      <c r="H2" s="10" t="s">
        <v>777</v>
      </c>
      <c r="I2" s="11" t="n">
        <v>46568</v>
      </c>
      <c r="J2" s="10" t="s">
        <v>778</v>
      </c>
      <c r="K2" s="10" t="s">
        <v>779</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498</v>
      </c>
      <c r="E3" s="10" t="s">
        <v>675</v>
      </c>
      <c r="G3" s="0" t="n">
        <v>263</v>
      </c>
      <c r="H3" s="10" t="s">
        <v>780</v>
      </c>
      <c r="I3" s="11" t="n">
        <v>46631</v>
      </c>
      <c r="J3" s="10" t="s">
        <v>778</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498</v>
      </c>
      <c r="E4" s="10" t="s">
        <v>675</v>
      </c>
      <c r="G4" s="0" t="n">
        <v>12</v>
      </c>
      <c r="H4" s="10" t="s">
        <v>781</v>
      </c>
      <c r="I4" s="11" t="n">
        <v>46447</v>
      </c>
      <c r="J4" s="10" t="s">
        <v>778</v>
      </c>
      <c r="K4" s="10" t="s">
        <v>782</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498</v>
      </c>
      <c r="E5" s="10" t="s">
        <v>783</v>
      </c>
      <c r="G5" s="0" t="n">
        <v>12</v>
      </c>
      <c r="H5" s="10" t="s">
        <v>781</v>
      </c>
      <c r="I5" s="11"/>
      <c r="J5" s="10"/>
      <c r="K5" s="10" t="s">
        <v>784</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498</v>
      </c>
      <c r="E6" s="10" t="s">
        <v>783</v>
      </c>
      <c r="G6" s="0" t="n">
        <v>4</v>
      </c>
      <c r="H6" s="10" t="s">
        <v>780</v>
      </c>
      <c r="I6" s="11"/>
      <c r="J6" s="10"/>
      <c r="K6" s="10" t="s">
        <v>785</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472</v>
      </c>
      <c r="D7" s="10" t="s">
        <v>668</v>
      </c>
      <c r="E7" s="10" t="s">
        <v>105</v>
      </c>
      <c r="G7" s="0" t="n">
        <v>40</v>
      </c>
      <c r="I7" s="11"/>
      <c r="J7" s="10" t="s">
        <v>778</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472</v>
      </c>
      <c r="D8" s="10" t="s">
        <v>671</v>
      </c>
      <c r="E8" s="10" t="s">
        <v>105</v>
      </c>
      <c r="G8" s="0" t="n">
        <v>40</v>
      </c>
      <c r="I8" s="11"/>
      <c r="J8" s="10" t="s">
        <v>778</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472</v>
      </c>
      <c r="D9" s="10" t="s">
        <v>673</v>
      </c>
      <c r="E9" s="10" t="s">
        <v>105</v>
      </c>
      <c r="G9" s="0" t="n">
        <v>50</v>
      </c>
      <c r="I9" s="11"/>
      <c r="J9" s="10" t="s">
        <v>778</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472</v>
      </c>
      <c r="D10" s="10" t="s">
        <v>676</v>
      </c>
      <c r="E10" s="10" t="s">
        <v>105</v>
      </c>
      <c r="G10" s="0" t="n">
        <v>50</v>
      </c>
      <c r="I10" s="11"/>
      <c r="J10" s="10" t="s">
        <v>778</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472</v>
      </c>
      <c r="D11" s="10" t="s">
        <v>678</v>
      </c>
      <c r="E11" s="10" t="s">
        <v>105</v>
      </c>
      <c r="G11" s="0" t="n">
        <v>70</v>
      </c>
      <c r="I11" s="11"/>
      <c r="J11" s="10" t="s">
        <v>778</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498</v>
      </c>
      <c r="D12" s="10" t="s">
        <v>668</v>
      </c>
      <c r="E12" s="10" t="s">
        <v>105</v>
      </c>
      <c r="G12" s="0" t="n">
        <v>40</v>
      </c>
      <c r="I12" s="11"/>
      <c r="J12" s="10" t="s">
        <v>778</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498</v>
      </c>
      <c r="D13" s="10" t="s">
        <v>671</v>
      </c>
      <c r="E13" s="10" t="s">
        <v>105</v>
      </c>
      <c r="G13" s="0" t="n">
        <v>40</v>
      </c>
      <c r="I13" s="11"/>
      <c r="J13" s="10" t="s">
        <v>778</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498</v>
      </c>
      <c r="D14" s="10" t="s">
        <v>673</v>
      </c>
      <c r="E14" s="10" t="s">
        <v>105</v>
      </c>
      <c r="G14" s="0" t="n">
        <v>50</v>
      </c>
      <c r="I14" s="11"/>
      <c r="J14" s="10" t="s">
        <v>778</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498</v>
      </c>
      <c r="D15" s="10" t="s">
        <v>676</v>
      </c>
      <c r="E15" s="10" t="s">
        <v>105</v>
      </c>
      <c r="G15" s="0" t="n">
        <v>50</v>
      </c>
      <c r="I15" s="11"/>
      <c r="J15" s="10" t="s">
        <v>778</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498</v>
      </c>
      <c r="D16" s="10" t="s">
        <v>678</v>
      </c>
      <c r="E16" s="10" t="s">
        <v>105</v>
      </c>
      <c r="G16" s="0" t="n">
        <v>70</v>
      </c>
      <c r="I16" s="11"/>
      <c r="J16" s="10" t="s">
        <v>778</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472</v>
      </c>
      <c r="D17" s="10" t="s">
        <v>668</v>
      </c>
      <c r="E17" s="10" t="s">
        <v>786</v>
      </c>
      <c r="G17" s="0" t="n">
        <v>5</v>
      </c>
      <c r="I17" s="11"/>
      <c r="J17" s="10" t="s">
        <v>778</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498</v>
      </c>
      <c r="D18" s="10" t="s">
        <v>673</v>
      </c>
      <c r="E18" s="10" t="s">
        <v>786</v>
      </c>
      <c r="G18" s="0" t="n">
        <v>6</v>
      </c>
      <c r="I18" s="11"/>
      <c r="J18" s="10" t="s">
        <v>778</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472</v>
      </c>
      <c r="D19" s="10" t="s">
        <v>668</v>
      </c>
      <c r="E19" s="10" t="s">
        <v>787</v>
      </c>
      <c r="F19" s="0" t="s">
        <v>788</v>
      </c>
      <c r="G19" s="0" t="n">
        <v>10</v>
      </c>
      <c r="I19" s="11"/>
      <c r="J19" s="10" t="s">
        <v>778</v>
      </c>
      <c r="K19" s="10" t="s">
        <v>789</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472</v>
      </c>
      <c r="D20" s="10" t="s">
        <v>673</v>
      </c>
      <c r="E20" s="10" t="s">
        <v>787</v>
      </c>
      <c r="F20" s="0" t="s">
        <v>788</v>
      </c>
      <c r="G20" s="0" t="n">
        <v>11</v>
      </c>
      <c r="I20" s="11"/>
      <c r="J20" s="10" t="s">
        <v>778</v>
      </c>
      <c r="K20" s="10" t="s">
        <v>789</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498</v>
      </c>
      <c r="D21" s="10" t="s">
        <v>668</v>
      </c>
      <c r="E21" s="10" t="s">
        <v>790</v>
      </c>
      <c r="G21" s="0" t="n">
        <v>3</v>
      </c>
      <c r="I21" s="11"/>
      <c r="J21" s="10" t="s">
        <v>778</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498</v>
      </c>
      <c r="D22" s="10" t="s">
        <v>671</v>
      </c>
      <c r="E22" s="10" t="s">
        <v>790</v>
      </c>
      <c r="G22" s="0" t="n">
        <v>4</v>
      </c>
      <c r="I22" s="11"/>
      <c r="J22" s="10" t="s">
        <v>778</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498</v>
      </c>
      <c r="D23" s="10" t="s">
        <v>673</v>
      </c>
      <c r="E23" s="10" t="s">
        <v>790</v>
      </c>
      <c r="G23" s="0" t="n">
        <v>6</v>
      </c>
      <c r="I23" s="11"/>
      <c r="J23" s="10" t="s">
        <v>778</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498</v>
      </c>
      <c r="D24" s="10" t="s">
        <v>676</v>
      </c>
      <c r="E24" s="10" t="s">
        <v>790</v>
      </c>
      <c r="G24" s="0" t="n">
        <v>2</v>
      </c>
      <c r="I24" s="11"/>
      <c r="J24" s="10" t="s">
        <v>778</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498</v>
      </c>
      <c r="D25" s="10" t="s">
        <v>678</v>
      </c>
      <c r="E25" s="10" t="s">
        <v>790</v>
      </c>
      <c r="G25" s="0" t="n">
        <v>3</v>
      </c>
      <c r="I25" s="11"/>
      <c r="J25" s="10" t="s">
        <v>778</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498</v>
      </c>
      <c r="E26" s="10" t="s">
        <v>791</v>
      </c>
      <c r="F26" s="0" t="s">
        <v>788</v>
      </c>
      <c r="G26" s="0" t="n">
        <v>3</v>
      </c>
      <c r="I26" s="11"/>
      <c r="J26" s="10" t="s">
        <v>778</v>
      </c>
      <c r="K26" s="10" t="s">
        <v>792</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498</v>
      </c>
      <c r="E27" s="10" t="s">
        <v>791</v>
      </c>
      <c r="F27" s="0" t="s">
        <v>793</v>
      </c>
      <c r="G27" s="0" t="n">
        <v>18</v>
      </c>
      <c r="I27" s="11"/>
      <c r="J27" s="10" t="s">
        <v>778</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498</v>
      </c>
      <c r="E28" s="10" t="s">
        <v>791</v>
      </c>
      <c r="F28" s="0" t="s">
        <v>783</v>
      </c>
      <c r="G28" s="0" t="n">
        <v>16</v>
      </c>
      <c r="I28" s="11"/>
      <c r="J28" s="10" t="s">
        <v>778</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516</v>
      </c>
      <c r="E29" s="10" t="s">
        <v>675</v>
      </c>
      <c r="G29" s="0" t="n">
        <v>510</v>
      </c>
      <c r="H29" s="10" t="s">
        <v>794</v>
      </c>
      <c r="I29" s="11" t="n">
        <v>46599</v>
      </c>
      <c r="J29" s="10" t="s">
        <v>778</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532</v>
      </c>
      <c r="E30" s="10" t="s">
        <v>675</v>
      </c>
      <c r="G30" s="0" t="n">
        <v>501</v>
      </c>
      <c r="H30" s="10" t="s">
        <v>795</v>
      </c>
      <c r="I30" s="11" t="n">
        <v>46568</v>
      </c>
      <c r="J30" s="10" t="s">
        <v>778</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549</v>
      </c>
      <c r="E31" s="10" t="s">
        <v>675</v>
      </c>
      <c r="G31" s="0" t="n">
        <v>567</v>
      </c>
      <c r="H31" s="10" t="s">
        <v>796</v>
      </c>
      <c r="I31" s="11" t="n">
        <v>46522</v>
      </c>
      <c r="J31" s="10" t="s">
        <v>778</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516</v>
      </c>
      <c r="D32" s="10" t="s">
        <v>668</v>
      </c>
      <c r="E32" s="10" t="s">
        <v>105</v>
      </c>
      <c r="G32" s="0" t="n">
        <v>37</v>
      </c>
      <c r="I32" s="11"/>
      <c r="J32" s="10" t="s">
        <v>797</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516</v>
      </c>
      <c r="D33" s="10" t="s">
        <v>671</v>
      </c>
      <c r="E33" s="10" t="s">
        <v>105</v>
      </c>
      <c r="G33" s="0" t="n">
        <v>37</v>
      </c>
      <c r="I33" s="11"/>
      <c r="J33" s="10" t="s">
        <v>797</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516</v>
      </c>
      <c r="D34" s="10" t="s">
        <v>673</v>
      </c>
      <c r="E34" s="10" t="s">
        <v>105</v>
      </c>
      <c r="G34" s="0" t="n">
        <v>47</v>
      </c>
      <c r="I34" s="11"/>
      <c r="J34" s="10" t="s">
        <v>797</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516</v>
      </c>
      <c r="D35" s="10" t="s">
        <v>676</v>
      </c>
      <c r="E35" s="10" t="s">
        <v>105</v>
      </c>
      <c r="G35" s="0" t="n">
        <v>47</v>
      </c>
      <c r="I35" s="11"/>
      <c r="J35" s="10" t="s">
        <v>797</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516</v>
      </c>
      <c r="D36" s="10" t="s">
        <v>678</v>
      </c>
      <c r="E36" s="10" t="s">
        <v>105</v>
      </c>
      <c r="G36" s="0" t="n">
        <v>67</v>
      </c>
      <c r="I36" s="11"/>
      <c r="J36" s="10" t="s">
        <v>797</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516</v>
      </c>
      <c r="D37" s="10" t="s">
        <v>680</v>
      </c>
      <c r="E37" s="10" t="s">
        <v>105</v>
      </c>
      <c r="G37" s="0" t="n">
        <v>42</v>
      </c>
      <c r="I37" s="11"/>
      <c r="J37" s="10" t="s">
        <v>797</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516</v>
      </c>
      <c r="D38" s="10" t="s">
        <v>682</v>
      </c>
      <c r="E38" s="10" t="s">
        <v>105</v>
      </c>
      <c r="G38" s="0" t="n">
        <v>57</v>
      </c>
      <c r="I38" s="11"/>
      <c r="J38" s="10" t="s">
        <v>797</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516</v>
      </c>
      <c r="D39" s="10" t="s">
        <v>684</v>
      </c>
      <c r="E39" s="10" t="s">
        <v>105</v>
      </c>
      <c r="G39" s="0" t="n">
        <v>42</v>
      </c>
      <c r="I39" s="11"/>
      <c r="J39" s="10" t="s">
        <v>797</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516</v>
      </c>
      <c r="D40" s="10" t="s">
        <v>686</v>
      </c>
      <c r="E40" s="10" t="s">
        <v>105</v>
      </c>
      <c r="G40" s="0" t="n">
        <v>72</v>
      </c>
      <c r="I40" s="11"/>
      <c r="J40" s="10" t="s">
        <v>778</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516</v>
      </c>
      <c r="D41" s="10" t="s">
        <v>688</v>
      </c>
      <c r="E41" s="10" t="s">
        <v>105</v>
      </c>
      <c r="G41" s="0" t="n">
        <v>37</v>
      </c>
      <c r="I41" s="11"/>
      <c r="J41" s="10" t="s">
        <v>797</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532</v>
      </c>
      <c r="D42" s="10" t="s">
        <v>668</v>
      </c>
      <c r="E42" s="10" t="s">
        <v>105</v>
      </c>
      <c r="G42" s="0" t="n">
        <v>40</v>
      </c>
      <c r="I42" s="11"/>
      <c r="J42" s="10" t="s">
        <v>797</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532</v>
      </c>
      <c r="D43" s="10" t="s">
        <v>671</v>
      </c>
      <c r="E43" s="10" t="s">
        <v>105</v>
      </c>
      <c r="G43" s="0" t="n">
        <v>40</v>
      </c>
      <c r="I43" s="11"/>
      <c r="J43" s="10" t="s">
        <v>797</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532</v>
      </c>
      <c r="D44" s="10" t="s">
        <v>673</v>
      </c>
      <c r="E44" s="10" t="s">
        <v>105</v>
      </c>
      <c r="G44" s="0" t="n">
        <v>50</v>
      </c>
      <c r="I44" s="11"/>
      <c r="J44" s="10" t="s">
        <v>797</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532</v>
      </c>
      <c r="D45" s="10" t="s">
        <v>676</v>
      </c>
      <c r="E45" s="10" t="s">
        <v>105</v>
      </c>
      <c r="G45" s="0" t="n">
        <v>50</v>
      </c>
      <c r="I45" s="11"/>
      <c r="J45" s="10" t="s">
        <v>797</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532</v>
      </c>
      <c r="D46" s="10" t="s">
        <v>678</v>
      </c>
      <c r="E46" s="10" t="s">
        <v>105</v>
      </c>
      <c r="G46" s="0" t="n">
        <v>70</v>
      </c>
      <c r="I46" s="11"/>
      <c r="J46" s="10" t="s">
        <v>797</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532</v>
      </c>
      <c r="D47" s="10" t="s">
        <v>680</v>
      </c>
      <c r="E47" s="10" t="s">
        <v>105</v>
      </c>
      <c r="G47" s="0" t="n">
        <v>45</v>
      </c>
      <c r="I47" s="11"/>
      <c r="J47" s="10" t="s">
        <v>797</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532</v>
      </c>
      <c r="D48" s="10" t="s">
        <v>684</v>
      </c>
      <c r="E48" s="10" t="s">
        <v>105</v>
      </c>
      <c r="G48" s="0" t="n">
        <v>45</v>
      </c>
      <c r="I48" s="11"/>
      <c r="J48" s="10" t="s">
        <v>797</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532</v>
      </c>
      <c r="D49" s="10" t="s">
        <v>686</v>
      </c>
      <c r="E49" s="10" t="s">
        <v>105</v>
      </c>
      <c r="G49" s="0" t="n">
        <v>75</v>
      </c>
      <c r="I49" s="11"/>
      <c r="J49" s="10" t="s">
        <v>778</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532</v>
      </c>
      <c r="D50" s="10" t="s">
        <v>686</v>
      </c>
      <c r="E50" s="10" t="s">
        <v>786</v>
      </c>
      <c r="G50" s="0" t="n">
        <v>6</v>
      </c>
      <c r="I50" s="11"/>
      <c r="J50" s="10" t="s">
        <v>778</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532</v>
      </c>
      <c r="D51" s="10" t="s">
        <v>688</v>
      </c>
      <c r="E51" s="10" t="s">
        <v>105</v>
      </c>
      <c r="G51" s="0" t="n">
        <v>40</v>
      </c>
      <c r="I51" s="11"/>
      <c r="J51" s="10" t="s">
        <v>797</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549</v>
      </c>
      <c r="D52" s="10" t="s">
        <v>668</v>
      </c>
      <c r="E52" s="10" t="s">
        <v>105</v>
      </c>
      <c r="G52" s="0" t="n">
        <v>40</v>
      </c>
      <c r="I52" s="11"/>
      <c r="J52" s="10" t="s">
        <v>797</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549</v>
      </c>
      <c r="D53" s="10" t="s">
        <v>671</v>
      </c>
      <c r="E53" s="10" t="s">
        <v>105</v>
      </c>
      <c r="G53" s="0" t="n">
        <v>40</v>
      </c>
      <c r="I53" s="11"/>
      <c r="J53" s="10" t="s">
        <v>797</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549</v>
      </c>
      <c r="D54" s="10" t="s">
        <v>673</v>
      </c>
      <c r="E54" s="10" t="s">
        <v>105</v>
      </c>
      <c r="G54" s="0" t="n">
        <v>50</v>
      </c>
      <c r="I54" s="11"/>
      <c r="J54" s="10" t="s">
        <v>797</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549</v>
      </c>
      <c r="D55" s="10" t="s">
        <v>676</v>
      </c>
      <c r="E55" s="10" t="s">
        <v>105</v>
      </c>
      <c r="G55" s="0" t="n">
        <v>50</v>
      </c>
      <c r="I55" s="11"/>
      <c r="J55" s="10" t="s">
        <v>797</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549</v>
      </c>
      <c r="D56" s="10" t="s">
        <v>678</v>
      </c>
      <c r="E56" s="10" t="s">
        <v>105</v>
      </c>
      <c r="G56" s="0" t="n">
        <v>70</v>
      </c>
      <c r="I56" s="11"/>
      <c r="J56" s="10" t="s">
        <v>797</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549</v>
      </c>
      <c r="D57" s="10" t="s">
        <v>680</v>
      </c>
      <c r="E57" s="10" t="s">
        <v>105</v>
      </c>
      <c r="G57" s="0" t="n">
        <v>45</v>
      </c>
      <c r="I57" s="11"/>
      <c r="J57" s="10" t="s">
        <v>797</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549</v>
      </c>
      <c r="D58" s="10" t="s">
        <v>682</v>
      </c>
      <c r="E58" s="10" t="s">
        <v>105</v>
      </c>
      <c r="G58" s="0" t="n">
        <v>60</v>
      </c>
      <c r="I58" s="11"/>
      <c r="J58" s="10" t="s">
        <v>797</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549</v>
      </c>
      <c r="D59" s="10" t="s">
        <v>684</v>
      </c>
      <c r="E59" s="10" t="s">
        <v>105</v>
      </c>
      <c r="G59" s="0" t="n">
        <v>45</v>
      </c>
      <c r="I59" s="11"/>
      <c r="J59" s="10" t="s">
        <v>797</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549</v>
      </c>
      <c r="D60" s="10" t="s">
        <v>686</v>
      </c>
      <c r="E60" s="10" t="s">
        <v>105</v>
      </c>
      <c r="G60" s="0" t="n">
        <v>75</v>
      </c>
      <c r="I60" s="11"/>
      <c r="J60" s="10" t="s">
        <v>778</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549</v>
      </c>
      <c r="D61" s="10" t="s">
        <v>686</v>
      </c>
      <c r="E61" s="10" t="s">
        <v>786</v>
      </c>
      <c r="G61" s="0" t="n">
        <v>6</v>
      </c>
      <c r="I61" s="11"/>
      <c r="J61" s="10" t="s">
        <v>778</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549</v>
      </c>
      <c r="D62" s="10" t="s">
        <v>688</v>
      </c>
      <c r="E62" s="10" t="s">
        <v>105</v>
      </c>
      <c r="G62" s="0" t="n">
        <v>40</v>
      </c>
      <c r="I62" s="11"/>
      <c r="J62" s="10" t="s">
        <v>797</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549</v>
      </c>
      <c r="D63" s="10" t="s">
        <v>688</v>
      </c>
      <c r="E63" s="10" t="s">
        <v>786</v>
      </c>
      <c r="G63" s="0" t="n">
        <v>6</v>
      </c>
      <c r="I63" s="11"/>
      <c r="J63" s="10" t="s">
        <v>778</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516</v>
      </c>
      <c r="D64" s="10" t="s">
        <v>678</v>
      </c>
      <c r="E64" s="10" t="s">
        <v>787</v>
      </c>
      <c r="F64" s="0" t="s">
        <v>788</v>
      </c>
      <c r="G64" s="0" t="n">
        <v>25</v>
      </c>
      <c r="I64" s="11"/>
      <c r="J64" s="10" t="s">
        <v>778</v>
      </c>
      <c r="K64" s="10" t="s">
        <v>798</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532</v>
      </c>
      <c r="D65" s="10" t="s">
        <v>668</v>
      </c>
      <c r="E65" s="10" t="s">
        <v>790</v>
      </c>
      <c r="G65" s="0" t="n">
        <v>2</v>
      </c>
      <c r="I65" s="11"/>
      <c r="J65" s="10" t="s">
        <v>778</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532</v>
      </c>
      <c r="D66" s="10" t="s">
        <v>671</v>
      </c>
      <c r="E66" s="10" t="s">
        <v>790</v>
      </c>
      <c r="G66" s="0" t="n">
        <v>4</v>
      </c>
      <c r="I66" s="11"/>
      <c r="J66" s="10" t="s">
        <v>778</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532</v>
      </c>
      <c r="D67" s="10" t="s">
        <v>673</v>
      </c>
      <c r="E67" s="10" t="s">
        <v>790</v>
      </c>
      <c r="G67" s="0" t="n">
        <v>2</v>
      </c>
      <c r="I67" s="11"/>
      <c r="J67" s="10" t="s">
        <v>778</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532</v>
      </c>
      <c r="D68" s="10" t="s">
        <v>676</v>
      </c>
      <c r="E68" s="10" t="s">
        <v>790</v>
      </c>
      <c r="G68" s="0" t="n">
        <v>6</v>
      </c>
      <c r="I68" s="11"/>
      <c r="J68" s="10" t="s">
        <v>778</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532</v>
      </c>
      <c r="D69" s="10" t="s">
        <v>678</v>
      </c>
      <c r="E69" s="10" t="s">
        <v>790</v>
      </c>
      <c r="G69" s="0" t="n">
        <v>6</v>
      </c>
      <c r="I69" s="11"/>
      <c r="J69" s="10" t="s">
        <v>778</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532</v>
      </c>
      <c r="D70" s="10" t="s">
        <v>680</v>
      </c>
      <c r="E70" s="10" t="s">
        <v>790</v>
      </c>
      <c r="G70" s="0" t="n">
        <v>4</v>
      </c>
      <c r="I70" s="11"/>
      <c r="J70" s="10" t="s">
        <v>778</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532</v>
      </c>
      <c r="D71" s="10" t="s">
        <v>684</v>
      </c>
      <c r="E71" s="10" t="s">
        <v>790</v>
      </c>
      <c r="G71" s="0" t="n">
        <v>2</v>
      </c>
      <c r="I71" s="11"/>
      <c r="J71" s="10" t="s">
        <v>778</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532</v>
      </c>
      <c r="D72" s="10" t="s">
        <v>686</v>
      </c>
      <c r="E72" s="10" t="s">
        <v>790</v>
      </c>
      <c r="G72" s="0" t="n">
        <v>3</v>
      </c>
      <c r="I72" s="11"/>
      <c r="J72" s="10" t="s">
        <v>778</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532</v>
      </c>
      <c r="D73" s="10" t="s">
        <v>688</v>
      </c>
      <c r="E73" s="10" t="s">
        <v>790</v>
      </c>
      <c r="G73" s="0" t="n">
        <v>4</v>
      </c>
      <c r="I73" s="11"/>
      <c r="J73" s="10" t="s">
        <v>778</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532</v>
      </c>
      <c r="E74" s="10" t="s">
        <v>791</v>
      </c>
      <c r="F74" s="0" t="s">
        <v>788</v>
      </c>
      <c r="G74" s="0" t="n">
        <v>40</v>
      </c>
      <c r="I74" s="11"/>
      <c r="J74" s="10" t="s">
        <v>778</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532</v>
      </c>
      <c r="E75" s="10" t="s">
        <v>791</v>
      </c>
      <c r="F75" s="0" t="s">
        <v>793</v>
      </c>
      <c r="G75" s="0" t="n">
        <v>33</v>
      </c>
      <c r="I75" s="11"/>
      <c r="J75" s="10" t="s">
        <v>778</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549</v>
      </c>
      <c r="D76" s="10" t="s">
        <v>678</v>
      </c>
      <c r="E76" s="10" t="s">
        <v>787</v>
      </c>
      <c r="F76" s="0" t="s">
        <v>788</v>
      </c>
      <c r="G76" s="0" t="n">
        <v>40</v>
      </c>
      <c r="I76" s="11"/>
      <c r="J76" s="10" t="s">
        <v>778</v>
      </c>
      <c r="K76" s="10" t="s">
        <v>798</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563</v>
      </c>
      <c r="E77" s="10" t="s">
        <v>675</v>
      </c>
      <c r="G77" s="0" t="n">
        <v>480</v>
      </c>
      <c r="H77" s="10" t="s">
        <v>799</v>
      </c>
      <c r="I77" s="11" t="n">
        <v>46630</v>
      </c>
      <c r="J77" s="10" t="s">
        <v>778</v>
      </c>
      <c r="K77" s="10" t="s">
        <v>800</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t="n">
        <v>46441</v>
      </c>
      <c r="B78" s="38" t="n">
        <v>0.3375</v>
      </c>
      <c r="C78" s="10" t="s">
        <v>563</v>
      </c>
      <c r="D78" s="10" t="s">
        <v>668</v>
      </c>
      <c r="E78" s="10" t="s">
        <v>105</v>
      </c>
      <c r="G78" s="0" t="n">
        <v>35</v>
      </c>
      <c r="I78" s="11"/>
      <c r="J78" s="10" t="s">
        <v>797</v>
      </c>
      <c r="L78" s="31" t="n">
        <f aca="false">IF($C78="","",IFERROR(IF(INDEX(campaigns!$BG$2:$BG$51,MATCH($C78,campaigns!$A$2:$A$51,0))="","",INDEX(campaigns!$BG$2:$BG$51,MATCH($C78,campaigns!$A$2:$A$51,0))),""))</f>
        <v>46441</v>
      </c>
      <c r="M78" s="30" t="n">
        <f aca="false">IF($C78="","",IF(OR($E78="received"),N($G78),IF(OR($E78="rejected",$E78="delivered",$E78="topped_up"),-N($G78),IF(AND(OR($E78="returned_to_brand",$E78="given_to_roster_office",$E78="released_to_office",$E78="disposed"),IF($F78="","reserve",$F78)="reserve"),-N($G78),IF(AND($E78="correction",IF($F78="","reserve",$F78)="reserve"),N($G78),0)))))</f>
        <v>-35</v>
      </c>
      <c r="N78" s="30" t="n">
        <f aca="false">IF($C78="","",IF($E78="rejected",N($G78),IF(AND(OR($E78="returned_to_brand",$E78="given_to_roster_office",$E78="released_to_office",$E78="disposed"),IF($F78="","reserve",$F78)="rejected"),-N($G78),IF(AND($E78="correction",IF($F78="","reserve",$F78)="rejected"),N($G78),0))))</f>
        <v>0</v>
      </c>
      <c r="O78" s="30" t="n">
        <f aca="false">IF($C78="","",IF($E78="collected",N($G78),IF(AND(OR($E78="returned_to_brand",$E78="given_to_roster_office",$E78="released_to_office",$E78="disposed"),IF($F78="","reserve",$F78)="leftover"),-N($G78),IF(AND($E78="correction",IF($F78="","reserve",$F78)="leftover"),N($G78),0))))</f>
        <v>0</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SAMPLE-CMP-006|SAMPLE-O-001|delivered</v>
      </c>
    </row>
    <row r="79" customFormat="false" ht="15" hidden="false" customHeight="false" outlineLevel="0" collapsed="false">
      <c r="A79" s="11" t="n">
        <v>46441</v>
      </c>
      <c r="B79" s="38" t="n">
        <v>0.389583333333333</v>
      </c>
      <c r="C79" s="10" t="s">
        <v>563</v>
      </c>
      <c r="D79" s="10" t="s">
        <v>671</v>
      </c>
      <c r="E79" s="10" t="s">
        <v>105</v>
      </c>
      <c r="G79" s="0" t="n">
        <v>35</v>
      </c>
      <c r="I79" s="11"/>
      <c r="J79" s="10" t="s">
        <v>797</v>
      </c>
      <c r="L79" s="31" t="n">
        <f aca="false">IF($C79="","",IFERROR(IF(INDEX(campaigns!$BG$2:$BG$51,MATCH($C79,campaigns!$A$2:$A$51,0))="","",INDEX(campaigns!$BG$2:$BG$51,MATCH($C79,campaigns!$A$2:$A$51,0))),""))</f>
        <v>46441</v>
      </c>
      <c r="M79" s="30" t="n">
        <f aca="false">IF($C79="","",IF(OR($E79="received"),N($G79),IF(OR($E79="rejected",$E79="delivered",$E79="topped_up"),-N($G79),IF(AND(OR($E79="returned_to_brand",$E79="given_to_roster_office",$E79="released_to_office",$E79="disposed"),IF($F79="","reserve",$F79)="reserve"),-N($G79),IF(AND($E79="correction",IF($F79="","reserve",$F79)="reserve"),N($G79),0)))))</f>
        <v>-35</v>
      </c>
      <c r="N79" s="30" t="n">
        <f aca="false">IF($C79="","",IF($E79="rejected",N($G79),IF(AND(OR($E79="returned_to_brand",$E79="given_to_roster_office",$E79="released_to_office",$E79="disposed"),IF($F79="","reserve",$F79)="rejected"),-N($G79),IF(AND($E79="correction",IF($F79="","reserve",$F79)="rejected"),N($G79),0))))</f>
        <v>0</v>
      </c>
      <c r="O79" s="30" t="n">
        <f aca="false">IF($C79="","",IF($E79="collected",N($G79),IF(AND(OR($E79="returned_to_brand",$E79="given_to_roster_office",$E79="released_to_office",$E79="disposed"),IF($F79="","reserve",$F79)="leftover"),-N($G79),IF(AND($E79="correction",IF($F79="","reserve",$F79)="leftover"),N($G79),0))))</f>
        <v>0</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SAMPLE-CMP-006|SAMPLE-O-002|delivered</v>
      </c>
    </row>
    <row r="80" customFormat="false" ht="15" hidden="false" customHeight="false" outlineLevel="0" collapsed="false">
      <c r="A80" s="11" t="n">
        <v>46441</v>
      </c>
      <c r="B80" s="38" t="n">
        <v>0.377083333333333</v>
      </c>
      <c r="C80" s="10" t="s">
        <v>563</v>
      </c>
      <c r="D80" s="10" t="s">
        <v>673</v>
      </c>
      <c r="E80" s="10" t="s">
        <v>105</v>
      </c>
      <c r="G80" s="0" t="n">
        <v>45</v>
      </c>
      <c r="I80" s="11"/>
      <c r="J80" s="10" t="s">
        <v>797</v>
      </c>
      <c r="L80" s="31" t="n">
        <f aca="false">IF($C80="","",IFERROR(IF(INDEX(campaigns!$BG$2:$BG$51,MATCH($C80,campaigns!$A$2:$A$51,0))="","",INDEX(campaigns!$BG$2:$BG$51,MATCH($C80,campaigns!$A$2:$A$51,0))),""))</f>
        <v>46441</v>
      </c>
      <c r="M80" s="30" t="n">
        <f aca="false">IF($C80="","",IF(OR($E80="received"),N($G80),IF(OR($E80="rejected",$E80="delivered",$E80="topped_up"),-N($G80),IF(AND(OR($E80="returned_to_brand",$E80="given_to_roster_office",$E80="released_to_office",$E80="disposed"),IF($F80="","reserve",$F80)="reserve"),-N($G80),IF(AND($E80="correction",IF($F80="","reserve",$F80)="reserve"),N($G80),0)))))</f>
        <v>-45</v>
      </c>
      <c r="N80" s="30" t="n">
        <f aca="false">IF($C80="","",IF($E80="rejected",N($G80),IF(AND(OR($E80="returned_to_brand",$E80="given_to_roster_office",$E80="released_to_office",$E80="disposed"),IF($F80="","reserve",$F80)="rejected"),-N($G80),IF(AND($E80="correction",IF($F80="","reserve",$F80)="rejected"),N($G80),0))))</f>
        <v>0</v>
      </c>
      <c r="O80" s="30" t="n">
        <f aca="false">IF($C80="","",IF($E80="collected",N($G80),IF(AND(OR($E80="returned_to_brand",$E80="given_to_roster_office",$E80="released_to_office",$E80="disposed"),IF($F80="","reserve",$F80)="leftover"),-N($G80),IF(AND($E80="correction",IF($F80="","reserve",$F80)="leftover"),N($G80),0))))</f>
        <v>0</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SAMPLE-CMP-006|SAMPLE-O-003|delivered</v>
      </c>
    </row>
    <row r="81" customFormat="false" ht="15" hidden="false" customHeight="false" outlineLevel="0" collapsed="false">
      <c r="A81" s="11" t="n">
        <v>46441</v>
      </c>
      <c r="B81" s="38" t="n">
        <v>0.429861111111111</v>
      </c>
      <c r="C81" s="10" t="s">
        <v>563</v>
      </c>
      <c r="D81" s="10" t="s">
        <v>676</v>
      </c>
      <c r="E81" s="10" t="s">
        <v>105</v>
      </c>
      <c r="G81" s="0" t="n">
        <v>45</v>
      </c>
      <c r="I81" s="11"/>
      <c r="J81" s="10" t="s">
        <v>797</v>
      </c>
      <c r="L81" s="31" t="n">
        <f aca="false">IF($C81="","",IFERROR(IF(INDEX(campaigns!$BG$2:$BG$51,MATCH($C81,campaigns!$A$2:$A$51,0))="","",INDEX(campaigns!$BG$2:$BG$51,MATCH($C81,campaigns!$A$2:$A$51,0))),""))</f>
        <v>46441</v>
      </c>
      <c r="M81" s="30" t="n">
        <f aca="false">IF($C81="","",IF(OR($E81="received"),N($G81),IF(OR($E81="rejected",$E81="delivered",$E81="topped_up"),-N($G81),IF(AND(OR($E81="returned_to_brand",$E81="given_to_roster_office",$E81="released_to_office",$E81="disposed"),IF($F81="","reserve",$F81)="reserve"),-N($G81),IF(AND($E81="correction",IF($F81="","reserve",$F81)="reserve"),N($G81),0)))))</f>
        <v>-45</v>
      </c>
      <c r="N81" s="30" t="n">
        <f aca="false">IF($C81="","",IF($E81="rejected",N($G81),IF(AND(OR($E81="returned_to_brand",$E81="given_to_roster_office",$E81="released_to_office",$E81="disposed"),IF($F81="","reserve",$F81)="rejected"),-N($G81),IF(AND($E81="correction",IF($F81="","reserve",$F81)="rejected"),N($G81),0))))</f>
        <v>0</v>
      </c>
      <c r="O81" s="30" t="n">
        <f aca="false">IF($C81="","",IF($E81="collected",N($G81),IF(AND(OR($E81="returned_to_brand",$E81="given_to_roster_office",$E81="released_to_office",$E81="disposed"),IF($F81="","reserve",$F81)="leftover"),-N($G81),IF(AND($E81="correction",IF($F81="","reserve",$F81)="leftover"),N($G81),0))))</f>
        <v>0</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SAMPLE-CMP-006|SAMPLE-O-004|delivered</v>
      </c>
    </row>
    <row r="82" customFormat="false" ht="15" hidden="false" customHeight="false" outlineLevel="0" collapsed="false">
      <c r="A82" s="11" t="n">
        <v>46441</v>
      </c>
      <c r="B82" s="38" t="n">
        <v>0.445138888888889</v>
      </c>
      <c r="C82" s="10" t="s">
        <v>563</v>
      </c>
      <c r="D82" s="10" t="s">
        <v>678</v>
      </c>
      <c r="E82" s="10" t="s">
        <v>105</v>
      </c>
      <c r="G82" s="0" t="n">
        <v>65</v>
      </c>
      <c r="I82" s="11"/>
      <c r="J82" s="10" t="s">
        <v>797</v>
      </c>
      <c r="L82" s="31" t="n">
        <f aca="false">IF($C82="","",IFERROR(IF(INDEX(campaigns!$BG$2:$BG$51,MATCH($C82,campaigns!$A$2:$A$51,0))="","",INDEX(campaigns!$BG$2:$BG$51,MATCH($C82,campaigns!$A$2:$A$51,0))),""))</f>
        <v>46441</v>
      </c>
      <c r="M82" s="30" t="n">
        <f aca="false">IF($C82="","",IF(OR($E82="received"),N($G82),IF(OR($E82="rejected",$E82="delivered",$E82="topped_up"),-N($G82),IF(AND(OR($E82="returned_to_brand",$E82="given_to_roster_office",$E82="released_to_office",$E82="disposed"),IF($F82="","reserve",$F82)="reserve"),-N($G82),IF(AND($E82="correction",IF($F82="","reserve",$F82)="reserve"),N($G82),0)))))</f>
        <v>-65</v>
      </c>
      <c r="N82" s="30" t="n">
        <f aca="false">IF($C82="","",IF($E82="rejected",N($G82),IF(AND(OR($E82="returned_to_brand",$E82="given_to_roster_office",$E82="released_to_office",$E82="disposed"),IF($F82="","reserve",$F82)="rejected"),-N($G82),IF(AND($E82="correction",IF($F82="","reserve",$F82)="rejected"),N($G82),0))))</f>
        <v>0</v>
      </c>
      <c r="O82" s="30" t="n">
        <f aca="false">IF($C82="","",IF($E82="collected",N($G82),IF(AND(OR($E82="returned_to_brand",$E82="given_to_roster_office",$E82="released_to_office",$E82="disposed"),IF($F82="","reserve",$F82)="leftover"),-N($G82),IF(AND($E82="correction",IF($F82="","reserve",$F82)="leftover"),N($G82),0))))</f>
        <v>0</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SAMPLE-CMP-006|SAMPLE-O-005|delivered</v>
      </c>
    </row>
    <row r="83" customFormat="false" ht="15" hidden="false" customHeight="false" outlineLevel="0" collapsed="false">
      <c r="A83" s="11" t="n">
        <v>46443</v>
      </c>
      <c r="B83" s="38" t="n">
        <v>0.541666666666667</v>
      </c>
      <c r="C83" s="10" t="s">
        <v>563</v>
      </c>
      <c r="D83" s="10" t="s">
        <v>678</v>
      </c>
      <c r="E83" s="10" t="s">
        <v>786</v>
      </c>
      <c r="G83" s="0" t="n">
        <v>6</v>
      </c>
      <c r="I83" s="11"/>
      <c r="J83" s="10" t="s">
        <v>778</v>
      </c>
      <c r="L83" s="31" t="n">
        <f aca="false">IF($C83="","",IFERROR(IF(INDEX(campaigns!$BG$2:$BG$51,MATCH($C83,campaigns!$A$2:$A$51,0))="","",INDEX(campaigns!$BG$2:$BG$51,MATCH($C83,campaigns!$A$2:$A$51,0))),""))</f>
        <v>46441</v>
      </c>
      <c r="M83" s="30" t="n">
        <f aca="false">IF($C83="","",IF(OR($E83="received"),N($G83),IF(OR($E83="rejected",$E83="delivered",$E83="topped_up"),-N($G83),IF(AND(OR($E83="returned_to_brand",$E83="given_to_roster_office",$E83="released_to_office",$E83="disposed"),IF($F83="","reserve",$F83)="reserve"),-N($G83),IF(AND($E83="correction",IF($F83="","reserve",$F83)="reserve"),N($G83),0)))))</f>
        <v>-6</v>
      </c>
      <c r="N83" s="30" t="n">
        <f aca="false">IF($C83="","",IF($E83="rejected",N($G83),IF(AND(OR($E83="returned_to_brand",$E83="given_to_roster_office",$E83="released_to_office",$E83="disposed"),IF($F83="","reserve",$F83)="rejected"),-N($G83),IF(AND($E83="correction",IF($F83="","reserve",$F83)="rejected"),N($G83),0))))</f>
        <v>0</v>
      </c>
      <c r="O83" s="30" t="n">
        <f aca="false">IF($C83="","",IF($E83="collected",N($G83),IF(AND(OR($E83="returned_to_brand",$E83="given_to_roster_office",$E83="released_to_office",$E83="disposed"),IF($F83="","reserve",$F83)="leftover"),-N($G83),IF(AND($E83="correction",IF($F83="","reserve",$F83)="leftover"),N($G83),0))))</f>
        <v>0</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SAMPLE-CMP-006|SAMPLE-O-005|topped_up</v>
      </c>
    </row>
    <row r="84" customFormat="false" ht="15" hidden="false" customHeight="false" outlineLevel="0" collapsed="false">
      <c r="A84" s="11" t="n">
        <v>46441</v>
      </c>
      <c r="B84" s="38" t="n">
        <v>0.402083333333333</v>
      </c>
      <c r="C84" s="10" t="s">
        <v>563</v>
      </c>
      <c r="D84" s="10" t="s">
        <v>682</v>
      </c>
      <c r="E84" s="10" t="s">
        <v>105</v>
      </c>
      <c r="G84" s="0" t="n">
        <v>55</v>
      </c>
      <c r="I84" s="11"/>
      <c r="J84" s="10" t="s">
        <v>797</v>
      </c>
      <c r="L84" s="31" t="n">
        <f aca="false">IF($C84="","",IFERROR(IF(INDEX(campaigns!$BG$2:$BG$51,MATCH($C84,campaigns!$A$2:$A$51,0))="","",INDEX(campaigns!$BG$2:$BG$51,MATCH($C84,campaigns!$A$2:$A$51,0))),""))</f>
        <v>46441</v>
      </c>
      <c r="M84" s="30" t="n">
        <f aca="false">IF($C84="","",IF(OR($E84="received"),N($G84),IF(OR($E84="rejected",$E84="delivered",$E84="topped_up"),-N($G84),IF(AND(OR($E84="returned_to_brand",$E84="given_to_roster_office",$E84="released_to_office",$E84="disposed"),IF($F84="","reserve",$F84)="reserve"),-N($G84),IF(AND($E84="correction",IF($F84="","reserve",$F84)="reserve"),N($G84),0)))))</f>
        <v>-55</v>
      </c>
      <c r="N84" s="30" t="n">
        <f aca="false">IF($C84="","",IF($E84="rejected",N($G84),IF(AND(OR($E84="returned_to_brand",$E84="given_to_roster_office",$E84="released_to_office",$E84="disposed"),IF($F84="","reserve",$F84)="rejected"),-N($G84),IF(AND($E84="correction",IF($F84="","reserve",$F84)="rejected"),N($G84),0))))</f>
        <v>0</v>
      </c>
      <c r="O84" s="30" t="n">
        <f aca="false">IF($C84="","",IF($E84="collected",N($G84),IF(AND(OR($E84="returned_to_brand",$E84="given_to_roster_office",$E84="released_to_office",$E84="disposed"),IF($F84="","reserve",$F84)="leftover"),-N($G84),IF(AND($E84="correction",IF($F84="","reserve",$F84)="leftover"),N($G84),0))))</f>
        <v>0</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SAMPLE-CMP-006|SAMPLE-O-007|delivered</v>
      </c>
    </row>
    <row r="85" customFormat="false" ht="15" hidden="false" customHeight="false" outlineLevel="0" collapsed="false">
      <c r="A85" s="11" t="n">
        <v>46441</v>
      </c>
      <c r="B85" s="38" t="n">
        <v>0.415972222222222</v>
      </c>
      <c r="C85" s="10" t="s">
        <v>563</v>
      </c>
      <c r="D85" s="10" t="s">
        <v>684</v>
      </c>
      <c r="E85" s="10" t="s">
        <v>105</v>
      </c>
      <c r="G85" s="0" t="n">
        <v>40</v>
      </c>
      <c r="I85" s="11"/>
      <c r="J85" s="10" t="s">
        <v>797</v>
      </c>
      <c r="L85" s="31" t="n">
        <f aca="false">IF($C85="","",IFERROR(IF(INDEX(campaigns!$BG$2:$BG$51,MATCH($C85,campaigns!$A$2:$A$51,0))="","",INDEX(campaigns!$BG$2:$BG$51,MATCH($C85,campaigns!$A$2:$A$51,0))),""))</f>
        <v>46441</v>
      </c>
      <c r="M85" s="30" t="n">
        <f aca="false">IF($C85="","",IF(OR($E85="received"),N($G85),IF(OR($E85="rejected",$E85="delivered",$E85="topped_up"),-N($G85),IF(AND(OR($E85="returned_to_brand",$E85="given_to_roster_office",$E85="released_to_office",$E85="disposed"),IF($F85="","reserve",$F85)="reserve"),-N($G85),IF(AND($E85="correction",IF($F85="","reserve",$F85)="reserve"),N($G85),0)))))</f>
        <v>-40</v>
      </c>
      <c r="N85" s="30" t="n">
        <f aca="false">IF($C85="","",IF($E85="rejected",N($G85),IF(AND(OR($E85="returned_to_brand",$E85="given_to_roster_office",$E85="released_to_office",$E85="disposed"),IF($F85="","reserve",$F85)="rejected"),-N($G85),IF(AND($E85="correction",IF($F85="","reserve",$F85)="rejected"),N($G85),0))))</f>
        <v>0</v>
      </c>
      <c r="O85" s="30" t="n">
        <f aca="false">IF($C85="","",IF($E85="collected",N($G85),IF(AND(OR($E85="returned_to_brand",$E85="given_to_roster_office",$E85="released_to_office",$E85="disposed"),IF($F85="","reserve",$F85)="leftover"),-N($G85),IF(AND($E85="correction",IF($F85="","reserve",$F85)="leftover"),N($G85),0))))</f>
        <v>0</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SAMPLE-CMP-006|SAMPLE-O-008|delivered</v>
      </c>
    </row>
    <row r="86" customFormat="false" ht="15" hidden="false" customHeight="false" outlineLevel="0" collapsed="false">
      <c r="A86" s="11" t="n">
        <v>46441</v>
      </c>
      <c r="B86" s="38" t="n">
        <v>0.460416666666667</v>
      </c>
      <c r="C86" s="10" t="s">
        <v>563</v>
      </c>
      <c r="D86" s="10" t="s">
        <v>686</v>
      </c>
      <c r="E86" s="10" t="s">
        <v>105</v>
      </c>
      <c r="G86" s="0" t="n">
        <v>70</v>
      </c>
      <c r="I86" s="11"/>
      <c r="J86" s="10" t="s">
        <v>797</v>
      </c>
      <c r="L86" s="31" t="n">
        <f aca="false">IF($C86="","",IFERROR(IF(INDEX(campaigns!$BG$2:$BG$51,MATCH($C86,campaigns!$A$2:$A$51,0))="","",INDEX(campaigns!$BG$2:$BG$51,MATCH($C86,campaigns!$A$2:$A$51,0))),""))</f>
        <v>46441</v>
      </c>
      <c r="M86" s="30" t="n">
        <f aca="false">IF($C86="","",IF(OR($E86="received"),N($G86),IF(OR($E86="rejected",$E86="delivered",$E86="topped_up"),-N($G86),IF(AND(OR($E86="returned_to_brand",$E86="given_to_roster_office",$E86="released_to_office",$E86="disposed"),IF($F86="","reserve",$F86)="reserve"),-N($G86),IF(AND($E86="correction",IF($F86="","reserve",$F86)="reserve"),N($G86),0)))))</f>
        <v>-70</v>
      </c>
      <c r="N86" s="30" t="n">
        <f aca="false">IF($C86="","",IF($E86="rejected",N($G86),IF(AND(OR($E86="returned_to_brand",$E86="given_to_roster_office",$E86="released_to_office",$E86="disposed"),IF($F86="","reserve",$F86)="rejected"),-N($G86),IF(AND($E86="correction",IF($F86="","reserve",$F86)="rejected"),N($G86),0))))</f>
        <v>0</v>
      </c>
      <c r="O86" s="30" t="n">
        <f aca="false">IF($C86="","",IF($E86="collected",N($G86),IF(AND(OR($E86="returned_to_brand",$E86="given_to_roster_office",$E86="released_to_office",$E86="disposed"),IF($F86="","reserve",$F86)="leftover"),-N($G86),IF(AND($E86="correction",IF($F86="","reserve",$F86)="leftover"),N($G86),0))))</f>
        <v>0</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SAMPLE-CMP-006|SAMPLE-O-009|delivered</v>
      </c>
    </row>
    <row r="87" customFormat="false" ht="15" hidden="false" customHeight="false" outlineLevel="0" collapsed="false">
      <c r="A87" s="11" t="n">
        <v>46443</v>
      </c>
      <c r="B87" s="38" t="n">
        <v>0.541666666666667</v>
      </c>
      <c r="C87" s="10" t="s">
        <v>563</v>
      </c>
      <c r="D87" s="10" t="s">
        <v>686</v>
      </c>
      <c r="E87" s="10" t="s">
        <v>786</v>
      </c>
      <c r="G87" s="0" t="n">
        <v>6</v>
      </c>
      <c r="I87" s="11"/>
      <c r="J87" s="10" t="s">
        <v>778</v>
      </c>
      <c r="L87" s="31" t="n">
        <f aca="false">IF($C87="","",IFERROR(IF(INDEX(campaigns!$BG$2:$BG$51,MATCH($C87,campaigns!$A$2:$A$51,0))="","",INDEX(campaigns!$BG$2:$BG$51,MATCH($C87,campaigns!$A$2:$A$51,0))),""))</f>
        <v>46441</v>
      </c>
      <c r="M87" s="30" t="n">
        <f aca="false">IF($C87="","",IF(OR($E87="received"),N($G87),IF(OR($E87="rejected",$E87="delivered",$E87="topped_up"),-N($G87),IF(AND(OR($E87="returned_to_brand",$E87="given_to_roster_office",$E87="released_to_office",$E87="disposed"),IF($F87="","reserve",$F87)="reserve"),-N($G87),IF(AND($E87="correction",IF($F87="","reserve",$F87)="reserve"),N($G87),0)))))</f>
        <v>-6</v>
      </c>
      <c r="N87" s="30" t="n">
        <f aca="false">IF($C87="","",IF($E87="rejected",N($G87),IF(AND(OR($E87="returned_to_brand",$E87="given_to_roster_office",$E87="released_to_office",$E87="disposed"),IF($F87="","reserve",$F87)="rejected"),-N($G87),IF(AND($E87="correction",IF($F87="","reserve",$F87)="rejected"),N($G87),0))))</f>
        <v>0</v>
      </c>
      <c r="O87" s="30" t="n">
        <f aca="false">IF($C87="","",IF($E87="collected",N($G87),IF(AND(OR($E87="returned_to_brand",$E87="given_to_roster_office",$E87="released_to_office",$E87="disposed"),IF($F87="","reserve",$F87)="leftover"),-N($G87),IF(AND($E87="correction",IF($F87="","reserve",$F87)="leftover"),N($G87),0))))</f>
        <v>0</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SAMPLE-CMP-006|SAMPLE-O-009|topped_up</v>
      </c>
    </row>
    <row r="88" customFormat="false" ht="15" hidden="false" customHeight="false" outlineLevel="0" collapsed="false">
      <c r="A88" s="11" t="n">
        <v>46441</v>
      </c>
      <c r="B88" s="38" t="n">
        <v>0.361805555555556</v>
      </c>
      <c r="C88" s="10" t="s">
        <v>563</v>
      </c>
      <c r="D88" s="10" t="s">
        <v>688</v>
      </c>
      <c r="E88" s="10" t="s">
        <v>105</v>
      </c>
      <c r="G88" s="0" t="n">
        <v>35</v>
      </c>
      <c r="I88" s="11"/>
      <c r="J88" s="10" t="s">
        <v>797</v>
      </c>
      <c r="L88" s="31" t="n">
        <f aca="false">IF($C88="","",IFERROR(IF(INDEX(campaigns!$BG$2:$BG$51,MATCH($C88,campaigns!$A$2:$A$51,0))="","",INDEX(campaigns!$BG$2:$BG$51,MATCH($C88,campaigns!$A$2:$A$51,0))),""))</f>
        <v>46441</v>
      </c>
      <c r="M88" s="30" t="n">
        <f aca="false">IF($C88="","",IF(OR($E88="received"),N($G88),IF(OR($E88="rejected",$E88="delivered",$E88="topped_up"),-N($G88),IF(AND(OR($E88="returned_to_brand",$E88="given_to_roster_office",$E88="released_to_office",$E88="disposed"),IF($F88="","reserve",$F88)="reserve"),-N($G88),IF(AND($E88="correction",IF($F88="","reserve",$F88)="reserve"),N($G88),0)))))</f>
        <v>-35</v>
      </c>
      <c r="N88" s="30" t="n">
        <f aca="false">IF($C88="","",IF($E88="rejected",N($G88),IF(AND(OR($E88="returned_to_brand",$E88="given_to_roster_office",$E88="released_to_office",$E88="disposed"),IF($F88="","reserve",$F88)="rejected"),-N($G88),IF(AND($E88="correction",IF($F88="","reserve",$F88)="rejected"),N($G88),0))))</f>
        <v>0</v>
      </c>
      <c r="O88" s="30" t="n">
        <f aca="false">IF($C88="","",IF($E88="collected",N($G88),IF(AND(OR($E88="returned_to_brand",$E88="given_to_roster_office",$E88="released_to_office",$E88="disposed"),IF($F88="","reserve",$F88)="leftover"),-N($G88),IF(AND($E88="correction",IF($F88="","reserve",$F88)="leftover"),N($G88),0))))</f>
        <v>0</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SAMPLE-CMP-006|SAMPLE-O-010|delivered</v>
      </c>
    </row>
    <row r="89" customFormat="false" ht="15" hidden="false" customHeight="false" outlineLevel="0" collapsed="false">
      <c r="A89" s="11" t="n">
        <v>46447</v>
      </c>
      <c r="B89" s="38" t="n">
        <v>0.708333333333333</v>
      </c>
      <c r="C89" s="10" t="s">
        <v>563</v>
      </c>
      <c r="D89" s="10" t="s">
        <v>678</v>
      </c>
      <c r="E89" s="10" t="s">
        <v>787</v>
      </c>
      <c r="F89" s="0" t="s">
        <v>788</v>
      </c>
      <c r="G89" s="0" t="n">
        <v>43</v>
      </c>
      <c r="I89" s="11"/>
      <c r="J89" s="10" t="s">
        <v>778</v>
      </c>
      <c r="K89" s="10" t="s">
        <v>801</v>
      </c>
      <c r="L89" s="31" t="n">
        <f aca="false">IF($C89="","",IFERROR(IF(INDEX(campaigns!$BG$2:$BG$51,MATCH($C89,campaigns!$A$2:$A$51,0))="","",INDEX(campaigns!$BG$2:$BG$51,MATCH($C89,campaigns!$A$2:$A$51,0))),""))</f>
        <v>46441</v>
      </c>
      <c r="M89" s="30" t="n">
        <f aca="false">IF($C89="","",IF(OR($E89="received"),N($G89),IF(OR($E89="rejected",$E89="delivered",$E89="topped_up"),-N($G89),IF(AND(OR($E89="returned_to_brand",$E89="given_to_roster_office",$E89="released_to_office",$E89="disposed"),IF($F89="","reserve",$F89)="reserve"),-N($G89),IF(AND($E89="correction",IF($F89="","reserve",$F89)="reserve"),N($G89),0)))))</f>
        <v>-43</v>
      </c>
      <c r="N89" s="30" t="n">
        <f aca="false">IF($C89="","",IF($E89="rejected",N($G89),IF(AND(OR($E89="returned_to_brand",$E89="given_to_roster_office",$E89="released_to_office",$E89="disposed"),IF($F89="","reserve",$F89)="rejected"),-N($G89),IF(AND($E89="correction",IF($F89="","reserve",$F89)="rejected"),N($G89),0))))</f>
        <v>0</v>
      </c>
      <c r="O89" s="30" t="n">
        <f aca="false">IF($C89="","",IF($E89="collected",N($G89),IF(AND(OR($E89="returned_to_brand",$E89="given_to_roster_office",$E89="released_to_office",$E89="disposed"),IF($F89="","reserve",$F89)="leftover"),-N($G89),IF(AND($E89="correction",IF($F89="","reserve",$F89)="leftover"),N($G89),0))))</f>
        <v>0</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SAMPLE-CMP-006|SAMPLE-O-005|released_to_office</v>
      </c>
    </row>
    <row r="90" customFormat="false" ht="15" hidden="false" customHeight="false" outlineLevel="0" collapsed="false">
      <c r="A90" s="11" t="n">
        <v>46462</v>
      </c>
      <c r="B90" s="38" t="n">
        <v>0.583333333333333</v>
      </c>
      <c r="C90" s="10" t="s">
        <v>576</v>
      </c>
      <c r="E90" s="10" t="s">
        <v>675</v>
      </c>
      <c r="G90" s="0" t="n">
        <v>52</v>
      </c>
      <c r="H90" s="10" t="s">
        <v>802</v>
      </c>
      <c r="I90" s="11" t="n">
        <v>46630</v>
      </c>
      <c r="J90" s="10" t="s">
        <v>778</v>
      </c>
      <c r="K90" s="10" t="s">
        <v>803</v>
      </c>
      <c r="L90" s="31" t="n">
        <f aca="false">IF($C90="","",IFERROR(IF(INDEX(campaigns!$BG$2:$BG$51,MATCH($C90,campaigns!$A$2:$A$51,0))="","",INDEX(campaigns!$BG$2:$BG$51,MATCH($C90,campaigns!$A$2:$A$51,0))),""))</f>
        <v>46469</v>
      </c>
      <c r="M90" s="30" t="n">
        <f aca="false">IF($C90="","",IF(OR($E90="received"),N($G90),IF(OR($E90="rejected",$E90="delivered",$E90="topped_up"),-N($G90),IF(AND(OR($E90="returned_to_brand",$E90="given_to_roster_office",$E90="released_to_office",$E90="disposed"),IF($F90="","reserve",$F90)="reserve"),-N($G90),IF(AND($E90="correction",IF($F90="","reserve",$F90)="reserve"),N($G90),0)))))</f>
        <v>52</v>
      </c>
      <c r="N90" s="30" t="n">
        <f aca="false">IF($C90="","",IF($E90="rejected",N($G90),IF(AND(OR($E90="returned_to_brand",$E90="given_to_roster_office",$E90="released_to_office",$E90="disposed"),IF($F90="","reserve",$F90)="rejected"),-N($G90),IF(AND($E90="correction",IF($F90="","reserve",$F90)="rejected"),N($G90),0))))</f>
        <v>0</v>
      </c>
      <c r="O90" s="30" t="n">
        <f aca="false">IF($C90="","",IF($E90="collected",N($G90),IF(AND(OR($E90="returned_to_brand",$E90="given_to_roster_office",$E90="released_to_office",$E90="disposed"),IF($F90="","reserve",$F90)="leftover"),-N($G90),IF(AND($E90="correction",IF($F90="","reserve",$F90)="leftover"),N($G90),0))))</f>
        <v>0</v>
      </c>
      <c r="P90" s="30" t="str">
        <f aca="false">IF(OR($E90&lt;&gt;"received",$I90="",$L90=""),"",IF($I90&gt;=$L90+config!$B$19,"Y","N"))</f>
        <v>Y</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SAMPLE-CMP-007||received</v>
      </c>
    </row>
    <row r="91" customFormat="false" ht="15" hidden="false" customHeight="false" outlineLevel="0" collapsed="false">
      <c r="A91" s="11" t="n">
        <v>46462</v>
      </c>
      <c r="B91" s="38" t="n">
        <v>0.586805555555556</v>
      </c>
      <c r="C91" s="10" t="s">
        <v>576</v>
      </c>
      <c r="E91" s="10" t="s">
        <v>675</v>
      </c>
      <c r="G91" s="0" t="n">
        <v>75</v>
      </c>
      <c r="H91" s="10" t="s">
        <v>802</v>
      </c>
      <c r="I91" s="11" t="n">
        <v>46630</v>
      </c>
      <c r="J91" s="10" t="s">
        <v>778</v>
      </c>
      <c r="K91" s="10" t="s">
        <v>804</v>
      </c>
      <c r="L91" s="31" t="n">
        <f aca="false">IF($C91="","",IFERROR(IF(INDEX(campaigns!$BG$2:$BG$51,MATCH($C91,campaigns!$A$2:$A$51,0))="","",INDEX(campaigns!$BG$2:$BG$51,MATCH($C91,campaigns!$A$2:$A$51,0))),""))</f>
        <v>46469</v>
      </c>
      <c r="M91" s="30" t="n">
        <f aca="false">IF($C91="","",IF(OR($E91="received"),N($G91),IF(OR($E91="rejected",$E91="delivered",$E91="topped_up"),-N($G91),IF(AND(OR($E91="returned_to_brand",$E91="given_to_roster_office",$E91="released_to_office",$E91="disposed"),IF($F91="","reserve",$F91)="reserve"),-N($G91),IF(AND($E91="correction",IF($F91="","reserve",$F91)="reserve"),N($G91),0)))))</f>
        <v>75</v>
      </c>
      <c r="N91" s="30" t="n">
        <f aca="false">IF($C91="","",IF($E91="rejected",N($G91),IF(AND(OR($E91="returned_to_brand",$E91="given_to_roster_office",$E91="released_to_office",$E91="disposed"),IF($F91="","reserve",$F91)="rejected"),-N($G91),IF(AND($E91="correction",IF($F91="","reserve",$F91)="rejected"),N($G91),0))))</f>
        <v>0</v>
      </c>
      <c r="O91" s="30" t="n">
        <f aca="false">IF($C91="","",IF($E91="collected",N($G91),IF(AND(OR($E91="returned_to_brand",$E91="given_to_roster_office",$E91="released_to_office",$E91="disposed"),IF($F91="","reserve",$F91)="leftover"),-N($G91),IF(AND($E91="correction",IF($F91="","reserve",$F91)="leftover"),N($G91),0))))</f>
        <v>0</v>
      </c>
      <c r="P91" s="30" t="str">
        <f aca="false">IF(OR($E91&lt;&gt;"received",$I91="",$L91=""),"",IF($I91&gt;=$L91+config!$B$19,"Y","N"))</f>
        <v>Y</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SAMPLE-CMP-007||received</v>
      </c>
    </row>
    <row r="92" customFormat="false" ht="15" hidden="false" customHeight="false" outlineLevel="0" collapsed="false">
      <c r="A92" s="11" t="n">
        <v>46462</v>
      </c>
      <c r="B92" s="38" t="n">
        <v>0.583333333333333</v>
      </c>
      <c r="C92" s="10" t="s">
        <v>579</v>
      </c>
      <c r="E92" s="10" t="s">
        <v>675</v>
      </c>
      <c r="G92" s="0" t="n">
        <v>52</v>
      </c>
      <c r="H92" s="10" t="s">
        <v>805</v>
      </c>
      <c r="I92" s="11" t="n">
        <v>46660</v>
      </c>
      <c r="J92" s="10" t="s">
        <v>778</v>
      </c>
      <c r="K92" s="10" t="s">
        <v>803</v>
      </c>
      <c r="L92" s="31" t="n">
        <f aca="false">IF($C92="","",IFERROR(IF(INDEX(campaigns!$BG$2:$BG$51,MATCH($C92,campaigns!$A$2:$A$51,0))="","",INDEX(campaigns!$BG$2:$BG$51,MATCH($C92,campaigns!$A$2:$A$51,0))),""))</f>
        <v>46469</v>
      </c>
      <c r="M92" s="30" t="n">
        <f aca="false">IF($C92="","",IF(OR($E92="received"),N($G92),IF(OR($E92="rejected",$E92="delivered",$E92="topped_up"),-N($G92),IF(AND(OR($E92="returned_to_brand",$E92="given_to_roster_office",$E92="released_to_office",$E92="disposed"),IF($F92="","reserve",$F92)="reserve"),-N($G92),IF(AND($E92="correction",IF($F92="","reserve",$F92)="reserve"),N($G92),0)))))</f>
        <v>52</v>
      </c>
      <c r="N92" s="30" t="n">
        <f aca="false">IF($C92="","",IF($E92="rejected",N($G92),IF(AND(OR($E92="returned_to_brand",$E92="given_to_roster_office",$E92="released_to_office",$E92="disposed"),IF($F92="","reserve",$F92)="rejected"),-N($G92),IF(AND($E92="correction",IF($F92="","reserve",$F92)="rejected"),N($G92),0))))</f>
        <v>0</v>
      </c>
      <c r="O92" s="30" t="n">
        <f aca="false">IF($C92="","",IF($E92="collected",N($G92),IF(AND(OR($E92="returned_to_brand",$E92="given_to_roster_office",$E92="released_to_office",$E92="disposed"),IF($F92="","reserve",$F92)="leftover"),-N($G92),IF(AND($E92="correction",IF($F92="","reserve",$F92)="leftover"),N($G92),0))))</f>
        <v>0</v>
      </c>
      <c r="P92" s="30" t="str">
        <f aca="false">IF(OR($E92&lt;&gt;"received",$I92="",$L92=""),"",IF($I92&gt;=$L92+config!$B$19,"Y","N"))</f>
        <v>Y</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SAMPLE-CMP-008||received</v>
      </c>
    </row>
    <row r="93" customFormat="false" ht="15" hidden="false" customHeight="false" outlineLevel="0" collapsed="false">
      <c r="A93" s="11" t="n">
        <v>46462</v>
      </c>
      <c r="B93" s="38" t="n">
        <v>0.586805555555556</v>
      </c>
      <c r="C93" s="10" t="s">
        <v>579</v>
      </c>
      <c r="E93" s="10" t="s">
        <v>675</v>
      </c>
      <c r="G93" s="0" t="n">
        <v>75</v>
      </c>
      <c r="H93" s="10" t="s">
        <v>805</v>
      </c>
      <c r="I93" s="11" t="n">
        <v>46660</v>
      </c>
      <c r="J93" s="10" t="s">
        <v>778</v>
      </c>
      <c r="K93" s="10" t="s">
        <v>804</v>
      </c>
      <c r="L93" s="31" t="n">
        <f aca="false">IF($C93="","",IFERROR(IF(INDEX(campaigns!$BG$2:$BG$51,MATCH($C93,campaigns!$A$2:$A$51,0))="","",INDEX(campaigns!$BG$2:$BG$51,MATCH($C93,campaigns!$A$2:$A$51,0))),""))</f>
        <v>46469</v>
      </c>
      <c r="M93" s="30" t="n">
        <f aca="false">IF($C93="","",IF(OR($E93="received"),N($G93),IF(OR($E93="rejected",$E93="delivered",$E93="topped_up"),-N($G93),IF(AND(OR($E93="returned_to_brand",$E93="given_to_roster_office",$E93="released_to_office",$E93="disposed"),IF($F93="","reserve",$F93)="reserve"),-N($G93),IF(AND($E93="correction",IF($F93="","reserve",$F93)="reserve"),N($G93),0)))))</f>
        <v>75</v>
      </c>
      <c r="N93" s="30" t="n">
        <f aca="false">IF($C93="","",IF($E93="rejected",N($G93),IF(AND(OR($E93="returned_to_brand",$E93="given_to_roster_office",$E93="released_to_office",$E93="disposed"),IF($F93="","reserve",$F93)="rejected"),-N($G93),IF(AND($E93="correction",IF($F93="","reserve",$F93)="rejected"),N($G93),0))))</f>
        <v>0</v>
      </c>
      <c r="O93" s="30" t="n">
        <f aca="false">IF($C93="","",IF($E93="collected",N($G93),IF(AND(OR($E93="returned_to_brand",$E93="given_to_roster_office",$E93="released_to_office",$E93="disposed"),IF($F93="","reserve",$F93)="leftover"),-N($G93),IF(AND($E93="correction",IF($F93="","reserve",$F93)="leftover"),N($G93),0))))</f>
        <v>0</v>
      </c>
      <c r="P93" s="30" t="str">
        <f aca="false">IF(OR($E93&lt;&gt;"received",$I93="",$L93=""),"",IF($I93&gt;=$L93+config!$B$19,"Y","N"))</f>
        <v>Y</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SAMPLE-CMP-008||received</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766</v>
      </c>
      <c r="C1" s="28" t="s">
        <v>358</v>
      </c>
      <c r="D1" s="28" t="s">
        <v>632</v>
      </c>
      <c r="E1" s="28" t="s">
        <v>806</v>
      </c>
      <c r="F1" s="28" t="s">
        <v>85</v>
      </c>
      <c r="G1" s="28" t="s">
        <v>807</v>
      </c>
      <c r="H1" s="28" t="s">
        <v>808</v>
      </c>
      <c r="I1" s="28" t="s">
        <v>178</v>
      </c>
      <c r="J1" s="29" t="s">
        <v>809</v>
      </c>
      <c r="K1" s="29" t="s">
        <v>120</v>
      </c>
    </row>
    <row r="2" customFormat="false" ht="15" hidden="false" customHeight="false" outlineLevel="0" collapsed="false">
      <c r="A2" s="11" t="n">
        <v>46399</v>
      </c>
      <c r="B2" s="38" t="n">
        <v>0.356944444444445</v>
      </c>
      <c r="C2" s="10" t="s">
        <v>472</v>
      </c>
      <c r="D2" s="10" t="s">
        <v>668</v>
      </c>
      <c r="E2" s="10" t="s">
        <v>810</v>
      </c>
      <c r="F2" s="0" t="n">
        <v>40</v>
      </c>
      <c r="G2" s="10" t="s">
        <v>811</v>
      </c>
      <c r="H2" s="10" t="s">
        <v>812</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472</v>
      </c>
      <c r="D3" s="10" t="s">
        <v>668</v>
      </c>
      <c r="E3" s="10" t="s">
        <v>710</v>
      </c>
      <c r="F3" s="0" t="n">
        <v>4</v>
      </c>
      <c r="G3" s="10" t="s">
        <v>813</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472</v>
      </c>
      <c r="D4" s="10" t="s">
        <v>668</v>
      </c>
      <c r="E4" s="10" t="s">
        <v>711</v>
      </c>
      <c r="F4" s="0" t="n">
        <v>1</v>
      </c>
      <c r="G4" s="10" t="s">
        <v>811</v>
      </c>
      <c r="H4" s="10" t="s">
        <v>814</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472</v>
      </c>
      <c r="D5" s="10" t="s">
        <v>671</v>
      </c>
      <c r="E5" s="10" t="s">
        <v>810</v>
      </c>
      <c r="F5" s="0" t="n">
        <v>38</v>
      </c>
      <c r="G5" s="10" t="s">
        <v>811</v>
      </c>
      <c r="H5" s="10" t="s">
        <v>815</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472</v>
      </c>
      <c r="D6" s="10" t="s">
        <v>671</v>
      </c>
      <c r="E6" s="10" t="s">
        <v>710</v>
      </c>
      <c r="F6" s="0" t="n">
        <v>15</v>
      </c>
      <c r="G6" s="10" t="s">
        <v>813</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472</v>
      </c>
      <c r="D7" s="10" t="s">
        <v>671</v>
      </c>
      <c r="E7" s="10" t="s">
        <v>711</v>
      </c>
      <c r="F7" s="0" t="n">
        <v>7</v>
      </c>
      <c r="G7" s="10" t="s">
        <v>811</v>
      </c>
      <c r="H7" s="10" t="s">
        <v>816</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472</v>
      </c>
      <c r="D8" s="10" t="s">
        <v>673</v>
      </c>
      <c r="E8" s="10" t="s">
        <v>810</v>
      </c>
      <c r="F8" s="0" t="n">
        <v>50</v>
      </c>
      <c r="G8" s="10" t="s">
        <v>811</v>
      </c>
      <c r="H8" s="10" t="s">
        <v>817</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472</v>
      </c>
      <c r="D9" s="10" t="s">
        <v>673</v>
      </c>
      <c r="E9" s="10" t="s">
        <v>710</v>
      </c>
      <c r="F9" s="0" t="n">
        <v>18</v>
      </c>
      <c r="G9" s="10" t="s">
        <v>813</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472</v>
      </c>
      <c r="D10" s="10" t="s">
        <v>673</v>
      </c>
      <c r="E10" s="10" t="s">
        <v>711</v>
      </c>
      <c r="F10" s="0" t="n">
        <v>9</v>
      </c>
      <c r="G10" s="10" t="s">
        <v>811</v>
      </c>
      <c r="H10" s="10" t="s">
        <v>818</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472</v>
      </c>
      <c r="D11" s="10" t="s">
        <v>676</v>
      </c>
      <c r="E11" s="10" t="s">
        <v>810</v>
      </c>
      <c r="F11" s="0" t="n">
        <v>50</v>
      </c>
      <c r="G11" s="10" t="s">
        <v>811</v>
      </c>
      <c r="H11" s="10" t="s">
        <v>819</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472</v>
      </c>
      <c r="D12" s="10" t="s">
        <v>676</v>
      </c>
      <c r="E12" s="10" t="s">
        <v>710</v>
      </c>
      <c r="F12" s="0" t="n">
        <v>41</v>
      </c>
      <c r="G12" s="10" t="s">
        <v>813</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472</v>
      </c>
      <c r="D13" s="10" t="s">
        <v>676</v>
      </c>
      <c r="E13" s="10" t="s">
        <v>711</v>
      </c>
      <c r="F13" s="0" t="n">
        <v>28</v>
      </c>
      <c r="G13" s="10" t="s">
        <v>811</v>
      </c>
      <c r="H13" s="10" t="s">
        <v>820</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472</v>
      </c>
      <c r="D14" s="10" t="s">
        <v>678</v>
      </c>
      <c r="E14" s="10" t="s">
        <v>810</v>
      </c>
      <c r="F14" s="0" t="n">
        <v>70</v>
      </c>
      <c r="G14" s="10" t="s">
        <v>811</v>
      </c>
      <c r="H14" s="10" t="s">
        <v>821</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472</v>
      </c>
      <c r="D15" s="10" t="s">
        <v>678</v>
      </c>
      <c r="E15" s="10" t="s">
        <v>710</v>
      </c>
      <c r="F15" s="0" t="n">
        <v>22</v>
      </c>
      <c r="G15" s="10" t="s">
        <v>813</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472</v>
      </c>
      <c r="D16" s="10" t="s">
        <v>678</v>
      </c>
      <c r="E16" s="10" t="s">
        <v>711</v>
      </c>
      <c r="F16" s="0" t="n">
        <v>8</v>
      </c>
      <c r="G16" s="10" t="s">
        <v>811</v>
      </c>
      <c r="H16" s="10" t="s">
        <v>822</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498</v>
      </c>
      <c r="D17" s="10" t="s">
        <v>668</v>
      </c>
      <c r="E17" s="10" t="s">
        <v>810</v>
      </c>
      <c r="F17" s="0" t="n">
        <v>40</v>
      </c>
      <c r="G17" s="10" t="s">
        <v>811</v>
      </c>
      <c r="H17" s="10" t="s">
        <v>823</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498</v>
      </c>
      <c r="D18" s="10" t="s">
        <v>668</v>
      </c>
      <c r="E18" s="10" t="s">
        <v>710</v>
      </c>
      <c r="F18" s="0" t="n">
        <v>14</v>
      </c>
      <c r="G18" s="10" t="s">
        <v>813</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498</v>
      </c>
      <c r="D19" s="10" t="s">
        <v>668</v>
      </c>
      <c r="E19" s="10" t="s">
        <v>711</v>
      </c>
      <c r="F19" s="0" t="n">
        <v>3</v>
      </c>
      <c r="G19" s="10" t="s">
        <v>778</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498</v>
      </c>
      <c r="D20" s="10" t="s">
        <v>671</v>
      </c>
      <c r="E20" s="10" t="s">
        <v>810</v>
      </c>
      <c r="F20" s="0" t="n">
        <v>40</v>
      </c>
      <c r="G20" s="10" t="s">
        <v>811</v>
      </c>
      <c r="H20" s="10" t="s">
        <v>824</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498</v>
      </c>
      <c r="D21" s="10" t="s">
        <v>671</v>
      </c>
      <c r="E21" s="10" t="s">
        <v>710</v>
      </c>
      <c r="F21" s="0" t="n">
        <v>16</v>
      </c>
      <c r="G21" s="10" t="s">
        <v>813</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498</v>
      </c>
      <c r="D22" s="10" t="s">
        <v>671</v>
      </c>
      <c r="E22" s="10" t="s">
        <v>711</v>
      </c>
      <c r="F22" s="0" t="n">
        <v>4</v>
      </c>
      <c r="G22" s="10" t="s">
        <v>778</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498</v>
      </c>
      <c r="D23" s="10" t="s">
        <v>673</v>
      </c>
      <c r="E23" s="10" t="s">
        <v>810</v>
      </c>
      <c r="F23" s="0" t="n">
        <v>50</v>
      </c>
      <c r="G23" s="10" t="s">
        <v>811</v>
      </c>
      <c r="H23" s="10" t="s">
        <v>825</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498</v>
      </c>
      <c r="D24" s="10" t="s">
        <v>673</v>
      </c>
      <c r="E24" s="10" t="s">
        <v>710</v>
      </c>
      <c r="F24" s="0" t="n">
        <v>3</v>
      </c>
      <c r="G24" s="10" t="s">
        <v>813</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498</v>
      </c>
      <c r="D25" s="10" t="s">
        <v>673</v>
      </c>
      <c r="E25" s="10" t="s">
        <v>711</v>
      </c>
      <c r="F25" s="0" t="n">
        <v>6</v>
      </c>
      <c r="G25" s="10" t="s">
        <v>778</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498</v>
      </c>
      <c r="D26" s="10" t="s">
        <v>676</v>
      </c>
      <c r="E26" s="10" t="s">
        <v>810</v>
      </c>
      <c r="F26" s="0" t="n">
        <v>50</v>
      </c>
      <c r="G26" s="10" t="s">
        <v>811</v>
      </c>
      <c r="H26" s="10" t="s">
        <v>826</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498</v>
      </c>
      <c r="D27" s="10" t="s">
        <v>676</v>
      </c>
      <c r="E27" s="10" t="s">
        <v>710</v>
      </c>
      <c r="F27" s="0" t="n">
        <v>28</v>
      </c>
      <c r="G27" s="10" t="s">
        <v>813</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498</v>
      </c>
      <c r="D28" s="10" t="s">
        <v>676</v>
      </c>
      <c r="E28" s="10" t="s">
        <v>711</v>
      </c>
      <c r="F28" s="0" t="n">
        <v>2</v>
      </c>
      <c r="G28" s="10" t="s">
        <v>778</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498</v>
      </c>
      <c r="D29" s="10" t="s">
        <v>678</v>
      </c>
      <c r="E29" s="10" t="s">
        <v>810</v>
      </c>
      <c r="F29" s="0" t="n">
        <v>70</v>
      </c>
      <c r="G29" s="10" t="s">
        <v>811</v>
      </c>
      <c r="H29" s="10" t="s">
        <v>827</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498</v>
      </c>
      <c r="D30" s="10" t="s">
        <v>678</v>
      </c>
      <c r="E30" s="10" t="s">
        <v>710</v>
      </c>
      <c r="F30" s="0" t="n">
        <v>25</v>
      </c>
      <c r="G30" s="10" t="s">
        <v>813</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498</v>
      </c>
      <c r="D31" s="10" t="s">
        <v>678</v>
      </c>
      <c r="E31" s="10" t="s">
        <v>711</v>
      </c>
      <c r="F31" s="0" t="n">
        <v>3</v>
      </c>
      <c r="G31" s="10" t="s">
        <v>778</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516</v>
      </c>
      <c r="D32" s="10" t="s">
        <v>668</v>
      </c>
      <c r="E32" s="10" t="s">
        <v>810</v>
      </c>
      <c r="F32" s="0" t="n">
        <v>37</v>
      </c>
      <c r="G32" s="10" t="s">
        <v>811</v>
      </c>
      <c r="H32" s="10" t="s">
        <v>828</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516</v>
      </c>
      <c r="D33" s="10" t="s">
        <v>668</v>
      </c>
      <c r="E33" s="10" t="s">
        <v>710</v>
      </c>
      <c r="F33" s="0" t="n">
        <v>13</v>
      </c>
      <c r="G33" s="10" t="s">
        <v>813</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516</v>
      </c>
      <c r="D34" s="10" t="s">
        <v>668</v>
      </c>
      <c r="E34" s="10" t="s">
        <v>711</v>
      </c>
      <c r="F34" s="0" t="n">
        <v>1</v>
      </c>
      <c r="G34" s="10" t="s">
        <v>811</v>
      </c>
      <c r="H34" s="10" t="s">
        <v>829</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516</v>
      </c>
      <c r="D35" s="10" t="s">
        <v>671</v>
      </c>
      <c r="E35" s="10" t="s">
        <v>810</v>
      </c>
      <c r="F35" s="0" t="n">
        <v>37</v>
      </c>
      <c r="G35" s="10" t="s">
        <v>811</v>
      </c>
      <c r="H35" s="10" t="s">
        <v>830</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516</v>
      </c>
      <c r="D36" s="10" t="s">
        <v>671</v>
      </c>
      <c r="E36" s="10" t="s">
        <v>710</v>
      </c>
      <c r="F36" s="0" t="n">
        <v>17</v>
      </c>
      <c r="G36" s="10" t="s">
        <v>813</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516</v>
      </c>
      <c r="D37" s="10" t="s">
        <v>671</v>
      </c>
      <c r="E37" s="10" t="s">
        <v>711</v>
      </c>
      <c r="F37" s="0" t="n">
        <v>2</v>
      </c>
      <c r="G37" s="10" t="s">
        <v>811</v>
      </c>
      <c r="H37" s="10" t="s">
        <v>831</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516</v>
      </c>
      <c r="D38" s="10" t="s">
        <v>673</v>
      </c>
      <c r="E38" s="10" t="s">
        <v>810</v>
      </c>
      <c r="F38" s="0" t="n">
        <v>47</v>
      </c>
      <c r="G38" s="10" t="s">
        <v>811</v>
      </c>
      <c r="H38" s="10" t="s">
        <v>832</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516</v>
      </c>
      <c r="D39" s="10" t="s">
        <v>673</v>
      </c>
      <c r="E39" s="10" t="s">
        <v>710</v>
      </c>
      <c r="F39" s="0" t="n">
        <v>20</v>
      </c>
      <c r="G39" s="10" t="s">
        <v>813</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516</v>
      </c>
      <c r="D40" s="10" t="s">
        <v>673</v>
      </c>
      <c r="E40" s="10" t="s">
        <v>711</v>
      </c>
      <c r="F40" s="0" t="n">
        <v>4</v>
      </c>
      <c r="G40" s="10" t="s">
        <v>811</v>
      </c>
      <c r="H40" s="10" t="s">
        <v>833</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516</v>
      </c>
      <c r="D41" s="10" t="s">
        <v>676</v>
      </c>
      <c r="E41" s="10" t="s">
        <v>810</v>
      </c>
      <c r="F41" s="0" t="n">
        <v>47</v>
      </c>
      <c r="G41" s="10" t="s">
        <v>811</v>
      </c>
      <c r="H41" s="10" t="s">
        <v>834</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516</v>
      </c>
      <c r="D42" s="10" t="s">
        <v>676</v>
      </c>
      <c r="E42" s="10" t="s">
        <v>710</v>
      </c>
      <c r="F42" s="0" t="n">
        <v>12</v>
      </c>
      <c r="G42" s="10" t="s">
        <v>813</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516</v>
      </c>
      <c r="D43" s="10" t="s">
        <v>676</v>
      </c>
      <c r="E43" s="10" t="s">
        <v>711</v>
      </c>
      <c r="F43" s="0" t="n">
        <v>3</v>
      </c>
      <c r="G43" s="10" t="s">
        <v>811</v>
      </c>
      <c r="H43" s="10" t="s">
        <v>835</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516</v>
      </c>
      <c r="D44" s="10" t="s">
        <v>678</v>
      </c>
      <c r="E44" s="10" t="s">
        <v>810</v>
      </c>
      <c r="F44" s="0" t="n">
        <v>67</v>
      </c>
      <c r="G44" s="10" t="s">
        <v>811</v>
      </c>
      <c r="H44" s="10" t="s">
        <v>836</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516</v>
      </c>
      <c r="D45" s="10" t="s">
        <v>678</v>
      </c>
      <c r="E45" s="10" t="s">
        <v>710</v>
      </c>
      <c r="F45" s="0" t="n">
        <v>17</v>
      </c>
      <c r="G45" s="10" t="s">
        <v>813</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516</v>
      </c>
      <c r="D46" s="10" t="s">
        <v>678</v>
      </c>
      <c r="E46" s="10" t="s">
        <v>711</v>
      </c>
      <c r="F46" s="0" t="n">
        <v>4</v>
      </c>
      <c r="G46" s="10" t="s">
        <v>811</v>
      </c>
      <c r="H46" s="10" t="s">
        <v>837</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516</v>
      </c>
      <c r="D47" s="10" t="s">
        <v>680</v>
      </c>
      <c r="E47" s="10" t="s">
        <v>810</v>
      </c>
      <c r="F47" s="0" t="n">
        <v>42</v>
      </c>
      <c r="G47" s="10" t="s">
        <v>811</v>
      </c>
      <c r="H47" s="10" t="s">
        <v>838</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516</v>
      </c>
      <c r="D48" s="10" t="s">
        <v>680</v>
      </c>
      <c r="E48" s="10" t="s">
        <v>710</v>
      </c>
      <c r="F48" s="0" t="n">
        <v>11</v>
      </c>
      <c r="G48" s="10" t="s">
        <v>813</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516</v>
      </c>
      <c r="D49" s="10" t="s">
        <v>680</v>
      </c>
      <c r="E49" s="10" t="s">
        <v>711</v>
      </c>
      <c r="F49" s="0" t="n">
        <v>1</v>
      </c>
      <c r="G49" s="10" t="s">
        <v>811</v>
      </c>
      <c r="H49" s="10" t="s">
        <v>839</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516</v>
      </c>
      <c r="D50" s="10" t="s">
        <v>682</v>
      </c>
      <c r="E50" s="10" t="s">
        <v>810</v>
      </c>
      <c r="F50" s="0" t="n">
        <v>57</v>
      </c>
      <c r="G50" s="10" t="s">
        <v>811</v>
      </c>
      <c r="H50" s="10" t="s">
        <v>840</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516</v>
      </c>
      <c r="D51" s="10" t="s">
        <v>682</v>
      </c>
      <c r="E51" s="10" t="s">
        <v>710</v>
      </c>
      <c r="F51" s="0" t="n">
        <v>22</v>
      </c>
      <c r="G51" s="10" t="s">
        <v>813</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516</v>
      </c>
      <c r="D52" s="10" t="s">
        <v>682</v>
      </c>
      <c r="E52" s="10" t="s">
        <v>711</v>
      </c>
      <c r="F52" s="0" t="n">
        <v>8</v>
      </c>
      <c r="G52" s="10" t="s">
        <v>811</v>
      </c>
      <c r="H52" s="10" t="s">
        <v>841</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516</v>
      </c>
      <c r="D53" s="10" t="s">
        <v>684</v>
      </c>
      <c r="E53" s="10" t="s">
        <v>810</v>
      </c>
      <c r="F53" s="0" t="n">
        <v>42</v>
      </c>
      <c r="G53" s="10" t="s">
        <v>811</v>
      </c>
      <c r="H53" s="10" t="s">
        <v>842</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516</v>
      </c>
      <c r="D54" s="10" t="s">
        <v>684</v>
      </c>
      <c r="E54" s="10" t="s">
        <v>710</v>
      </c>
      <c r="F54" s="0" t="n">
        <v>12</v>
      </c>
      <c r="G54" s="10" t="s">
        <v>813</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516</v>
      </c>
      <c r="D55" s="10" t="s">
        <v>684</v>
      </c>
      <c r="E55" s="10" t="s">
        <v>711</v>
      </c>
      <c r="F55" s="0" t="n">
        <v>2</v>
      </c>
      <c r="G55" s="10" t="s">
        <v>811</v>
      </c>
      <c r="H55" s="10" t="s">
        <v>843</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516</v>
      </c>
      <c r="D56" s="10" t="s">
        <v>686</v>
      </c>
      <c r="E56" s="10" t="s">
        <v>810</v>
      </c>
      <c r="F56" s="0" t="n">
        <v>72</v>
      </c>
      <c r="G56" s="10" t="s">
        <v>811</v>
      </c>
      <c r="H56" s="10" t="s">
        <v>844</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516</v>
      </c>
      <c r="D57" s="10" t="s">
        <v>686</v>
      </c>
      <c r="E57" s="10" t="s">
        <v>710</v>
      </c>
      <c r="F57" s="0" t="n">
        <v>33</v>
      </c>
      <c r="G57" s="10" t="s">
        <v>813</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516</v>
      </c>
      <c r="D58" s="10" t="s">
        <v>686</v>
      </c>
      <c r="E58" s="10" t="s">
        <v>711</v>
      </c>
      <c r="F58" s="0" t="n">
        <v>14</v>
      </c>
      <c r="G58" s="10" t="s">
        <v>811</v>
      </c>
      <c r="H58" s="10" t="s">
        <v>845</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516</v>
      </c>
      <c r="D59" s="10" t="s">
        <v>688</v>
      </c>
      <c r="E59" s="10" t="s">
        <v>810</v>
      </c>
      <c r="F59" s="0" t="n">
        <v>37</v>
      </c>
      <c r="G59" s="10" t="s">
        <v>811</v>
      </c>
      <c r="H59" s="10" t="s">
        <v>846</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516</v>
      </c>
      <c r="D60" s="10" t="s">
        <v>688</v>
      </c>
      <c r="E60" s="10" t="s">
        <v>710</v>
      </c>
      <c r="F60" s="0" t="n">
        <v>16</v>
      </c>
      <c r="G60" s="10" t="s">
        <v>813</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516</v>
      </c>
      <c r="D61" s="10" t="s">
        <v>688</v>
      </c>
      <c r="E61" s="10" t="s">
        <v>711</v>
      </c>
      <c r="F61" s="0" t="n">
        <v>3</v>
      </c>
      <c r="G61" s="10" t="s">
        <v>811</v>
      </c>
      <c r="H61" s="10" t="s">
        <v>847</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532</v>
      </c>
      <c r="D62" s="10" t="s">
        <v>668</v>
      </c>
      <c r="E62" s="10" t="s">
        <v>810</v>
      </c>
      <c r="F62" s="0" t="n">
        <v>40</v>
      </c>
      <c r="G62" s="10" t="s">
        <v>811</v>
      </c>
      <c r="H62" s="10" t="s">
        <v>848</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532</v>
      </c>
      <c r="D63" s="10" t="s">
        <v>668</v>
      </c>
      <c r="E63" s="10" t="s">
        <v>710</v>
      </c>
      <c r="F63" s="0" t="n">
        <v>23</v>
      </c>
      <c r="G63" s="10" t="s">
        <v>813</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532</v>
      </c>
      <c r="D64" s="10" t="s">
        <v>668</v>
      </c>
      <c r="E64" s="10" t="s">
        <v>711</v>
      </c>
      <c r="F64" s="0" t="n">
        <v>2</v>
      </c>
      <c r="G64" s="10" t="s">
        <v>811</v>
      </c>
      <c r="H64" s="10" t="s">
        <v>849</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532</v>
      </c>
      <c r="D65" s="10" t="s">
        <v>671</v>
      </c>
      <c r="E65" s="10" t="s">
        <v>810</v>
      </c>
      <c r="F65" s="0" t="n">
        <v>40</v>
      </c>
      <c r="G65" s="10" t="s">
        <v>811</v>
      </c>
      <c r="H65" s="10" t="s">
        <v>850</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532</v>
      </c>
      <c r="D66" s="10" t="s">
        <v>671</v>
      </c>
      <c r="E66" s="10" t="s">
        <v>710</v>
      </c>
      <c r="F66" s="0" t="n">
        <v>22</v>
      </c>
      <c r="G66" s="10" t="s">
        <v>813</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532</v>
      </c>
      <c r="D67" s="10" t="s">
        <v>671</v>
      </c>
      <c r="E67" s="10" t="s">
        <v>711</v>
      </c>
      <c r="F67" s="0" t="n">
        <v>4</v>
      </c>
      <c r="G67" s="10" t="s">
        <v>811</v>
      </c>
      <c r="H67" s="10" t="s">
        <v>851</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532</v>
      </c>
      <c r="D68" s="10" t="s">
        <v>673</v>
      </c>
      <c r="E68" s="10" t="s">
        <v>810</v>
      </c>
      <c r="F68" s="0" t="n">
        <v>50</v>
      </c>
      <c r="G68" s="10" t="s">
        <v>811</v>
      </c>
      <c r="H68" s="10" t="s">
        <v>852</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532</v>
      </c>
      <c r="D69" s="10" t="s">
        <v>673</v>
      </c>
      <c r="E69" s="10" t="s">
        <v>710</v>
      </c>
      <c r="F69" s="0" t="n">
        <v>15</v>
      </c>
      <c r="G69" s="10" t="s">
        <v>813</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532</v>
      </c>
      <c r="D70" s="10" t="s">
        <v>673</v>
      </c>
      <c r="E70" s="10" t="s">
        <v>711</v>
      </c>
      <c r="F70" s="0" t="n">
        <v>2</v>
      </c>
      <c r="G70" s="10" t="s">
        <v>811</v>
      </c>
      <c r="H70" s="10" t="s">
        <v>853</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532</v>
      </c>
      <c r="D71" s="10" t="s">
        <v>676</v>
      </c>
      <c r="E71" s="10" t="s">
        <v>810</v>
      </c>
      <c r="F71" s="0" t="n">
        <v>50</v>
      </c>
      <c r="G71" s="10" t="s">
        <v>811</v>
      </c>
      <c r="H71" s="10" t="s">
        <v>854</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532</v>
      </c>
      <c r="D72" s="10" t="s">
        <v>676</v>
      </c>
      <c r="E72" s="10" t="s">
        <v>710</v>
      </c>
      <c r="F72" s="0" t="n">
        <v>17</v>
      </c>
      <c r="G72" s="10" t="s">
        <v>813</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532</v>
      </c>
      <c r="D73" s="10" t="s">
        <v>676</v>
      </c>
      <c r="E73" s="10" t="s">
        <v>711</v>
      </c>
      <c r="F73" s="0" t="n">
        <v>6</v>
      </c>
      <c r="G73" s="10" t="s">
        <v>811</v>
      </c>
      <c r="H73" s="10" t="s">
        <v>855</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532</v>
      </c>
      <c r="D74" s="10" t="s">
        <v>678</v>
      </c>
      <c r="E74" s="10" t="s">
        <v>810</v>
      </c>
      <c r="F74" s="0" t="n">
        <v>70</v>
      </c>
      <c r="G74" s="10" t="s">
        <v>811</v>
      </c>
      <c r="H74" s="10" t="s">
        <v>856</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532</v>
      </c>
      <c r="D75" s="10" t="s">
        <v>678</v>
      </c>
      <c r="E75" s="10" t="s">
        <v>710</v>
      </c>
      <c r="F75" s="0" t="n">
        <v>21</v>
      </c>
      <c r="G75" s="10" t="s">
        <v>813</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532</v>
      </c>
      <c r="D76" s="10" t="s">
        <v>678</v>
      </c>
      <c r="E76" s="10" t="s">
        <v>711</v>
      </c>
      <c r="F76" s="0" t="n">
        <v>6</v>
      </c>
      <c r="G76" s="10" t="s">
        <v>811</v>
      </c>
      <c r="H76" s="10" t="s">
        <v>857</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532</v>
      </c>
      <c r="D77" s="10" t="s">
        <v>680</v>
      </c>
      <c r="E77" s="10" t="s">
        <v>810</v>
      </c>
      <c r="F77" s="0" t="n">
        <v>45</v>
      </c>
      <c r="G77" s="10" t="s">
        <v>811</v>
      </c>
      <c r="H77" s="10" t="s">
        <v>858</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532</v>
      </c>
      <c r="D78" s="10" t="s">
        <v>680</v>
      </c>
      <c r="E78" s="10" t="s">
        <v>710</v>
      </c>
      <c r="F78" s="0" t="n">
        <v>21</v>
      </c>
      <c r="G78" s="10" t="s">
        <v>813</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532</v>
      </c>
      <c r="D79" s="10" t="s">
        <v>680</v>
      </c>
      <c r="E79" s="10" t="s">
        <v>711</v>
      </c>
      <c r="F79" s="0" t="n">
        <v>4</v>
      </c>
      <c r="G79" s="10" t="s">
        <v>811</v>
      </c>
      <c r="H79" s="10" t="s">
        <v>859</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532</v>
      </c>
      <c r="D80" s="10" t="s">
        <v>684</v>
      </c>
      <c r="E80" s="10" t="s">
        <v>810</v>
      </c>
      <c r="F80" s="0" t="n">
        <v>45</v>
      </c>
      <c r="G80" s="10" t="s">
        <v>811</v>
      </c>
      <c r="H80" s="10" t="s">
        <v>860</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532</v>
      </c>
      <c r="D81" s="10" t="s">
        <v>684</v>
      </c>
      <c r="E81" s="10" t="s">
        <v>710</v>
      </c>
      <c r="F81" s="0" t="n">
        <v>19</v>
      </c>
      <c r="G81" s="10" t="s">
        <v>813</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532</v>
      </c>
      <c r="D82" s="10" t="s">
        <v>684</v>
      </c>
      <c r="E82" s="10" t="s">
        <v>711</v>
      </c>
      <c r="F82" s="0" t="n">
        <v>2</v>
      </c>
      <c r="G82" s="10" t="s">
        <v>811</v>
      </c>
      <c r="H82" s="10" t="s">
        <v>861</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532</v>
      </c>
      <c r="D83" s="10" t="s">
        <v>686</v>
      </c>
      <c r="E83" s="10" t="s">
        <v>810</v>
      </c>
      <c r="F83" s="0" t="n">
        <v>75</v>
      </c>
      <c r="G83" s="10" t="s">
        <v>811</v>
      </c>
      <c r="H83" s="10" t="s">
        <v>862</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532</v>
      </c>
      <c r="D84" s="10" t="s">
        <v>686</v>
      </c>
      <c r="E84" s="10" t="s">
        <v>710</v>
      </c>
      <c r="F84" s="0" t="n">
        <v>20</v>
      </c>
      <c r="G84" s="10" t="s">
        <v>813</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532</v>
      </c>
      <c r="D85" s="10" t="s">
        <v>686</v>
      </c>
      <c r="E85" s="10" t="s">
        <v>711</v>
      </c>
      <c r="F85" s="0" t="n">
        <v>3</v>
      </c>
      <c r="G85" s="10" t="s">
        <v>811</v>
      </c>
      <c r="H85" s="10" t="s">
        <v>863</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532</v>
      </c>
      <c r="D86" s="10" t="s">
        <v>688</v>
      </c>
      <c r="E86" s="10" t="s">
        <v>810</v>
      </c>
      <c r="F86" s="0" t="n">
        <v>40</v>
      </c>
      <c r="G86" s="10" t="s">
        <v>811</v>
      </c>
      <c r="H86" s="10" t="s">
        <v>864</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532</v>
      </c>
      <c r="D87" s="10" t="s">
        <v>688</v>
      </c>
      <c r="E87" s="10" t="s">
        <v>710</v>
      </c>
      <c r="F87" s="0" t="n">
        <v>19</v>
      </c>
      <c r="G87" s="10" t="s">
        <v>813</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532</v>
      </c>
      <c r="D88" s="10" t="s">
        <v>688</v>
      </c>
      <c r="E88" s="10" t="s">
        <v>711</v>
      </c>
      <c r="F88" s="0" t="n">
        <v>4</v>
      </c>
      <c r="G88" s="10" t="s">
        <v>811</v>
      </c>
      <c r="H88" s="10" t="s">
        <v>865</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549</v>
      </c>
      <c r="D89" s="10" t="s">
        <v>668</v>
      </c>
      <c r="E89" s="10" t="s">
        <v>810</v>
      </c>
      <c r="F89" s="0" t="n">
        <v>40</v>
      </c>
      <c r="G89" s="10" t="s">
        <v>811</v>
      </c>
      <c r="H89" s="10" t="s">
        <v>866</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549</v>
      </c>
      <c r="D90" s="10" t="s">
        <v>668</v>
      </c>
      <c r="E90" s="10" t="s">
        <v>710</v>
      </c>
      <c r="F90" s="0" t="n">
        <v>14</v>
      </c>
      <c r="G90" s="10" t="s">
        <v>813</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549</v>
      </c>
      <c r="D91" s="10" t="s">
        <v>668</v>
      </c>
      <c r="E91" s="10" t="s">
        <v>711</v>
      </c>
      <c r="F91" s="0" t="n">
        <v>4</v>
      </c>
      <c r="G91" s="10" t="s">
        <v>811</v>
      </c>
      <c r="H91" s="10" t="s">
        <v>867</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549</v>
      </c>
      <c r="D92" s="10" t="s">
        <v>671</v>
      </c>
      <c r="E92" s="10" t="s">
        <v>810</v>
      </c>
      <c r="F92" s="0" t="n">
        <v>40</v>
      </c>
      <c r="G92" s="10" t="s">
        <v>811</v>
      </c>
      <c r="H92" s="10" t="s">
        <v>868</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549</v>
      </c>
      <c r="D93" s="10" t="s">
        <v>671</v>
      </c>
      <c r="E93" s="10" t="s">
        <v>710</v>
      </c>
      <c r="F93" s="0" t="n">
        <v>16</v>
      </c>
      <c r="G93" s="10" t="s">
        <v>813</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549</v>
      </c>
      <c r="D94" s="10" t="s">
        <v>671</v>
      </c>
      <c r="E94" s="10" t="s">
        <v>711</v>
      </c>
      <c r="F94" s="0" t="n">
        <v>3</v>
      </c>
      <c r="G94" s="10" t="s">
        <v>811</v>
      </c>
      <c r="H94" s="10" t="s">
        <v>869</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549</v>
      </c>
      <c r="D95" s="10" t="s">
        <v>673</v>
      </c>
      <c r="E95" s="10" t="s">
        <v>810</v>
      </c>
      <c r="F95" s="0" t="n">
        <v>50</v>
      </c>
      <c r="G95" s="10" t="s">
        <v>811</v>
      </c>
      <c r="H95" s="10" t="s">
        <v>870</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549</v>
      </c>
      <c r="D96" s="10" t="s">
        <v>673</v>
      </c>
      <c r="E96" s="10" t="s">
        <v>710</v>
      </c>
      <c r="F96" s="0" t="n">
        <v>26</v>
      </c>
      <c r="G96" s="10" t="s">
        <v>813</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549</v>
      </c>
      <c r="D97" s="10" t="s">
        <v>673</v>
      </c>
      <c r="E97" s="10" t="s">
        <v>711</v>
      </c>
      <c r="F97" s="0" t="n">
        <v>8</v>
      </c>
      <c r="G97" s="10" t="s">
        <v>811</v>
      </c>
      <c r="H97" s="10" t="s">
        <v>871</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549</v>
      </c>
      <c r="D98" s="10" t="s">
        <v>676</v>
      </c>
      <c r="E98" s="10" t="s">
        <v>810</v>
      </c>
      <c r="F98" s="0" t="n">
        <v>50</v>
      </c>
      <c r="G98" s="10" t="s">
        <v>811</v>
      </c>
      <c r="H98" s="10" t="s">
        <v>872</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549</v>
      </c>
      <c r="D99" s="10" t="s">
        <v>676</v>
      </c>
      <c r="E99" s="10" t="s">
        <v>710</v>
      </c>
      <c r="F99" s="0" t="n">
        <v>16</v>
      </c>
      <c r="G99" s="10" t="s">
        <v>813</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549</v>
      </c>
      <c r="D100" s="10" t="s">
        <v>676</v>
      </c>
      <c r="E100" s="10" t="s">
        <v>711</v>
      </c>
      <c r="F100" s="0" t="n">
        <v>4</v>
      </c>
      <c r="G100" s="10" t="s">
        <v>811</v>
      </c>
      <c r="H100" s="10" t="s">
        <v>873</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549</v>
      </c>
      <c r="D101" s="10" t="s">
        <v>678</v>
      </c>
      <c r="E101" s="10" t="s">
        <v>810</v>
      </c>
      <c r="F101" s="0" t="n">
        <v>70</v>
      </c>
      <c r="G101" s="10" t="s">
        <v>811</v>
      </c>
      <c r="H101" s="10" t="s">
        <v>874</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549</v>
      </c>
      <c r="D102" s="10" t="s">
        <v>678</v>
      </c>
      <c r="E102" s="10" t="s">
        <v>710</v>
      </c>
      <c r="F102" s="0" t="n">
        <v>30</v>
      </c>
      <c r="G102" s="10" t="s">
        <v>813</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549</v>
      </c>
      <c r="D103" s="10" t="s">
        <v>678</v>
      </c>
      <c r="E103" s="10" t="s">
        <v>711</v>
      </c>
      <c r="F103" s="0" t="n">
        <v>12</v>
      </c>
      <c r="G103" s="10" t="s">
        <v>811</v>
      </c>
      <c r="H103" s="10" t="s">
        <v>875</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549</v>
      </c>
      <c r="D104" s="10" t="s">
        <v>680</v>
      </c>
      <c r="E104" s="10" t="s">
        <v>810</v>
      </c>
      <c r="F104" s="0" t="n">
        <v>45</v>
      </c>
      <c r="G104" s="10" t="s">
        <v>811</v>
      </c>
      <c r="H104" s="10" t="s">
        <v>876</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549</v>
      </c>
      <c r="D105" s="10" t="s">
        <v>680</v>
      </c>
      <c r="E105" s="10" t="s">
        <v>710</v>
      </c>
      <c r="F105" s="0" t="n">
        <v>22</v>
      </c>
      <c r="G105" s="10" t="s">
        <v>813</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549</v>
      </c>
      <c r="D106" s="10" t="s">
        <v>680</v>
      </c>
      <c r="E106" s="10" t="s">
        <v>711</v>
      </c>
      <c r="F106" s="0" t="n">
        <v>4</v>
      </c>
      <c r="G106" s="10" t="s">
        <v>811</v>
      </c>
      <c r="H106" s="10" t="s">
        <v>877</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549</v>
      </c>
      <c r="D107" s="10" t="s">
        <v>682</v>
      </c>
      <c r="E107" s="10" t="s">
        <v>810</v>
      </c>
      <c r="F107" s="0" t="n">
        <v>60</v>
      </c>
      <c r="G107" s="10" t="s">
        <v>811</v>
      </c>
      <c r="H107" s="10" t="s">
        <v>878</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549</v>
      </c>
      <c r="D108" s="10" t="s">
        <v>682</v>
      </c>
      <c r="E108" s="10" t="s">
        <v>710</v>
      </c>
      <c r="F108" s="0" t="n">
        <v>35</v>
      </c>
      <c r="G108" s="10" t="s">
        <v>813</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549</v>
      </c>
      <c r="D109" s="10" t="s">
        <v>682</v>
      </c>
      <c r="E109" s="10" t="s">
        <v>711</v>
      </c>
      <c r="F109" s="0" t="n">
        <v>4</v>
      </c>
      <c r="G109" s="10" t="s">
        <v>811</v>
      </c>
      <c r="H109" s="10" t="s">
        <v>879</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549</v>
      </c>
      <c r="D110" s="10" t="s">
        <v>684</v>
      </c>
      <c r="E110" s="10" t="s">
        <v>810</v>
      </c>
      <c r="F110" s="0" t="n">
        <v>45</v>
      </c>
      <c r="G110" s="10" t="s">
        <v>811</v>
      </c>
      <c r="H110" s="10" t="s">
        <v>880</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549</v>
      </c>
      <c r="D111" s="10" t="s">
        <v>684</v>
      </c>
      <c r="E111" s="10" t="s">
        <v>710</v>
      </c>
      <c r="F111" s="0" t="n">
        <v>17</v>
      </c>
      <c r="G111" s="10" t="s">
        <v>813</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549</v>
      </c>
      <c r="D112" s="10" t="s">
        <v>684</v>
      </c>
      <c r="E112" s="10" t="s">
        <v>711</v>
      </c>
      <c r="F112" s="0" t="n">
        <v>6</v>
      </c>
      <c r="G112" s="10" t="s">
        <v>811</v>
      </c>
      <c r="H112" s="10" t="s">
        <v>881</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549</v>
      </c>
      <c r="D113" s="10" t="s">
        <v>686</v>
      </c>
      <c r="E113" s="10" t="s">
        <v>810</v>
      </c>
      <c r="F113" s="0" t="n">
        <v>75</v>
      </c>
      <c r="G113" s="10" t="s">
        <v>811</v>
      </c>
      <c r="H113" s="10" t="s">
        <v>882</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549</v>
      </c>
      <c r="D114" s="10" t="s">
        <v>686</v>
      </c>
      <c r="E114" s="10" t="s">
        <v>710</v>
      </c>
      <c r="F114" s="0" t="n">
        <v>22</v>
      </c>
      <c r="G114" s="10" t="s">
        <v>813</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549</v>
      </c>
      <c r="D115" s="10" t="s">
        <v>686</v>
      </c>
      <c r="E115" s="10" t="s">
        <v>711</v>
      </c>
      <c r="F115" s="0" t="n">
        <v>5</v>
      </c>
      <c r="G115" s="10" t="s">
        <v>811</v>
      </c>
      <c r="H115" s="10" t="s">
        <v>883</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549</v>
      </c>
      <c r="D116" s="10" t="s">
        <v>688</v>
      </c>
      <c r="E116" s="10" t="s">
        <v>810</v>
      </c>
      <c r="F116" s="0" t="n">
        <v>40</v>
      </c>
      <c r="G116" s="10" t="s">
        <v>811</v>
      </c>
      <c r="H116" s="10" t="s">
        <v>884</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549</v>
      </c>
      <c r="D117" s="10" t="s">
        <v>688</v>
      </c>
      <c r="E117" s="10" t="s">
        <v>710</v>
      </c>
      <c r="F117" s="0" t="n">
        <v>10</v>
      </c>
      <c r="G117" s="10" t="s">
        <v>813</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549</v>
      </c>
      <c r="D118" s="10" t="s">
        <v>688</v>
      </c>
      <c r="E118" s="10" t="s">
        <v>711</v>
      </c>
      <c r="F118" s="0" t="n">
        <v>3</v>
      </c>
      <c r="G118" s="10" t="s">
        <v>811</v>
      </c>
      <c r="H118" s="10" t="s">
        <v>885</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t="n">
        <v>46441</v>
      </c>
      <c r="B119" s="38" t="n">
        <v>0.541666666666667</v>
      </c>
      <c r="C119" s="10" t="s">
        <v>563</v>
      </c>
      <c r="D119" s="10" t="s">
        <v>668</v>
      </c>
      <c r="E119" s="10" t="s">
        <v>810</v>
      </c>
      <c r="F119" s="0" t="n">
        <v>35</v>
      </c>
      <c r="G119" s="10" t="s">
        <v>811</v>
      </c>
      <c r="H119" s="10" t="s">
        <v>886</v>
      </c>
      <c r="J119" s="30" t="n">
        <f aca="false">IF(OR($C119="",$A119=""),"",IF($A119&lt;IFERROR(IF(INDEX(campaigns!$BG$2:$BG$51,MATCH($C119,campaigns!$A$2:$A$51,0))="","",INDEX(campaigns!$BG$2:$BG$51,MATCH($C119,campaigns!$A$2:$A$51,0))),""),0,NETWORKDAYS(IFERROR(IF(INDEX(campaigns!$BG$2:$BG$51,MATCH($C119,campaigns!$A$2:$A$51,0))="","",INDEX(campaigns!$BG$2:$BG$51,MATCH($C119,campaigns!$A$2:$A$51,0))),""),$A119,calendar!$A$2:$A$80)))</f>
        <v>1</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t="n">
        <v>46443</v>
      </c>
      <c r="B120" s="38" t="n">
        <v>0.458333333333333</v>
      </c>
      <c r="C120" s="10" t="s">
        <v>563</v>
      </c>
      <c r="D120" s="10" t="s">
        <v>668</v>
      </c>
      <c r="E120" s="10" t="s">
        <v>710</v>
      </c>
      <c r="F120" s="0" t="n">
        <v>7</v>
      </c>
      <c r="G120" s="10" t="s">
        <v>813</v>
      </c>
      <c r="J120" s="30" t="n">
        <f aca="false">IF(OR($C120="",$A120=""),"",IF($A120&lt;IFERROR(IF(INDEX(campaigns!$BG$2:$BG$51,MATCH($C120,campaigns!$A$2:$A$51,0))="","",INDEX(campaigns!$BG$2:$BG$51,MATCH($C120,campaigns!$A$2:$A$51,0))),""),0,NETWORKDAYS(IFERROR(IF(INDEX(campaigns!$BG$2:$BG$51,MATCH($C120,campaigns!$A$2:$A$51,0))="","",INDEX(campaigns!$BG$2:$BG$51,MATCH($C120,campaigns!$A$2:$A$51,0))),""),$A120,calendar!$A$2:$A$80)))</f>
        <v>3</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t="n">
        <v>46447</v>
      </c>
      <c r="B121" s="38" t="n">
        <v>0.666666666666667</v>
      </c>
      <c r="C121" s="10" t="s">
        <v>563</v>
      </c>
      <c r="D121" s="10" t="s">
        <v>668</v>
      </c>
      <c r="E121" s="10" t="s">
        <v>711</v>
      </c>
      <c r="F121" s="0" t="n">
        <v>1</v>
      </c>
      <c r="G121" s="10" t="s">
        <v>811</v>
      </c>
      <c r="H121" s="10" t="s">
        <v>887</v>
      </c>
      <c r="J121" s="30" t="n">
        <f aca="false">IF(OR($C121="",$A121=""),"",IF($A121&lt;IFERROR(IF(INDEX(campaigns!$BG$2:$BG$51,MATCH($C121,campaigns!$A$2:$A$51,0))="","",INDEX(campaigns!$BG$2:$BG$51,MATCH($C121,campaigns!$A$2:$A$51,0))),""),0,NETWORKDAYS(IFERROR(IF(INDEX(campaigns!$BG$2:$BG$51,MATCH($C121,campaigns!$A$2:$A$51,0))="","",INDEX(campaigns!$BG$2:$BG$51,MATCH($C121,campaigns!$A$2:$A$51,0))),""),$A121,calendar!$A$2:$A$80)))</f>
        <v>5</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t="n">
        <v>46441</v>
      </c>
      <c r="B122" s="38" t="n">
        <v>0.541666666666667</v>
      </c>
      <c r="C122" s="10" t="s">
        <v>563</v>
      </c>
      <c r="D122" s="10" t="s">
        <v>671</v>
      </c>
      <c r="E122" s="10" t="s">
        <v>810</v>
      </c>
      <c r="F122" s="0" t="n">
        <v>35</v>
      </c>
      <c r="G122" s="10" t="s">
        <v>811</v>
      </c>
      <c r="H122" s="10" t="s">
        <v>888</v>
      </c>
      <c r="J122" s="30" t="n">
        <f aca="false">IF(OR($C122="",$A122=""),"",IF($A122&lt;IFERROR(IF(INDEX(campaigns!$BG$2:$BG$51,MATCH($C122,campaigns!$A$2:$A$51,0))="","",INDEX(campaigns!$BG$2:$BG$51,MATCH($C122,campaigns!$A$2:$A$51,0))),""),0,NETWORKDAYS(IFERROR(IF(INDEX(campaigns!$BG$2:$BG$51,MATCH($C122,campaigns!$A$2:$A$51,0))="","",INDEX(campaigns!$BG$2:$BG$51,MATCH($C122,campaigns!$A$2:$A$51,0))),""),$A122,calendar!$A$2:$A$80)))</f>
        <v>1</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t="n">
        <v>46443</v>
      </c>
      <c r="B123" s="38" t="n">
        <v>0.458333333333333</v>
      </c>
      <c r="C123" s="10" t="s">
        <v>563</v>
      </c>
      <c r="D123" s="10" t="s">
        <v>671</v>
      </c>
      <c r="E123" s="10" t="s">
        <v>710</v>
      </c>
      <c r="F123" s="0" t="n">
        <v>9</v>
      </c>
      <c r="G123" s="10" t="s">
        <v>813</v>
      </c>
      <c r="J123" s="30" t="n">
        <f aca="false">IF(OR($C123="",$A123=""),"",IF($A123&lt;IFERROR(IF(INDEX(campaigns!$BG$2:$BG$51,MATCH($C123,campaigns!$A$2:$A$51,0))="","",INDEX(campaigns!$BG$2:$BG$51,MATCH($C123,campaigns!$A$2:$A$51,0))),""),0,NETWORKDAYS(IFERROR(IF(INDEX(campaigns!$BG$2:$BG$51,MATCH($C123,campaigns!$A$2:$A$51,0))="","",INDEX(campaigns!$BG$2:$BG$51,MATCH($C123,campaigns!$A$2:$A$51,0))),""),$A123,calendar!$A$2:$A$80)))</f>
        <v>3</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t="n">
        <v>46447</v>
      </c>
      <c r="B124" s="38" t="n">
        <v>0.666666666666667</v>
      </c>
      <c r="C124" s="10" t="s">
        <v>563</v>
      </c>
      <c r="D124" s="10" t="s">
        <v>671</v>
      </c>
      <c r="E124" s="10" t="s">
        <v>711</v>
      </c>
      <c r="F124" s="0" t="n">
        <v>2</v>
      </c>
      <c r="G124" s="10" t="s">
        <v>811</v>
      </c>
      <c r="H124" s="10" t="s">
        <v>889</v>
      </c>
      <c r="J124" s="30" t="n">
        <f aca="false">IF(OR($C124="",$A124=""),"",IF($A124&lt;IFERROR(IF(INDEX(campaigns!$BG$2:$BG$51,MATCH($C124,campaigns!$A$2:$A$51,0))="","",INDEX(campaigns!$BG$2:$BG$51,MATCH($C124,campaigns!$A$2:$A$51,0))),""),0,NETWORKDAYS(IFERROR(IF(INDEX(campaigns!$BG$2:$BG$51,MATCH($C124,campaigns!$A$2:$A$51,0))="","",INDEX(campaigns!$BG$2:$BG$51,MATCH($C124,campaigns!$A$2:$A$51,0))),""),$A124,calendar!$A$2:$A$80)))</f>
        <v>5</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t="n">
        <v>46441</v>
      </c>
      <c r="B125" s="38" t="n">
        <v>0.541666666666667</v>
      </c>
      <c r="C125" s="10" t="s">
        <v>563</v>
      </c>
      <c r="D125" s="10" t="s">
        <v>673</v>
      </c>
      <c r="E125" s="10" t="s">
        <v>810</v>
      </c>
      <c r="F125" s="0" t="n">
        <v>45</v>
      </c>
      <c r="G125" s="10" t="s">
        <v>811</v>
      </c>
      <c r="H125" s="10" t="s">
        <v>890</v>
      </c>
      <c r="J125" s="30" t="n">
        <f aca="false">IF(OR($C125="",$A125=""),"",IF($A125&lt;IFERROR(IF(INDEX(campaigns!$BG$2:$BG$51,MATCH($C125,campaigns!$A$2:$A$51,0))="","",INDEX(campaigns!$BG$2:$BG$51,MATCH($C125,campaigns!$A$2:$A$51,0))),""),0,NETWORKDAYS(IFERROR(IF(INDEX(campaigns!$BG$2:$BG$51,MATCH($C125,campaigns!$A$2:$A$51,0))="","",INDEX(campaigns!$BG$2:$BG$51,MATCH($C125,campaigns!$A$2:$A$51,0))),""),$A125,calendar!$A$2:$A$80)))</f>
        <v>1</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t="n">
        <v>46443</v>
      </c>
      <c r="B126" s="38" t="n">
        <v>0.458333333333333</v>
      </c>
      <c r="C126" s="10" t="s">
        <v>563</v>
      </c>
      <c r="D126" s="10" t="s">
        <v>673</v>
      </c>
      <c r="E126" s="10" t="s">
        <v>710</v>
      </c>
      <c r="F126" s="0" t="n">
        <v>12</v>
      </c>
      <c r="G126" s="10" t="s">
        <v>813</v>
      </c>
      <c r="J126" s="30" t="n">
        <f aca="false">IF(OR($C126="",$A126=""),"",IF($A126&lt;IFERROR(IF(INDEX(campaigns!$BG$2:$BG$51,MATCH($C126,campaigns!$A$2:$A$51,0))="","",INDEX(campaigns!$BG$2:$BG$51,MATCH($C126,campaigns!$A$2:$A$51,0))),""),0,NETWORKDAYS(IFERROR(IF(INDEX(campaigns!$BG$2:$BG$51,MATCH($C126,campaigns!$A$2:$A$51,0))="","",INDEX(campaigns!$BG$2:$BG$51,MATCH($C126,campaigns!$A$2:$A$51,0))),""),$A126,calendar!$A$2:$A$80)))</f>
        <v>3</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t="n">
        <v>46447</v>
      </c>
      <c r="B127" s="38" t="n">
        <v>0.666666666666667</v>
      </c>
      <c r="C127" s="10" t="s">
        <v>563</v>
      </c>
      <c r="D127" s="10" t="s">
        <v>673</v>
      </c>
      <c r="E127" s="10" t="s">
        <v>711</v>
      </c>
      <c r="F127" s="0" t="n">
        <v>4</v>
      </c>
      <c r="G127" s="10" t="s">
        <v>811</v>
      </c>
      <c r="H127" s="10" t="s">
        <v>891</v>
      </c>
      <c r="J127" s="30" t="n">
        <f aca="false">IF(OR($C127="",$A127=""),"",IF($A127&lt;IFERROR(IF(INDEX(campaigns!$BG$2:$BG$51,MATCH($C127,campaigns!$A$2:$A$51,0))="","",INDEX(campaigns!$BG$2:$BG$51,MATCH($C127,campaigns!$A$2:$A$51,0))),""),0,NETWORKDAYS(IFERROR(IF(INDEX(campaigns!$BG$2:$BG$51,MATCH($C127,campaigns!$A$2:$A$51,0))="","",INDEX(campaigns!$BG$2:$BG$51,MATCH($C127,campaigns!$A$2:$A$51,0))),""),$A127,calendar!$A$2:$A$80)))</f>
        <v>5</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t="n">
        <v>46441</v>
      </c>
      <c r="B128" s="38" t="n">
        <v>0.541666666666667</v>
      </c>
      <c r="C128" s="10" t="s">
        <v>563</v>
      </c>
      <c r="D128" s="10" t="s">
        <v>676</v>
      </c>
      <c r="E128" s="10" t="s">
        <v>810</v>
      </c>
      <c r="F128" s="0" t="n">
        <v>45</v>
      </c>
      <c r="G128" s="10" t="s">
        <v>811</v>
      </c>
      <c r="H128" s="10" t="s">
        <v>892</v>
      </c>
      <c r="J128" s="30" t="n">
        <f aca="false">IF(OR($C128="",$A128=""),"",IF($A128&lt;IFERROR(IF(INDEX(campaigns!$BG$2:$BG$51,MATCH($C128,campaigns!$A$2:$A$51,0))="","",INDEX(campaigns!$BG$2:$BG$51,MATCH($C128,campaigns!$A$2:$A$51,0))),""),0,NETWORKDAYS(IFERROR(IF(INDEX(campaigns!$BG$2:$BG$51,MATCH($C128,campaigns!$A$2:$A$51,0))="","",INDEX(campaigns!$BG$2:$BG$51,MATCH($C128,campaigns!$A$2:$A$51,0))),""),$A128,calendar!$A$2:$A$80)))</f>
        <v>1</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t="n">
        <v>46443</v>
      </c>
      <c r="B129" s="38" t="n">
        <v>0.458333333333333</v>
      </c>
      <c r="C129" s="10" t="s">
        <v>563</v>
      </c>
      <c r="D129" s="10" t="s">
        <v>676</v>
      </c>
      <c r="E129" s="10" t="s">
        <v>710</v>
      </c>
      <c r="F129" s="0" t="n">
        <v>16</v>
      </c>
      <c r="G129" s="10" t="s">
        <v>813</v>
      </c>
      <c r="J129" s="30" t="n">
        <f aca="false">IF(OR($C129="",$A129=""),"",IF($A129&lt;IFERROR(IF(INDEX(campaigns!$BG$2:$BG$51,MATCH($C129,campaigns!$A$2:$A$51,0))="","",INDEX(campaigns!$BG$2:$BG$51,MATCH($C129,campaigns!$A$2:$A$51,0))),""),0,NETWORKDAYS(IFERROR(IF(INDEX(campaigns!$BG$2:$BG$51,MATCH($C129,campaigns!$A$2:$A$51,0))="","",INDEX(campaigns!$BG$2:$BG$51,MATCH($C129,campaigns!$A$2:$A$51,0))),""),$A129,calendar!$A$2:$A$80)))</f>
        <v>3</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t="n">
        <v>46447</v>
      </c>
      <c r="B130" s="38" t="n">
        <v>0.666666666666667</v>
      </c>
      <c r="C130" s="10" t="s">
        <v>563</v>
      </c>
      <c r="D130" s="10" t="s">
        <v>676</v>
      </c>
      <c r="E130" s="10" t="s">
        <v>711</v>
      </c>
      <c r="F130" s="0" t="n">
        <v>5</v>
      </c>
      <c r="G130" s="10" t="s">
        <v>811</v>
      </c>
      <c r="H130" s="10" t="s">
        <v>893</v>
      </c>
      <c r="J130" s="30" t="n">
        <f aca="false">IF(OR($C130="",$A130=""),"",IF($A130&lt;IFERROR(IF(INDEX(campaigns!$BG$2:$BG$51,MATCH($C130,campaigns!$A$2:$A$51,0))="","",INDEX(campaigns!$BG$2:$BG$51,MATCH($C130,campaigns!$A$2:$A$51,0))),""),0,NETWORKDAYS(IFERROR(IF(INDEX(campaigns!$BG$2:$BG$51,MATCH($C130,campaigns!$A$2:$A$51,0))="","",INDEX(campaigns!$BG$2:$BG$51,MATCH($C130,campaigns!$A$2:$A$51,0))),""),$A130,calendar!$A$2:$A$80)))</f>
        <v>5</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t="n">
        <v>46441</v>
      </c>
      <c r="B131" s="38" t="n">
        <v>0.541666666666667</v>
      </c>
      <c r="C131" s="10" t="s">
        <v>563</v>
      </c>
      <c r="D131" s="10" t="s">
        <v>678</v>
      </c>
      <c r="E131" s="10" t="s">
        <v>810</v>
      </c>
      <c r="F131" s="0" t="n">
        <v>65</v>
      </c>
      <c r="G131" s="10" t="s">
        <v>811</v>
      </c>
      <c r="H131" s="10" t="s">
        <v>894</v>
      </c>
      <c r="J131" s="30" t="n">
        <f aca="false">IF(OR($C131="",$A131=""),"",IF($A131&lt;IFERROR(IF(INDEX(campaigns!$BG$2:$BG$51,MATCH($C131,campaigns!$A$2:$A$51,0))="","",INDEX(campaigns!$BG$2:$BG$51,MATCH($C131,campaigns!$A$2:$A$51,0))),""),0,NETWORKDAYS(IFERROR(IF(INDEX(campaigns!$BG$2:$BG$51,MATCH($C131,campaigns!$A$2:$A$51,0))="","",INDEX(campaigns!$BG$2:$BG$51,MATCH($C131,campaigns!$A$2:$A$51,0))),""),$A131,calendar!$A$2:$A$80)))</f>
        <v>1</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t="n">
        <v>46443</v>
      </c>
      <c r="B132" s="38" t="n">
        <v>0.458333333333333</v>
      </c>
      <c r="C132" s="10" t="s">
        <v>563</v>
      </c>
      <c r="D132" s="10" t="s">
        <v>678</v>
      </c>
      <c r="E132" s="10" t="s">
        <v>710</v>
      </c>
      <c r="F132" s="0" t="n">
        <v>31</v>
      </c>
      <c r="G132" s="10" t="s">
        <v>813</v>
      </c>
      <c r="J132" s="30" t="n">
        <f aca="false">IF(OR($C132="",$A132=""),"",IF($A132&lt;IFERROR(IF(INDEX(campaigns!$BG$2:$BG$51,MATCH($C132,campaigns!$A$2:$A$51,0))="","",INDEX(campaigns!$BG$2:$BG$51,MATCH($C132,campaigns!$A$2:$A$51,0))),""),0,NETWORKDAYS(IFERROR(IF(INDEX(campaigns!$BG$2:$BG$51,MATCH($C132,campaigns!$A$2:$A$51,0))="","",INDEX(campaigns!$BG$2:$BG$51,MATCH($C132,campaigns!$A$2:$A$51,0))),""),$A132,calendar!$A$2:$A$80)))</f>
        <v>3</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t="n">
        <v>46447</v>
      </c>
      <c r="B133" s="38" t="n">
        <v>0.666666666666667</v>
      </c>
      <c r="C133" s="10" t="s">
        <v>563</v>
      </c>
      <c r="D133" s="10" t="s">
        <v>678</v>
      </c>
      <c r="E133" s="10" t="s">
        <v>711</v>
      </c>
      <c r="F133" s="0" t="n">
        <v>7</v>
      </c>
      <c r="G133" s="10" t="s">
        <v>811</v>
      </c>
      <c r="H133" s="10" t="s">
        <v>895</v>
      </c>
      <c r="J133" s="30" t="n">
        <f aca="false">IF(OR($C133="",$A133=""),"",IF($A133&lt;IFERROR(IF(INDEX(campaigns!$BG$2:$BG$51,MATCH($C133,campaigns!$A$2:$A$51,0))="","",INDEX(campaigns!$BG$2:$BG$51,MATCH($C133,campaigns!$A$2:$A$51,0))),""),0,NETWORKDAYS(IFERROR(IF(INDEX(campaigns!$BG$2:$BG$51,MATCH($C133,campaigns!$A$2:$A$51,0))="","",INDEX(campaigns!$BG$2:$BG$51,MATCH($C133,campaigns!$A$2:$A$51,0))),""),$A133,calendar!$A$2:$A$80)))</f>
        <v>5</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t="n">
        <v>46441</v>
      </c>
      <c r="B134" s="38" t="n">
        <v>0.541666666666667</v>
      </c>
      <c r="C134" s="10" t="s">
        <v>563</v>
      </c>
      <c r="D134" s="10" t="s">
        <v>682</v>
      </c>
      <c r="E134" s="10" t="s">
        <v>810</v>
      </c>
      <c r="F134" s="0" t="n">
        <v>55</v>
      </c>
      <c r="G134" s="10" t="s">
        <v>811</v>
      </c>
      <c r="H134" s="10" t="s">
        <v>896</v>
      </c>
      <c r="J134" s="30" t="n">
        <f aca="false">IF(OR($C134="",$A134=""),"",IF($A134&lt;IFERROR(IF(INDEX(campaigns!$BG$2:$BG$51,MATCH($C134,campaigns!$A$2:$A$51,0))="","",INDEX(campaigns!$BG$2:$BG$51,MATCH($C134,campaigns!$A$2:$A$51,0))),""),0,NETWORKDAYS(IFERROR(IF(INDEX(campaigns!$BG$2:$BG$51,MATCH($C134,campaigns!$A$2:$A$51,0))="","",INDEX(campaigns!$BG$2:$BG$51,MATCH($C134,campaigns!$A$2:$A$51,0))),""),$A134,calendar!$A$2:$A$80)))</f>
        <v>1</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t="n">
        <v>46443</v>
      </c>
      <c r="B135" s="38" t="n">
        <v>0.458333333333333</v>
      </c>
      <c r="C135" s="10" t="s">
        <v>563</v>
      </c>
      <c r="D135" s="10" t="s">
        <v>682</v>
      </c>
      <c r="E135" s="10" t="s">
        <v>710</v>
      </c>
      <c r="F135" s="0" t="n">
        <v>18</v>
      </c>
      <c r="G135" s="10" t="s">
        <v>813</v>
      </c>
      <c r="J135" s="30" t="n">
        <f aca="false">IF(OR($C135="",$A135=""),"",IF($A135&lt;IFERROR(IF(INDEX(campaigns!$BG$2:$BG$51,MATCH($C135,campaigns!$A$2:$A$51,0))="","",INDEX(campaigns!$BG$2:$BG$51,MATCH($C135,campaigns!$A$2:$A$51,0))),""),0,NETWORKDAYS(IFERROR(IF(INDEX(campaigns!$BG$2:$BG$51,MATCH($C135,campaigns!$A$2:$A$51,0))="","",INDEX(campaigns!$BG$2:$BG$51,MATCH($C135,campaigns!$A$2:$A$51,0))),""),$A135,calendar!$A$2:$A$80)))</f>
        <v>3</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t="n">
        <v>46447</v>
      </c>
      <c r="B136" s="38" t="n">
        <v>0.666666666666667</v>
      </c>
      <c r="C136" s="10" t="s">
        <v>563</v>
      </c>
      <c r="D136" s="10" t="s">
        <v>682</v>
      </c>
      <c r="E136" s="10" t="s">
        <v>711</v>
      </c>
      <c r="F136" s="0" t="n">
        <v>2</v>
      </c>
      <c r="G136" s="10" t="s">
        <v>811</v>
      </c>
      <c r="H136" s="10" t="s">
        <v>897</v>
      </c>
      <c r="J136" s="30" t="n">
        <f aca="false">IF(OR($C136="",$A136=""),"",IF($A136&lt;IFERROR(IF(INDEX(campaigns!$BG$2:$BG$51,MATCH($C136,campaigns!$A$2:$A$51,0))="","",INDEX(campaigns!$BG$2:$BG$51,MATCH($C136,campaigns!$A$2:$A$51,0))),""),0,NETWORKDAYS(IFERROR(IF(INDEX(campaigns!$BG$2:$BG$51,MATCH($C136,campaigns!$A$2:$A$51,0))="","",INDEX(campaigns!$BG$2:$BG$51,MATCH($C136,campaigns!$A$2:$A$51,0))),""),$A136,calendar!$A$2:$A$80)))</f>
        <v>5</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t="n">
        <v>46441</v>
      </c>
      <c r="B137" s="38" t="n">
        <v>0.541666666666667</v>
      </c>
      <c r="C137" s="10" t="s">
        <v>563</v>
      </c>
      <c r="D137" s="10" t="s">
        <v>684</v>
      </c>
      <c r="E137" s="10" t="s">
        <v>810</v>
      </c>
      <c r="F137" s="0" t="n">
        <v>40</v>
      </c>
      <c r="G137" s="10" t="s">
        <v>811</v>
      </c>
      <c r="H137" s="10" t="s">
        <v>898</v>
      </c>
      <c r="J137" s="30" t="n">
        <f aca="false">IF(OR($C137="",$A137=""),"",IF($A137&lt;IFERROR(IF(INDEX(campaigns!$BG$2:$BG$51,MATCH($C137,campaigns!$A$2:$A$51,0))="","",INDEX(campaigns!$BG$2:$BG$51,MATCH($C137,campaigns!$A$2:$A$51,0))),""),0,NETWORKDAYS(IFERROR(IF(INDEX(campaigns!$BG$2:$BG$51,MATCH($C137,campaigns!$A$2:$A$51,0))="","",INDEX(campaigns!$BG$2:$BG$51,MATCH($C137,campaigns!$A$2:$A$51,0))),""),$A137,calendar!$A$2:$A$80)))</f>
        <v>1</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t="n">
        <v>46443</v>
      </c>
      <c r="B138" s="38" t="n">
        <v>0.458333333333333</v>
      </c>
      <c r="C138" s="10" t="s">
        <v>563</v>
      </c>
      <c r="D138" s="10" t="s">
        <v>684</v>
      </c>
      <c r="E138" s="10" t="s">
        <v>710</v>
      </c>
      <c r="F138" s="0" t="n">
        <v>17</v>
      </c>
      <c r="G138" s="10" t="s">
        <v>813</v>
      </c>
      <c r="J138" s="30" t="n">
        <f aca="false">IF(OR($C138="",$A138=""),"",IF($A138&lt;IFERROR(IF(INDEX(campaigns!$BG$2:$BG$51,MATCH($C138,campaigns!$A$2:$A$51,0))="","",INDEX(campaigns!$BG$2:$BG$51,MATCH($C138,campaigns!$A$2:$A$51,0))),""),0,NETWORKDAYS(IFERROR(IF(INDEX(campaigns!$BG$2:$BG$51,MATCH($C138,campaigns!$A$2:$A$51,0))="","",INDEX(campaigns!$BG$2:$BG$51,MATCH($C138,campaigns!$A$2:$A$51,0))),""),$A138,calendar!$A$2:$A$80)))</f>
        <v>3</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t="n">
        <v>46447</v>
      </c>
      <c r="B139" s="38" t="n">
        <v>0.666666666666667</v>
      </c>
      <c r="C139" s="10" t="s">
        <v>563</v>
      </c>
      <c r="D139" s="10" t="s">
        <v>684</v>
      </c>
      <c r="E139" s="10" t="s">
        <v>711</v>
      </c>
      <c r="F139" s="0" t="n">
        <v>2</v>
      </c>
      <c r="G139" s="10" t="s">
        <v>811</v>
      </c>
      <c r="H139" s="10" t="s">
        <v>899</v>
      </c>
      <c r="J139" s="30" t="n">
        <f aca="false">IF(OR($C139="",$A139=""),"",IF($A139&lt;IFERROR(IF(INDEX(campaigns!$BG$2:$BG$51,MATCH($C139,campaigns!$A$2:$A$51,0))="","",INDEX(campaigns!$BG$2:$BG$51,MATCH($C139,campaigns!$A$2:$A$51,0))),""),0,NETWORKDAYS(IFERROR(IF(INDEX(campaigns!$BG$2:$BG$51,MATCH($C139,campaigns!$A$2:$A$51,0))="","",INDEX(campaigns!$BG$2:$BG$51,MATCH($C139,campaigns!$A$2:$A$51,0))),""),$A139,calendar!$A$2:$A$80)))</f>
        <v>5</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t="n">
        <v>46441</v>
      </c>
      <c r="B140" s="38" t="n">
        <v>0.541666666666667</v>
      </c>
      <c r="C140" s="10" t="s">
        <v>563</v>
      </c>
      <c r="D140" s="10" t="s">
        <v>686</v>
      </c>
      <c r="E140" s="10" t="s">
        <v>810</v>
      </c>
      <c r="F140" s="0" t="n">
        <v>70</v>
      </c>
      <c r="G140" s="10" t="s">
        <v>811</v>
      </c>
      <c r="H140" s="10" t="s">
        <v>900</v>
      </c>
      <c r="J140" s="30" t="n">
        <f aca="false">IF(OR($C140="",$A140=""),"",IF($A140&lt;IFERROR(IF(INDEX(campaigns!$BG$2:$BG$51,MATCH($C140,campaigns!$A$2:$A$51,0))="","",INDEX(campaigns!$BG$2:$BG$51,MATCH($C140,campaigns!$A$2:$A$51,0))),""),0,NETWORKDAYS(IFERROR(IF(INDEX(campaigns!$BG$2:$BG$51,MATCH($C140,campaigns!$A$2:$A$51,0))="","",INDEX(campaigns!$BG$2:$BG$51,MATCH($C140,campaigns!$A$2:$A$51,0))),""),$A140,calendar!$A$2:$A$80)))</f>
        <v>1</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t="n">
        <v>46443</v>
      </c>
      <c r="B141" s="38" t="n">
        <v>0.458333333333333</v>
      </c>
      <c r="C141" s="10" t="s">
        <v>563</v>
      </c>
      <c r="D141" s="10" t="s">
        <v>686</v>
      </c>
      <c r="E141" s="10" t="s">
        <v>710</v>
      </c>
      <c r="F141" s="0" t="n">
        <v>21</v>
      </c>
      <c r="G141" s="10" t="s">
        <v>813</v>
      </c>
      <c r="J141" s="30" t="n">
        <f aca="false">IF(OR($C141="",$A141=""),"",IF($A141&lt;IFERROR(IF(INDEX(campaigns!$BG$2:$BG$51,MATCH($C141,campaigns!$A$2:$A$51,0))="","",INDEX(campaigns!$BG$2:$BG$51,MATCH($C141,campaigns!$A$2:$A$51,0))),""),0,NETWORKDAYS(IFERROR(IF(INDEX(campaigns!$BG$2:$BG$51,MATCH($C141,campaigns!$A$2:$A$51,0))="","",INDEX(campaigns!$BG$2:$BG$51,MATCH($C141,campaigns!$A$2:$A$51,0))),""),$A141,calendar!$A$2:$A$80)))</f>
        <v>3</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t="n">
        <v>46447</v>
      </c>
      <c r="B142" s="38" t="n">
        <v>0.666666666666667</v>
      </c>
      <c r="C142" s="10" t="s">
        <v>563</v>
      </c>
      <c r="D142" s="10" t="s">
        <v>686</v>
      </c>
      <c r="E142" s="10" t="s">
        <v>711</v>
      </c>
      <c r="F142" s="0" t="n">
        <v>3</v>
      </c>
      <c r="G142" s="10" t="s">
        <v>811</v>
      </c>
      <c r="H142" s="10" t="s">
        <v>901</v>
      </c>
      <c r="J142" s="30" t="n">
        <f aca="false">IF(OR($C142="",$A142=""),"",IF($A142&lt;IFERROR(IF(INDEX(campaigns!$BG$2:$BG$51,MATCH($C142,campaigns!$A$2:$A$51,0))="","",INDEX(campaigns!$BG$2:$BG$51,MATCH($C142,campaigns!$A$2:$A$51,0))),""),0,NETWORKDAYS(IFERROR(IF(INDEX(campaigns!$BG$2:$BG$51,MATCH($C142,campaigns!$A$2:$A$51,0))="","",INDEX(campaigns!$BG$2:$BG$51,MATCH($C142,campaigns!$A$2:$A$51,0))),""),$A142,calendar!$A$2:$A$80)))</f>
        <v>5</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t="n">
        <v>46441</v>
      </c>
      <c r="B143" s="38" t="n">
        <v>0.541666666666667</v>
      </c>
      <c r="C143" s="10" t="s">
        <v>563</v>
      </c>
      <c r="D143" s="10" t="s">
        <v>688</v>
      </c>
      <c r="E143" s="10" t="s">
        <v>810</v>
      </c>
      <c r="F143" s="0" t="n">
        <v>35</v>
      </c>
      <c r="G143" s="10" t="s">
        <v>811</v>
      </c>
      <c r="H143" s="10" t="s">
        <v>902</v>
      </c>
      <c r="J143" s="30" t="n">
        <f aca="false">IF(OR($C143="",$A143=""),"",IF($A143&lt;IFERROR(IF(INDEX(campaigns!$BG$2:$BG$51,MATCH($C143,campaigns!$A$2:$A$51,0))="","",INDEX(campaigns!$BG$2:$BG$51,MATCH($C143,campaigns!$A$2:$A$51,0))),""),0,NETWORKDAYS(IFERROR(IF(INDEX(campaigns!$BG$2:$BG$51,MATCH($C143,campaigns!$A$2:$A$51,0))="","",INDEX(campaigns!$BG$2:$BG$51,MATCH($C143,campaigns!$A$2:$A$51,0))),""),$A143,calendar!$A$2:$A$80)))</f>
        <v>1</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t="n">
        <v>46443</v>
      </c>
      <c r="B144" s="38" t="n">
        <v>0.458333333333333</v>
      </c>
      <c r="C144" s="10" t="s">
        <v>563</v>
      </c>
      <c r="D144" s="10" t="s">
        <v>688</v>
      </c>
      <c r="E144" s="10" t="s">
        <v>710</v>
      </c>
      <c r="F144" s="0" t="n">
        <v>14</v>
      </c>
      <c r="G144" s="10" t="s">
        <v>813</v>
      </c>
      <c r="J144" s="30" t="n">
        <f aca="false">IF(OR($C144="",$A144=""),"",IF($A144&lt;IFERROR(IF(INDEX(campaigns!$BG$2:$BG$51,MATCH($C144,campaigns!$A$2:$A$51,0))="","",INDEX(campaigns!$BG$2:$BG$51,MATCH($C144,campaigns!$A$2:$A$51,0))),""),0,NETWORKDAYS(IFERROR(IF(INDEX(campaigns!$BG$2:$BG$51,MATCH($C144,campaigns!$A$2:$A$51,0))="","",INDEX(campaigns!$BG$2:$BG$51,MATCH($C144,campaigns!$A$2:$A$51,0))),""),$A144,calendar!$A$2:$A$80)))</f>
        <v>3</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t="n">
        <v>46447</v>
      </c>
      <c r="B145" s="38" t="n">
        <v>0.666666666666667</v>
      </c>
      <c r="C145" s="10" t="s">
        <v>563</v>
      </c>
      <c r="D145" s="10" t="s">
        <v>688</v>
      </c>
      <c r="E145" s="10" t="s">
        <v>711</v>
      </c>
      <c r="F145" s="0" t="n">
        <v>3</v>
      </c>
      <c r="G145" s="10" t="s">
        <v>811</v>
      </c>
      <c r="H145" s="10" t="s">
        <v>903</v>
      </c>
      <c r="J145" s="30" t="n">
        <f aca="false">IF(OR($C145="",$A145=""),"",IF($A145&lt;IFERROR(IF(INDEX(campaigns!$BG$2:$BG$51,MATCH($C145,campaigns!$A$2:$A$51,0))="","",INDEX(campaigns!$BG$2:$BG$51,MATCH($C145,campaigns!$A$2:$A$51,0))),""),0,NETWORKDAYS(IFERROR(IF(INDEX(campaigns!$BG$2:$BG$51,MATCH($C145,campaigns!$A$2:$A$51,0))="","",INDEX(campaigns!$BG$2:$BG$51,MATCH($C145,campaigns!$A$2:$A$51,0))),""),$A145,calendar!$A$2:$A$80)))</f>
        <v>5</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808</v>
      </c>
      <c r="B1" s="28" t="s">
        <v>358</v>
      </c>
      <c r="C1" s="28" t="s">
        <v>632</v>
      </c>
      <c r="D1" s="28" t="s">
        <v>904</v>
      </c>
      <c r="E1" s="28" t="s">
        <v>905</v>
      </c>
      <c r="F1" s="28" t="s">
        <v>906</v>
      </c>
      <c r="G1" s="28" t="s">
        <v>807</v>
      </c>
      <c r="H1" s="28" t="s">
        <v>907</v>
      </c>
      <c r="I1" s="28" t="s">
        <v>908</v>
      </c>
      <c r="J1" s="28" t="s">
        <v>909</v>
      </c>
      <c r="K1" s="28" t="s">
        <v>910</v>
      </c>
      <c r="L1" s="28" t="s">
        <v>178</v>
      </c>
      <c r="M1" s="29" t="s">
        <v>300</v>
      </c>
      <c r="N1" s="29" t="s">
        <v>809</v>
      </c>
      <c r="O1" s="29" t="s">
        <v>911</v>
      </c>
      <c r="P1" s="29" t="s">
        <v>912</v>
      </c>
      <c r="Q1" s="29" t="s">
        <v>120</v>
      </c>
      <c r="R1" s="29" t="s">
        <v>176</v>
      </c>
      <c r="S1" s="29" t="s">
        <v>913</v>
      </c>
    </row>
    <row r="2" customFormat="false" ht="15" hidden="false" customHeight="false" outlineLevel="0" collapsed="false">
      <c r="A2" s="0" t="s">
        <v>812</v>
      </c>
      <c r="B2" s="0" t="s">
        <v>472</v>
      </c>
      <c r="C2" s="0" t="s">
        <v>668</v>
      </c>
      <c r="D2" s="10" t="s">
        <v>914</v>
      </c>
      <c r="E2" s="11" t="n">
        <v>46399</v>
      </c>
      <c r="F2" s="38" t="n">
        <v>0.356944444444445</v>
      </c>
      <c r="G2" s="10" t="s">
        <v>338</v>
      </c>
      <c r="H2" s="10" t="s">
        <v>915</v>
      </c>
      <c r="I2" s="11" t="n">
        <v>46399</v>
      </c>
      <c r="J2" s="10" t="s">
        <v>486</v>
      </c>
      <c r="K2" s="10" t="s">
        <v>486</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814</v>
      </c>
      <c r="B3" s="0" t="s">
        <v>472</v>
      </c>
      <c r="C3" s="0" t="s">
        <v>668</v>
      </c>
      <c r="D3" s="10" t="s">
        <v>916</v>
      </c>
      <c r="E3" s="11" t="n">
        <v>46406</v>
      </c>
      <c r="F3" s="38" t="n">
        <v>0.645833333333333</v>
      </c>
      <c r="G3" s="10" t="s">
        <v>137</v>
      </c>
      <c r="H3" s="10" t="s">
        <v>917</v>
      </c>
      <c r="I3" s="11" t="n">
        <v>46406</v>
      </c>
      <c r="J3" s="10" t="s">
        <v>486</v>
      </c>
      <c r="K3" s="10" t="s">
        <v>486</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815</v>
      </c>
      <c r="B4" s="0" t="s">
        <v>472</v>
      </c>
      <c r="C4" s="0" t="s">
        <v>671</v>
      </c>
      <c r="D4" s="10" t="s">
        <v>914</v>
      </c>
      <c r="E4" s="11" t="n">
        <v>46399</v>
      </c>
      <c r="F4" s="38" t="n">
        <v>0.486111111111111</v>
      </c>
      <c r="G4" s="10" t="s">
        <v>137</v>
      </c>
      <c r="H4" s="10" t="s">
        <v>918</v>
      </c>
      <c r="I4" s="11" t="n">
        <v>46399</v>
      </c>
      <c r="J4" s="10" t="s">
        <v>486</v>
      </c>
      <c r="K4" s="10" t="s">
        <v>486</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816</v>
      </c>
      <c r="B5" s="0" t="s">
        <v>472</v>
      </c>
      <c r="C5" s="0" t="s">
        <v>671</v>
      </c>
      <c r="D5" s="10" t="s">
        <v>916</v>
      </c>
      <c r="E5" s="11" t="n">
        <v>46406</v>
      </c>
      <c r="F5" s="38" t="n">
        <v>0.645833333333333</v>
      </c>
      <c r="G5" s="10" t="s">
        <v>137</v>
      </c>
      <c r="H5" s="10" t="s">
        <v>919</v>
      </c>
      <c r="I5" s="11" t="n">
        <v>46406</v>
      </c>
      <c r="J5" s="10" t="s">
        <v>486</v>
      </c>
      <c r="K5" s="10" t="s">
        <v>486</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817</v>
      </c>
      <c r="B6" s="0" t="s">
        <v>472</v>
      </c>
      <c r="C6" s="0" t="s">
        <v>673</v>
      </c>
      <c r="D6" s="10" t="s">
        <v>914</v>
      </c>
      <c r="E6" s="11" t="n">
        <v>46399</v>
      </c>
      <c r="F6" s="38" t="n">
        <v>0.381944444444444</v>
      </c>
      <c r="G6" s="10" t="s">
        <v>338</v>
      </c>
      <c r="H6" s="10" t="s">
        <v>920</v>
      </c>
      <c r="I6" s="11" t="n">
        <v>46399</v>
      </c>
      <c r="J6" s="10" t="s">
        <v>486</v>
      </c>
      <c r="K6" s="10" t="s">
        <v>486</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818</v>
      </c>
      <c r="B7" s="0" t="s">
        <v>472</v>
      </c>
      <c r="C7" s="0" t="s">
        <v>673</v>
      </c>
      <c r="D7" s="10" t="s">
        <v>916</v>
      </c>
      <c r="E7" s="11" t="n">
        <v>46406</v>
      </c>
      <c r="F7" s="38" t="n">
        <v>0.645833333333333</v>
      </c>
      <c r="G7" s="10" t="s">
        <v>137</v>
      </c>
      <c r="H7" s="10" t="s">
        <v>921</v>
      </c>
      <c r="I7" s="11" t="n">
        <v>46406</v>
      </c>
      <c r="J7" s="10" t="s">
        <v>486</v>
      </c>
      <c r="K7" s="10" t="s">
        <v>486</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819</v>
      </c>
      <c r="B8" s="0" t="s">
        <v>472</v>
      </c>
      <c r="C8" s="0" t="s">
        <v>676</v>
      </c>
      <c r="D8" s="10" t="s">
        <v>914</v>
      </c>
      <c r="E8" s="11" t="n">
        <v>46401</v>
      </c>
      <c r="F8" s="38" t="n">
        <v>0.40625</v>
      </c>
      <c r="G8" s="10" t="s">
        <v>137</v>
      </c>
      <c r="H8" s="10" t="s">
        <v>922</v>
      </c>
      <c r="I8" s="11" t="n">
        <v>46401</v>
      </c>
      <c r="J8" s="10" t="s">
        <v>486</v>
      </c>
      <c r="K8" s="10" t="s">
        <v>486</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820</v>
      </c>
      <c r="B9" s="0" t="s">
        <v>472</v>
      </c>
      <c r="C9" s="0" t="s">
        <v>676</v>
      </c>
      <c r="D9" s="10" t="s">
        <v>916</v>
      </c>
      <c r="E9" s="11" t="n">
        <v>46406</v>
      </c>
      <c r="F9" s="38" t="n">
        <v>0.645833333333333</v>
      </c>
      <c r="G9" s="10" t="s">
        <v>137</v>
      </c>
      <c r="H9" s="10" t="s">
        <v>923</v>
      </c>
      <c r="I9" s="11" t="n">
        <v>46406</v>
      </c>
      <c r="J9" s="10" t="s">
        <v>486</v>
      </c>
      <c r="K9" s="10" t="s">
        <v>486</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821</v>
      </c>
      <c r="B10" s="0" t="s">
        <v>472</v>
      </c>
      <c r="C10" s="0" t="s">
        <v>678</v>
      </c>
      <c r="D10" s="10" t="s">
        <v>914</v>
      </c>
      <c r="E10" s="11" t="n">
        <v>46399</v>
      </c>
      <c r="F10" s="38" t="n">
        <v>0.590277777777778</v>
      </c>
      <c r="G10" s="10" t="s">
        <v>137</v>
      </c>
      <c r="H10" s="10" t="s">
        <v>924</v>
      </c>
      <c r="I10" s="11" t="n">
        <v>46399</v>
      </c>
      <c r="J10" s="10" t="s">
        <v>486</v>
      </c>
      <c r="K10" s="10" t="s">
        <v>486</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925</v>
      </c>
      <c r="B11" s="0" t="s">
        <v>472</v>
      </c>
      <c r="C11" s="0" t="s">
        <v>678</v>
      </c>
      <c r="D11" s="10" t="s">
        <v>916</v>
      </c>
      <c r="E11" s="11" t="n">
        <v>46406</v>
      </c>
      <c r="F11" s="38" t="n">
        <v>0.626388888888889</v>
      </c>
      <c r="G11" s="10" t="s">
        <v>137</v>
      </c>
      <c r="H11" s="10" t="s">
        <v>926</v>
      </c>
      <c r="I11" s="11" t="n">
        <v>46406</v>
      </c>
      <c r="J11" s="10" t="s">
        <v>486</v>
      </c>
      <c r="K11" s="10" t="s">
        <v>507</v>
      </c>
      <c r="L11" s="10" t="s">
        <v>927</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822</v>
      </c>
      <c r="B12" s="0" t="s">
        <v>472</v>
      </c>
      <c r="C12" s="0" t="s">
        <v>678</v>
      </c>
      <c r="D12" s="10" t="s">
        <v>916</v>
      </c>
      <c r="E12" s="11" t="n">
        <v>46406</v>
      </c>
      <c r="F12" s="38" t="n">
        <v>0.694444444444444</v>
      </c>
      <c r="G12" s="10" t="s">
        <v>137</v>
      </c>
      <c r="H12" s="10" t="s">
        <v>926</v>
      </c>
      <c r="I12" s="11" t="n">
        <v>46406</v>
      </c>
      <c r="J12" s="10" t="s">
        <v>486</v>
      </c>
      <c r="K12" s="10" t="s">
        <v>486</v>
      </c>
      <c r="L12" s="10" t="s">
        <v>928</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823</v>
      </c>
      <c r="B13" s="0" t="s">
        <v>498</v>
      </c>
      <c r="C13" s="0" t="s">
        <v>668</v>
      </c>
      <c r="D13" s="10" t="s">
        <v>914</v>
      </c>
      <c r="E13" s="11" t="n">
        <v>46399</v>
      </c>
      <c r="F13" s="38" t="n">
        <v>0.356944444444445</v>
      </c>
      <c r="G13" s="10" t="s">
        <v>338</v>
      </c>
      <c r="H13" s="10" t="s">
        <v>929</v>
      </c>
      <c r="I13" s="11" t="n">
        <v>46399</v>
      </c>
      <c r="J13" s="10" t="s">
        <v>486</v>
      </c>
      <c r="K13" s="10" t="s">
        <v>486</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930</v>
      </c>
      <c r="B14" s="0" t="s">
        <v>498</v>
      </c>
      <c r="C14" s="0" t="s">
        <v>668</v>
      </c>
      <c r="D14" s="10" t="s">
        <v>916</v>
      </c>
      <c r="E14" s="11" t="n">
        <v>46406</v>
      </c>
      <c r="F14" s="38" t="n">
        <v>0.645833333333333</v>
      </c>
      <c r="G14" s="10" t="s">
        <v>338</v>
      </c>
      <c r="H14" s="10" t="s">
        <v>931</v>
      </c>
      <c r="I14" s="11" t="n">
        <v>46406</v>
      </c>
      <c r="J14" s="10" t="s">
        <v>486</v>
      </c>
      <c r="K14" s="10" t="s">
        <v>486</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824</v>
      </c>
      <c r="B15" s="0" t="s">
        <v>498</v>
      </c>
      <c r="C15" s="0" t="s">
        <v>671</v>
      </c>
      <c r="D15" s="10" t="s">
        <v>914</v>
      </c>
      <c r="E15" s="11" t="n">
        <v>46399</v>
      </c>
      <c r="F15" s="38" t="n">
        <v>0.486111111111111</v>
      </c>
      <c r="G15" s="10" t="s">
        <v>137</v>
      </c>
      <c r="H15" s="10" t="s">
        <v>932</v>
      </c>
      <c r="I15" s="11" t="n">
        <v>46399</v>
      </c>
      <c r="J15" s="10" t="s">
        <v>486</v>
      </c>
      <c r="K15" s="10" t="s">
        <v>486</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933</v>
      </c>
      <c r="B16" s="0" t="s">
        <v>498</v>
      </c>
      <c r="C16" s="0" t="s">
        <v>671</v>
      </c>
      <c r="D16" s="10" t="s">
        <v>916</v>
      </c>
      <c r="E16" s="11" t="n">
        <v>46401</v>
      </c>
      <c r="F16" s="38" t="n">
        <v>0.638888888888889</v>
      </c>
      <c r="G16" s="10" t="s">
        <v>137</v>
      </c>
      <c r="H16" s="10" t="s">
        <v>934</v>
      </c>
      <c r="I16" s="11" t="n">
        <v>46401</v>
      </c>
      <c r="J16" s="10" t="s">
        <v>486</v>
      </c>
      <c r="K16" s="10" t="s">
        <v>486</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825</v>
      </c>
      <c r="B17" s="0" t="s">
        <v>498</v>
      </c>
      <c r="C17" s="0" t="s">
        <v>673</v>
      </c>
      <c r="D17" s="10" t="s">
        <v>914</v>
      </c>
      <c r="E17" s="11" t="n">
        <v>46399</v>
      </c>
      <c r="F17" s="38" t="n">
        <v>0.381944444444444</v>
      </c>
      <c r="G17" s="10" t="s">
        <v>338</v>
      </c>
      <c r="H17" s="10" t="s">
        <v>935</v>
      </c>
      <c r="I17" s="11" t="n">
        <v>46399</v>
      </c>
      <c r="J17" s="10" t="s">
        <v>486</v>
      </c>
      <c r="K17" s="10" t="s">
        <v>486</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826</v>
      </c>
      <c r="B18" s="0" t="s">
        <v>498</v>
      </c>
      <c r="C18" s="0" t="s">
        <v>676</v>
      </c>
      <c r="D18" s="10" t="s">
        <v>914</v>
      </c>
      <c r="E18" s="11" t="n">
        <v>46400</v>
      </c>
      <c r="F18" s="38" t="n">
        <v>0.378472222222222</v>
      </c>
      <c r="G18" s="10" t="s">
        <v>137</v>
      </c>
      <c r="H18" s="10" t="s">
        <v>936</v>
      </c>
      <c r="I18" s="11" t="n">
        <v>46400</v>
      </c>
      <c r="J18" s="10" t="s">
        <v>486</v>
      </c>
      <c r="K18" s="10" t="s">
        <v>486</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937</v>
      </c>
      <c r="B19" s="0" t="s">
        <v>498</v>
      </c>
      <c r="C19" s="0" t="s">
        <v>676</v>
      </c>
      <c r="D19" s="10" t="s">
        <v>916</v>
      </c>
      <c r="E19" s="11" t="n">
        <v>46406</v>
      </c>
      <c r="F19" s="38" t="n">
        <v>0.645833333333333</v>
      </c>
      <c r="G19" s="10" t="s">
        <v>338</v>
      </c>
      <c r="H19" s="10" t="s">
        <v>938</v>
      </c>
      <c r="I19" s="11" t="n">
        <v>46406</v>
      </c>
      <c r="J19" s="10" t="s">
        <v>486</v>
      </c>
      <c r="K19" s="10" t="s">
        <v>486</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827</v>
      </c>
      <c r="B20" s="0" t="s">
        <v>498</v>
      </c>
      <c r="C20" s="0" t="s">
        <v>678</v>
      </c>
      <c r="D20" s="10" t="s">
        <v>914</v>
      </c>
      <c r="E20" s="11" t="n">
        <v>46399</v>
      </c>
      <c r="F20" s="38" t="n">
        <v>0.590277777777778</v>
      </c>
      <c r="G20" s="10" t="s">
        <v>137</v>
      </c>
      <c r="H20" s="10" t="s">
        <v>939</v>
      </c>
      <c r="I20" s="11" t="n">
        <v>46399</v>
      </c>
      <c r="J20" s="10" t="s">
        <v>486</v>
      </c>
      <c r="K20" s="10" t="s">
        <v>486</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940</v>
      </c>
      <c r="B21" s="0" t="s">
        <v>498</v>
      </c>
      <c r="C21" s="0" t="s">
        <v>678</v>
      </c>
      <c r="D21" s="10" t="s">
        <v>916</v>
      </c>
      <c r="E21" s="11" t="n">
        <v>46406</v>
      </c>
      <c r="F21" s="38" t="n">
        <v>0.645833333333333</v>
      </c>
      <c r="G21" s="10" t="s">
        <v>338</v>
      </c>
      <c r="H21" s="10" t="s">
        <v>941</v>
      </c>
      <c r="I21" s="11" t="n">
        <v>46406</v>
      </c>
      <c r="J21" s="10" t="s">
        <v>486</v>
      </c>
      <c r="K21" s="10" t="s">
        <v>486</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828</v>
      </c>
      <c r="B22" s="0" t="s">
        <v>516</v>
      </c>
      <c r="C22" s="0" t="s">
        <v>668</v>
      </c>
      <c r="D22" s="10" t="s">
        <v>914</v>
      </c>
      <c r="E22" s="11" t="n">
        <v>46427</v>
      </c>
      <c r="F22" s="38" t="n">
        <v>0.541666666666667</v>
      </c>
      <c r="G22" s="10" t="s">
        <v>137</v>
      </c>
      <c r="H22" s="10" t="s">
        <v>942</v>
      </c>
      <c r="I22" s="11" t="n">
        <v>46427</v>
      </c>
      <c r="J22" s="10" t="s">
        <v>486</v>
      </c>
      <c r="K22" s="10" t="s">
        <v>486</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829</v>
      </c>
      <c r="B23" s="0" t="s">
        <v>516</v>
      </c>
      <c r="C23" s="0" t="s">
        <v>668</v>
      </c>
      <c r="D23" s="10" t="s">
        <v>916</v>
      </c>
      <c r="E23" s="11" t="n">
        <v>46434</v>
      </c>
      <c r="F23" s="38" t="n">
        <v>0.625</v>
      </c>
      <c r="G23" s="10" t="s">
        <v>137</v>
      </c>
      <c r="H23" s="10" t="s">
        <v>943</v>
      </c>
      <c r="I23" s="11" t="n">
        <v>46434</v>
      </c>
      <c r="J23" s="10" t="s">
        <v>486</v>
      </c>
      <c r="K23" s="10" t="s">
        <v>486</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830</v>
      </c>
      <c r="B24" s="0" t="s">
        <v>516</v>
      </c>
      <c r="C24" s="0" t="s">
        <v>671</v>
      </c>
      <c r="D24" s="10" t="s">
        <v>914</v>
      </c>
      <c r="E24" s="11" t="n">
        <v>46427</v>
      </c>
      <c r="F24" s="38" t="n">
        <v>0.541666666666667</v>
      </c>
      <c r="G24" s="10" t="s">
        <v>137</v>
      </c>
      <c r="H24" s="10" t="s">
        <v>944</v>
      </c>
      <c r="I24" s="11" t="n">
        <v>46427</v>
      </c>
      <c r="J24" s="10" t="s">
        <v>486</v>
      </c>
      <c r="K24" s="10" t="s">
        <v>486</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831</v>
      </c>
      <c r="B25" s="0" t="s">
        <v>516</v>
      </c>
      <c r="C25" s="0" t="s">
        <v>671</v>
      </c>
      <c r="D25" s="10" t="s">
        <v>916</v>
      </c>
      <c r="E25" s="11" t="n">
        <v>46434</v>
      </c>
      <c r="F25" s="38" t="n">
        <v>0.625</v>
      </c>
      <c r="G25" s="10" t="s">
        <v>137</v>
      </c>
      <c r="H25" s="10" t="s">
        <v>945</v>
      </c>
      <c r="I25" s="11" t="n">
        <v>46434</v>
      </c>
      <c r="J25" s="10" t="s">
        <v>486</v>
      </c>
      <c r="K25" s="10" t="s">
        <v>486</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832</v>
      </c>
      <c r="B26" s="0" t="s">
        <v>516</v>
      </c>
      <c r="C26" s="0" t="s">
        <v>673</v>
      </c>
      <c r="D26" s="10" t="s">
        <v>914</v>
      </c>
      <c r="E26" s="11" t="n">
        <v>46427</v>
      </c>
      <c r="F26" s="38" t="n">
        <v>0.541666666666667</v>
      </c>
      <c r="G26" s="10" t="s">
        <v>137</v>
      </c>
      <c r="H26" s="10" t="s">
        <v>946</v>
      </c>
      <c r="I26" s="11" t="n">
        <v>46427</v>
      </c>
      <c r="J26" s="10" t="s">
        <v>486</v>
      </c>
      <c r="K26" s="10" t="s">
        <v>486</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833</v>
      </c>
      <c r="B27" s="0" t="s">
        <v>516</v>
      </c>
      <c r="C27" s="0" t="s">
        <v>673</v>
      </c>
      <c r="D27" s="10" t="s">
        <v>916</v>
      </c>
      <c r="E27" s="11" t="n">
        <v>46434</v>
      </c>
      <c r="F27" s="38" t="n">
        <v>0.625</v>
      </c>
      <c r="G27" s="10" t="s">
        <v>137</v>
      </c>
      <c r="H27" s="10" t="s">
        <v>947</v>
      </c>
      <c r="I27" s="11" t="n">
        <v>46434</v>
      </c>
      <c r="J27" s="10" t="s">
        <v>486</v>
      </c>
      <c r="K27" s="10" t="s">
        <v>486</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834</v>
      </c>
      <c r="B28" s="0" t="s">
        <v>516</v>
      </c>
      <c r="C28" s="0" t="s">
        <v>676</v>
      </c>
      <c r="D28" s="10" t="s">
        <v>914</v>
      </c>
      <c r="E28" s="11" t="n">
        <v>46428</v>
      </c>
      <c r="F28" s="38" t="n">
        <v>0.395833333333333</v>
      </c>
      <c r="G28" s="10" t="s">
        <v>137</v>
      </c>
      <c r="H28" s="10" t="s">
        <v>948</v>
      </c>
      <c r="I28" s="11" t="n">
        <v>46428</v>
      </c>
      <c r="J28" s="10" t="s">
        <v>486</v>
      </c>
      <c r="K28" s="10" t="s">
        <v>486</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835</v>
      </c>
      <c r="B29" s="0" t="s">
        <v>516</v>
      </c>
      <c r="C29" s="0" t="s">
        <v>676</v>
      </c>
      <c r="D29" s="10" t="s">
        <v>916</v>
      </c>
      <c r="E29" s="11" t="n">
        <v>46434</v>
      </c>
      <c r="F29" s="38" t="n">
        <v>0.625</v>
      </c>
      <c r="G29" s="10" t="s">
        <v>137</v>
      </c>
      <c r="H29" s="10" t="s">
        <v>949</v>
      </c>
      <c r="I29" s="11" t="n">
        <v>46434</v>
      </c>
      <c r="J29" s="10" t="s">
        <v>486</v>
      </c>
      <c r="K29" s="10" t="s">
        <v>486</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836</v>
      </c>
      <c r="B30" s="0" t="s">
        <v>516</v>
      </c>
      <c r="C30" s="0" t="s">
        <v>678</v>
      </c>
      <c r="D30" s="10" t="s">
        <v>914</v>
      </c>
      <c r="E30" s="11" t="n">
        <v>46427</v>
      </c>
      <c r="F30" s="38" t="n">
        <v>0.541666666666667</v>
      </c>
      <c r="G30" s="10" t="s">
        <v>137</v>
      </c>
      <c r="H30" s="10" t="s">
        <v>950</v>
      </c>
      <c r="I30" s="11" t="n">
        <v>46427</v>
      </c>
      <c r="J30" s="10" t="s">
        <v>486</v>
      </c>
      <c r="K30" s="10" t="s">
        <v>486</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837</v>
      </c>
      <c r="B31" s="0" t="s">
        <v>516</v>
      </c>
      <c r="C31" s="0" t="s">
        <v>678</v>
      </c>
      <c r="D31" s="10" t="s">
        <v>916</v>
      </c>
      <c r="E31" s="11" t="n">
        <v>46434</v>
      </c>
      <c r="F31" s="38" t="n">
        <v>0.625</v>
      </c>
      <c r="G31" s="10" t="s">
        <v>137</v>
      </c>
      <c r="H31" s="10" t="s">
        <v>951</v>
      </c>
      <c r="I31" s="11" t="n">
        <v>46434</v>
      </c>
      <c r="J31" s="10" t="s">
        <v>486</v>
      </c>
      <c r="K31" s="10" t="s">
        <v>486</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838</v>
      </c>
      <c r="B32" s="0" t="s">
        <v>516</v>
      </c>
      <c r="C32" s="0" t="s">
        <v>680</v>
      </c>
      <c r="D32" s="10" t="s">
        <v>914</v>
      </c>
      <c r="E32" s="11" t="n">
        <v>46427</v>
      </c>
      <c r="F32" s="38" t="n">
        <v>0.541666666666667</v>
      </c>
      <c r="G32" s="10" t="s">
        <v>137</v>
      </c>
      <c r="H32" s="10" t="s">
        <v>952</v>
      </c>
      <c r="I32" s="11" t="n">
        <v>46427</v>
      </c>
      <c r="J32" s="10" t="s">
        <v>486</v>
      </c>
      <c r="K32" s="10" t="s">
        <v>486</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839</v>
      </c>
      <c r="B33" s="0" t="s">
        <v>516</v>
      </c>
      <c r="C33" s="0" t="s">
        <v>680</v>
      </c>
      <c r="D33" s="10" t="s">
        <v>916</v>
      </c>
      <c r="E33" s="11" t="n">
        <v>46434</v>
      </c>
      <c r="F33" s="38" t="n">
        <v>0.625</v>
      </c>
      <c r="G33" s="10" t="s">
        <v>137</v>
      </c>
      <c r="H33" s="10" t="s">
        <v>953</v>
      </c>
      <c r="I33" s="11" t="n">
        <v>46434</v>
      </c>
      <c r="J33" s="10" t="s">
        <v>486</v>
      </c>
      <c r="K33" s="10" t="s">
        <v>486</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840</v>
      </c>
      <c r="B34" s="0" t="s">
        <v>516</v>
      </c>
      <c r="C34" s="0" t="s">
        <v>682</v>
      </c>
      <c r="D34" s="10" t="s">
        <v>914</v>
      </c>
      <c r="E34" s="11" t="n">
        <v>46427</v>
      </c>
      <c r="F34" s="38" t="n">
        <v>0.541666666666667</v>
      </c>
      <c r="G34" s="10" t="s">
        <v>137</v>
      </c>
      <c r="H34" s="10" t="s">
        <v>954</v>
      </c>
      <c r="I34" s="11" t="n">
        <v>46427</v>
      </c>
      <c r="J34" s="10" t="s">
        <v>486</v>
      </c>
      <c r="K34" s="10" t="s">
        <v>486</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841</v>
      </c>
      <c r="B35" s="0" t="s">
        <v>516</v>
      </c>
      <c r="C35" s="0" t="s">
        <v>682</v>
      </c>
      <c r="D35" s="10" t="s">
        <v>916</v>
      </c>
      <c r="E35" s="11" t="n">
        <v>46434</v>
      </c>
      <c r="F35" s="38" t="n">
        <v>0.625</v>
      </c>
      <c r="G35" s="10" t="s">
        <v>137</v>
      </c>
      <c r="H35" s="10" t="s">
        <v>955</v>
      </c>
      <c r="I35" s="11" t="n">
        <v>46434</v>
      </c>
      <c r="J35" s="10" t="s">
        <v>486</v>
      </c>
      <c r="K35" s="10" t="s">
        <v>486</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842</v>
      </c>
      <c r="B36" s="0" t="s">
        <v>516</v>
      </c>
      <c r="C36" s="0" t="s">
        <v>684</v>
      </c>
      <c r="D36" s="10" t="s">
        <v>914</v>
      </c>
      <c r="E36" s="11" t="n">
        <v>46427</v>
      </c>
      <c r="F36" s="38" t="n">
        <v>0.541666666666667</v>
      </c>
      <c r="G36" s="10" t="s">
        <v>137</v>
      </c>
      <c r="H36" s="10" t="s">
        <v>956</v>
      </c>
      <c r="I36" s="11" t="n">
        <v>46427</v>
      </c>
      <c r="J36" s="10" t="s">
        <v>486</v>
      </c>
      <c r="K36" s="10" t="s">
        <v>486</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843</v>
      </c>
      <c r="B37" s="0" t="s">
        <v>516</v>
      </c>
      <c r="C37" s="0" t="s">
        <v>684</v>
      </c>
      <c r="D37" s="10" t="s">
        <v>916</v>
      </c>
      <c r="E37" s="11" t="n">
        <v>46434</v>
      </c>
      <c r="F37" s="38" t="n">
        <v>0.625</v>
      </c>
      <c r="G37" s="10" t="s">
        <v>137</v>
      </c>
      <c r="H37" s="10" t="s">
        <v>957</v>
      </c>
      <c r="I37" s="11" t="n">
        <v>46434</v>
      </c>
      <c r="J37" s="10" t="s">
        <v>486</v>
      </c>
      <c r="K37" s="10" t="s">
        <v>486</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844</v>
      </c>
      <c r="B38" s="0" t="s">
        <v>516</v>
      </c>
      <c r="C38" s="0" t="s">
        <v>686</v>
      </c>
      <c r="D38" s="10" t="s">
        <v>914</v>
      </c>
      <c r="E38" s="11" t="n">
        <v>46428</v>
      </c>
      <c r="F38" s="38" t="n">
        <v>0.381944444444444</v>
      </c>
      <c r="G38" s="10" t="s">
        <v>137</v>
      </c>
      <c r="H38" s="10" t="s">
        <v>958</v>
      </c>
      <c r="I38" s="11" t="n">
        <v>46428</v>
      </c>
      <c r="J38" s="10" t="s">
        <v>486</v>
      </c>
      <c r="K38" s="10" t="s">
        <v>486</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845</v>
      </c>
      <c r="B39" s="0" t="s">
        <v>516</v>
      </c>
      <c r="C39" s="0" t="s">
        <v>686</v>
      </c>
      <c r="D39" s="10" t="s">
        <v>916</v>
      </c>
      <c r="E39" s="11" t="n">
        <v>46434</v>
      </c>
      <c r="F39" s="38" t="n">
        <v>0.625</v>
      </c>
      <c r="G39" s="10" t="s">
        <v>137</v>
      </c>
      <c r="H39" s="10" t="s">
        <v>959</v>
      </c>
      <c r="I39" s="11" t="n">
        <v>46434</v>
      </c>
      <c r="J39" s="10" t="s">
        <v>486</v>
      </c>
      <c r="K39" s="10" t="s">
        <v>486</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846</v>
      </c>
      <c r="B40" s="0" t="s">
        <v>516</v>
      </c>
      <c r="C40" s="0" t="s">
        <v>688</v>
      </c>
      <c r="D40" s="10" t="s">
        <v>914</v>
      </c>
      <c r="E40" s="11" t="n">
        <v>46427</v>
      </c>
      <c r="F40" s="38" t="n">
        <v>0.541666666666667</v>
      </c>
      <c r="G40" s="10" t="s">
        <v>137</v>
      </c>
      <c r="H40" s="10" t="s">
        <v>960</v>
      </c>
      <c r="I40" s="11" t="n">
        <v>46427</v>
      </c>
      <c r="J40" s="10" t="s">
        <v>486</v>
      </c>
      <c r="K40" s="10" t="s">
        <v>486</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847</v>
      </c>
      <c r="B41" s="0" t="s">
        <v>516</v>
      </c>
      <c r="C41" s="0" t="s">
        <v>688</v>
      </c>
      <c r="D41" s="10" t="s">
        <v>916</v>
      </c>
      <c r="E41" s="11" t="n">
        <v>46434</v>
      </c>
      <c r="F41" s="38" t="n">
        <v>0.625</v>
      </c>
      <c r="G41" s="10" t="s">
        <v>137</v>
      </c>
      <c r="H41" s="10" t="s">
        <v>961</v>
      </c>
      <c r="I41" s="11" t="n">
        <v>46434</v>
      </c>
      <c r="J41" s="10" t="s">
        <v>486</v>
      </c>
      <c r="K41" s="10" t="s">
        <v>486</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848</v>
      </c>
      <c r="B42" s="0" t="s">
        <v>532</v>
      </c>
      <c r="C42" s="0" t="s">
        <v>668</v>
      </c>
      <c r="D42" s="10" t="s">
        <v>914</v>
      </c>
      <c r="E42" s="11" t="n">
        <v>46427</v>
      </c>
      <c r="F42" s="38" t="n">
        <v>0.541666666666667</v>
      </c>
      <c r="G42" s="10" t="s">
        <v>137</v>
      </c>
      <c r="H42" s="10" t="s">
        <v>962</v>
      </c>
      <c r="I42" s="11" t="n">
        <v>46427</v>
      </c>
      <c r="J42" s="10" t="s">
        <v>486</v>
      </c>
      <c r="K42" s="10" t="s">
        <v>486</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849</v>
      </c>
      <c r="B43" s="0" t="s">
        <v>532</v>
      </c>
      <c r="C43" s="0" t="s">
        <v>668</v>
      </c>
      <c r="D43" s="10" t="s">
        <v>916</v>
      </c>
      <c r="E43" s="11" t="n">
        <v>46434</v>
      </c>
      <c r="F43" s="38" t="n">
        <v>0.625</v>
      </c>
      <c r="G43" s="10" t="s">
        <v>137</v>
      </c>
      <c r="H43" s="10" t="s">
        <v>963</v>
      </c>
      <c r="I43" s="11" t="n">
        <v>46434</v>
      </c>
      <c r="J43" s="10" t="s">
        <v>486</v>
      </c>
      <c r="K43" s="10" t="s">
        <v>486</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850</v>
      </c>
      <c r="B44" s="0" t="s">
        <v>532</v>
      </c>
      <c r="C44" s="0" t="s">
        <v>671</v>
      </c>
      <c r="D44" s="10" t="s">
        <v>914</v>
      </c>
      <c r="E44" s="11" t="n">
        <v>46427</v>
      </c>
      <c r="F44" s="38" t="n">
        <v>0.541666666666667</v>
      </c>
      <c r="G44" s="10" t="s">
        <v>137</v>
      </c>
      <c r="H44" s="10" t="s">
        <v>964</v>
      </c>
      <c r="I44" s="11" t="n">
        <v>46427</v>
      </c>
      <c r="J44" s="10" t="s">
        <v>486</v>
      </c>
      <c r="K44" s="10" t="s">
        <v>486</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851</v>
      </c>
      <c r="B45" s="0" t="s">
        <v>532</v>
      </c>
      <c r="C45" s="0" t="s">
        <v>671</v>
      </c>
      <c r="D45" s="10" t="s">
        <v>916</v>
      </c>
      <c r="E45" s="11" t="n">
        <v>46434</v>
      </c>
      <c r="F45" s="38" t="n">
        <v>0.625</v>
      </c>
      <c r="G45" s="10" t="s">
        <v>137</v>
      </c>
      <c r="H45" s="10" t="s">
        <v>965</v>
      </c>
      <c r="I45" s="11" t="n">
        <v>46434</v>
      </c>
      <c r="J45" s="10" t="s">
        <v>486</v>
      </c>
      <c r="K45" s="10" t="s">
        <v>486</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852</v>
      </c>
      <c r="B46" s="0" t="s">
        <v>532</v>
      </c>
      <c r="C46" s="0" t="s">
        <v>673</v>
      </c>
      <c r="D46" s="10" t="s">
        <v>914</v>
      </c>
      <c r="E46" s="11" t="n">
        <v>46427</v>
      </c>
      <c r="F46" s="38" t="n">
        <v>0.541666666666667</v>
      </c>
      <c r="G46" s="10" t="s">
        <v>137</v>
      </c>
      <c r="H46" s="10" t="s">
        <v>966</v>
      </c>
      <c r="I46" s="11" t="n">
        <v>46427</v>
      </c>
      <c r="J46" s="10" t="s">
        <v>486</v>
      </c>
      <c r="K46" s="10" t="s">
        <v>486</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853</v>
      </c>
      <c r="B47" s="0" t="s">
        <v>532</v>
      </c>
      <c r="C47" s="0" t="s">
        <v>673</v>
      </c>
      <c r="D47" s="10" t="s">
        <v>916</v>
      </c>
      <c r="E47" s="11" t="n">
        <v>46434</v>
      </c>
      <c r="F47" s="38" t="n">
        <v>0.625</v>
      </c>
      <c r="G47" s="10" t="s">
        <v>137</v>
      </c>
      <c r="H47" s="10" t="s">
        <v>967</v>
      </c>
      <c r="I47" s="11" t="n">
        <v>46434</v>
      </c>
      <c r="J47" s="10" t="s">
        <v>486</v>
      </c>
      <c r="K47" s="10" t="s">
        <v>486</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854</v>
      </c>
      <c r="B48" s="0" t="s">
        <v>532</v>
      </c>
      <c r="C48" s="0" t="s">
        <v>676</v>
      </c>
      <c r="D48" s="10" t="s">
        <v>914</v>
      </c>
      <c r="E48" s="11" t="n">
        <v>46428</v>
      </c>
      <c r="F48" s="38" t="n">
        <v>0.395833333333333</v>
      </c>
      <c r="G48" s="10" t="s">
        <v>137</v>
      </c>
      <c r="H48" s="10" t="s">
        <v>968</v>
      </c>
      <c r="I48" s="11" t="n">
        <v>46428</v>
      </c>
      <c r="J48" s="10" t="s">
        <v>486</v>
      </c>
      <c r="K48" s="10" t="s">
        <v>486</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855</v>
      </c>
      <c r="B49" s="0" t="s">
        <v>532</v>
      </c>
      <c r="C49" s="0" t="s">
        <v>676</v>
      </c>
      <c r="D49" s="10" t="s">
        <v>916</v>
      </c>
      <c r="E49" s="11" t="n">
        <v>46434</v>
      </c>
      <c r="F49" s="38" t="n">
        <v>0.625</v>
      </c>
      <c r="G49" s="10" t="s">
        <v>137</v>
      </c>
      <c r="H49" s="10" t="s">
        <v>969</v>
      </c>
      <c r="I49" s="11" t="n">
        <v>46434</v>
      </c>
      <c r="J49" s="10" t="s">
        <v>486</v>
      </c>
      <c r="K49" s="10" t="s">
        <v>486</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856</v>
      </c>
      <c r="B50" s="0" t="s">
        <v>532</v>
      </c>
      <c r="C50" s="0" t="s">
        <v>678</v>
      </c>
      <c r="D50" s="10" t="s">
        <v>914</v>
      </c>
      <c r="E50" s="11" t="n">
        <v>46427</v>
      </c>
      <c r="F50" s="38" t="n">
        <v>0.541666666666667</v>
      </c>
      <c r="G50" s="10" t="s">
        <v>137</v>
      </c>
      <c r="H50" s="10" t="s">
        <v>970</v>
      </c>
      <c r="I50" s="11" t="n">
        <v>46427</v>
      </c>
      <c r="J50" s="10" t="s">
        <v>486</v>
      </c>
      <c r="K50" s="10" t="s">
        <v>486</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857</v>
      </c>
      <c r="B51" s="0" t="s">
        <v>532</v>
      </c>
      <c r="C51" s="0" t="s">
        <v>678</v>
      </c>
      <c r="D51" s="10" t="s">
        <v>916</v>
      </c>
      <c r="E51" s="11" t="n">
        <v>46434</v>
      </c>
      <c r="F51" s="38" t="n">
        <v>0.625</v>
      </c>
      <c r="G51" s="10" t="s">
        <v>137</v>
      </c>
      <c r="H51" s="10" t="s">
        <v>971</v>
      </c>
      <c r="I51" s="11" t="n">
        <v>46434</v>
      </c>
      <c r="J51" s="10" t="s">
        <v>486</v>
      </c>
      <c r="K51" s="10" t="s">
        <v>486</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858</v>
      </c>
      <c r="B52" s="0" t="s">
        <v>532</v>
      </c>
      <c r="C52" s="0" t="s">
        <v>680</v>
      </c>
      <c r="D52" s="10" t="s">
        <v>914</v>
      </c>
      <c r="E52" s="11" t="n">
        <v>46427</v>
      </c>
      <c r="F52" s="38" t="n">
        <v>0.541666666666667</v>
      </c>
      <c r="G52" s="10" t="s">
        <v>137</v>
      </c>
      <c r="H52" s="10" t="s">
        <v>972</v>
      </c>
      <c r="I52" s="11" t="n">
        <v>46427</v>
      </c>
      <c r="J52" s="10" t="s">
        <v>486</v>
      </c>
      <c r="K52" s="10" t="s">
        <v>486</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859</v>
      </c>
      <c r="B53" s="0" t="s">
        <v>532</v>
      </c>
      <c r="C53" s="0" t="s">
        <v>680</v>
      </c>
      <c r="D53" s="10" t="s">
        <v>916</v>
      </c>
      <c r="E53" s="11" t="n">
        <v>46434</v>
      </c>
      <c r="F53" s="38" t="n">
        <v>0.625</v>
      </c>
      <c r="G53" s="10" t="s">
        <v>137</v>
      </c>
      <c r="H53" s="10" t="s">
        <v>973</v>
      </c>
      <c r="I53" s="11" t="n">
        <v>46434</v>
      </c>
      <c r="J53" s="10" t="s">
        <v>486</v>
      </c>
      <c r="K53" s="10" t="s">
        <v>486</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860</v>
      </c>
      <c r="B54" s="0" t="s">
        <v>532</v>
      </c>
      <c r="C54" s="0" t="s">
        <v>684</v>
      </c>
      <c r="D54" s="10" t="s">
        <v>914</v>
      </c>
      <c r="E54" s="11" t="n">
        <v>46427</v>
      </c>
      <c r="F54" s="38" t="n">
        <v>0.541666666666667</v>
      </c>
      <c r="G54" s="10" t="s">
        <v>137</v>
      </c>
      <c r="H54" s="10" t="s">
        <v>974</v>
      </c>
      <c r="I54" s="11" t="n">
        <v>46427</v>
      </c>
      <c r="J54" s="10" t="s">
        <v>486</v>
      </c>
      <c r="K54" s="10" t="s">
        <v>486</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861</v>
      </c>
      <c r="B55" s="0" t="s">
        <v>532</v>
      </c>
      <c r="C55" s="0" t="s">
        <v>684</v>
      </c>
      <c r="D55" s="10" t="s">
        <v>916</v>
      </c>
      <c r="E55" s="11" t="n">
        <v>46434</v>
      </c>
      <c r="F55" s="38" t="n">
        <v>0.625</v>
      </c>
      <c r="G55" s="10" t="s">
        <v>137</v>
      </c>
      <c r="H55" s="10" t="s">
        <v>975</v>
      </c>
      <c r="I55" s="11" t="n">
        <v>46434</v>
      </c>
      <c r="J55" s="10" t="s">
        <v>486</v>
      </c>
      <c r="K55" s="10" t="s">
        <v>486</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862</v>
      </c>
      <c r="B56" s="0" t="s">
        <v>532</v>
      </c>
      <c r="C56" s="0" t="s">
        <v>686</v>
      </c>
      <c r="D56" s="10" t="s">
        <v>914</v>
      </c>
      <c r="E56" s="11" t="n">
        <v>46428</v>
      </c>
      <c r="F56" s="38" t="n">
        <v>0.381944444444444</v>
      </c>
      <c r="G56" s="10" t="s">
        <v>137</v>
      </c>
      <c r="H56" s="10" t="s">
        <v>976</v>
      </c>
      <c r="I56" s="11" t="n">
        <v>46428</v>
      </c>
      <c r="J56" s="10" t="s">
        <v>486</v>
      </c>
      <c r="K56" s="10" t="s">
        <v>486</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863</v>
      </c>
      <c r="B57" s="0" t="s">
        <v>532</v>
      </c>
      <c r="C57" s="0" t="s">
        <v>686</v>
      </c>
      <c r="D57" s="10" t="s">
        <v>916</v>
      </c>
      <c r="E57" s="11" t="n">
        <v>46434</v>
      </c>
      <c r="F57" s="38" t="n">
        <v>0.625</v>
      </c>
      <c r="G57" s="10" t="s">
        <v>137</v>
      </c>
      <c r="H57" s="10" t="s">
        <v>977</v>
      </c>
      <c r="I57" s="11" t="n">
        <v>46434</v>
      </c>
      <c r="J57" s="10" t="s">
        <v>486</v>
      </c>
      <c r="K57" s="10" t="s">
        <v>486</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864</v>
      </c>
      <c r="B58" s="0" t="s">
        <v>532</v>
      </c>
      <c r="C58" s="0" t="s">
        <v>688</v>
      </c>
      <c r="D58" s="10" t="s">
        <v>914</v>
      </c>
      <c r="E58" s="11" t="n">
        <v>46427</v>
      </c>
      <c r="F58" s="38" t="n">
        <v>0.541666666666667</v>
      </c>
      <c r="G58" s="10" t="s">
        <v>137</v>
      </c>
      <c r="H58" s="10" t="s">
        <v>978</v>
      </c>
      <c r="I58" s="11" t="n">
        <v>46427</v>
      </c>
      <c r="J58" s="10" t="s">
        <v>486</v>
      </c>
      <c r="K58" s="10" t="s">
        <v>486</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865</v>
      </c>
      <c r="B59" s="0" t="s">
        <v>532</v>
      </c>
      <c r="C59" s="0" t="s">
        <v>688</v>
      </c>
      <c r="D59" s="10" t="s">
        <v>916</v>
      </c>
      <c r="E59" s="11" t="n">
        <v>46434</v>
      </c>
      <c r="F59" s="38" t="n">
        <v>0.625</v>
      </c>
      <c r="G59" s="10" t="s">
        <v>137</v>
      </c>
      <c r="H59" s="10" t="s">
        <v>979</v>
      </c>
      <c r="I59" s="11" t="n">
        <v>46434</v>
      </c>
      <c r="J59" s="10" t="s">
        <v>486</v>
      </c>
      <c r="K59" s="10" t="s">
        <v>486</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866</v>
      </c>
      <c r="B60" s="0" t="s">
        <v>549</v>
      </c>
      <c r="C60" s="0" t="s">
        <v>668</v>
      </c>
      <c r="D60" s="10" t="s">
        <v>914</v>
      </c>
      <c r="E60" s="11" t="n">
        <v>46427</v>
      </c>
      <c r="F60" s="38" t="n">
        <v>0.541666666666667</v>
      </c>
      <c r="G60" s="10" t="s">
        <v>137</v>
      </c>
      <c r="H60" s="10" t="s">
        <v>980</v>
      </c>
      <c r="I60" s="11" t="n">
        <v>46427</v>
      </c>
      <c r="J60" s="10" t="s">
        <v>486</v>
      </c>
      <c r="K60" s="10" t="s">
        <v>486</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867</v>
      </c>
      <c r="B61" s="0" t="s">
        <v>549</v>
      </c>
      <c r="C61" s="0" t="s">
        <v>668</v>
      </c>
      <c r="D61" s="10" t="s">
        <v>916</v>
      </c>
      <c r="E61" s="11" t="n">
        <v>46434</v>
      </c>
      <c r="F61" s="38" t="n">
        <v>0.625</v>
      </c>
      <c r="G61" s="10" t="s">
        <v>137</v>
      </c>
      <c r="H61" s="10" t="s">
        <v>981</v>
      </c>
      <c r="I61" s="11" t="n">
        <v>46434</v>
      </c>
      <c r="J61" s="10" t="s">
        <v>486</v>
      </c>
      <c r="K61" s="10" t="s">
        <v>486</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868</v>
      </c>
      <c r="B62" s="0" t="s">
        <v>549</v>
      </c>
      <c r="C62" s="0" t="s">
        <v>671</v>
      </c>
      <c r="D62" s="10" t="s">
        <v>914</v>
      </c>
      <c r="E62" s="11" t="n">
        <v>46427</v>
      </c>
      <c r="F62" s="38" t="n">
        <v>0.541666666666667</v>
      </c>
      <c r="G62" s="10" t="s">
        <v>137</v>
      </c>
      <c r="H62" s="10" t="s">
        <v>982</v>
      </c>
      <c r="I62" s="11" t="n">
        <v>46427</v>
      </c>
      <c r="J62" s="10" t="s">
        <v>486</v>
      </c>
      <c r="K62" s="10" t="s">
        <v>486</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869</v>
      </c>
      <c r="B63" s="0" t="s">
        <v>549</v>
      </c>
      <c r="C63" s="0" t="s">
        <v>671</v>
      </c>
      <c r="D63" s="10" t="s">
        <v>916</v>
      </c>
      <c r="E63" s="11" t="n">
        <v>46434</v>
      </c>
      <c r="F63" s="38" t="n">
        <v>0.625</v>
      </c>
      <c r="G63" s="10" t="s">
        <v>137</v>
      </c>
      <c r="H63" s="10" t="s">
        <v>983</v>
      </c>
      <c r="I63" s="11" t="n">
        <v>46434</v>
      </c>
      <c r="J63" s="10" t="s">
        <v>486</v>
      </c>
      <c r="K63" s="10" t="s">
        <v>486</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870</v>
      </c>
      <c r="B64" s="0" t="s">
        <v>549</v>
      </c>
      <c r="C64" s="0" t="s">
        <v>673</v>
      </c>
      <c r="D64" s="10" t="s">
        <v>914</v>
      </c>
      <c r="E64" s="11" t="n">
        <v>46427</v>
      </c>
      <c r="F64" s="38" t="n">
        <v>0.541666666666667</v>
      </c>
      <c r="G64" s="10" t="s">
        <v>137</v>
      </c>
      <c r="H64" s="10" t="s">
        <v>984</v>
      </c>
      <c r="I64" s="11" t="n">
        <v>46427</v>
      </c>
      <c r="J64" s="10" t="s">
        <v>486</v>
      </c>
      <c r="K64" s="10" t="s">
        <v>486</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871</v>
      </c>
      <c r="B65" s="0" t="s">
        <v>549</v>
      </c>
      <c r="C65" s="0" t="s">
        <v>673</v>
      </c>
      <c r="D65" s="10" t="s">
        <v>916</v>
      </c>
      <c r="E65" s="11" t="n">
        <v>46434</v>
      </c>
      <c r="F65" s="38" t="n">
        <v>0.625</v>
      </c>
      <c r="G65" s="10" t="s">
        <v>137</v>
      </c>
      <c r="H65" s="10" t="s">
        <v>985</v>
      </c>
      <c r="I65" s="11" t="n">
        <v>46434</v>
      </c>
      <c r="J65" s="10" t="s">
        <v>486</v>
      </c>
      <c r="K65" s="10" t="s">
        <v>486</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872</v>
      </c>
      <c r="B66" s="0" t="s">
        <v>549</v>
      </c>
      <c r="C66" s="0" t="s">
        <v>676</v>
      </c>
      <c r="D66" s="10" t="s">
        <v>914</v>
      </c>
      <c r="E66" s="11" t="n">
        <v>46428</v>
      </c>
      <c r="F66" s="38" t="n">
        <v>0.395833333333333</v>
      </c>
      <c r="G66" s="10" t="s">
        <v>137</v>
      </c>
      <c r="H66" s="10" t="s">
        <v>986</v>
      </c>
      <c r="I66" s="11" t="n">
        <v>46428</v>
      </c>
      <c r="J66" s="10" t="s">
        <v>486</v>
      </c>
      <c r="K66" s="10" t="s">
        <v>486</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873</v>
      </c>
      <c r="B67" s="0" t="s">
        <v>549</v>
      </c>
      <c r="C67" s="0" t="s">
        <v>676</v>
      </c>
      <c r="D67" s="10" t="s">
        <v>916</v>
      </c>
      <c r="E67" s="11" t="n">
        <v>46434</v>
      </c>
      <c r="F67" s="38" t="n">
        <v>0.625</v>
      </c>
      <c r="G67" s="10" t="s">
        <v>137</v>
      </c>
      <c r="H67" s="10" t="s">
        <v>987</v>
      </c>
      <c r="I67" s="11" t="n">
        <v>46434</v>
      </c>
      <c r="J67" s="10" t="s">
        <v>486</v>
      </c>
      <c r="K67" s="10" t="s">
        <v>486</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874</v>
      </c>
      <c r="B68" s="0" t="s">
        <v>549</v>
      </c>
      <c r="C68" s="0" t="s">
        <v>678</v>
      </c>
      <c r="D68" s="10" t="s">
        <v>914</v>
      </c>
      <c r="E68" s="11" t="n">
        <v>46427</v>
      </c>
      <c r="F68" s="38" t="n">
        <v>0.541666666666667</v>
      </c>
      <c r="G68" s="10" t="s">
        <v>137</v>
      </c>
      <c r="H68" s="10" t="s">
        <v>988</v>
      </c>
      <c r="I68" s="11" t="n">
        <v>46427</v>
      </c>
      <c r="J68" s="10" t="s">
        <v>486</v>
      </c>
      <c r="K68" s="10" t="s">
        <v>486</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875</v>
      </c>
      <c r="B69" s="0" t="s">
        <v>549</v>
      </c>
      <c r="C69" s="0" t="s">
        <v>678</v>
      </c>
      <c r="D69" s="10" t="s">
        <v>916</v>
      </c>
      <c r="E69" s="11" t="n">
        <v>46434</v>
      </c>
      <c r="F69" s="38" t="n">
        <v>0.625</v>
      </c>
      <c r="G69" s="10" t="s">
        <v>137</v>
      </c>
      <c r="H69" s="10" t="s">
        <v>989</v>
      </c>
      <c r="I69" s="11" t="n">
        <v>46434</v>
      </c>
      <c r="J69" s="10" t="s">
        <v>486</v>
      </c>
      <c r="K69" s="10" t="s">
        <v>486</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876</v>
      </c>
      <c r="B70" s="0" t="s">
        <v>549</v>
      </c>
      <c r="C70" s="0" t="s">
        <v>680</v>
      </c>
      <c r="D70" s="10" t="s">
        <v>914</v>
      </c>
      <c r="E70" s="11" t="n">
        <v>46427</v>
      </c>
      <c r="F70" s="38" t="n">
        <v>0.541666666666667</v>
      </c>
      <c r="G70" s="10" t="s">
        <v>137</v>
      </c>
      <c r="H70" s="10" t="s">
        <v>990</v>
      </c>
      <c r="I70" s="11" t="n">
        <v>46427</v>
      </c>
      <c r="J70" s="10" t="s">
        <v>486</v>
      </c>
      <c r="K70" s="10" t="s">
        <v>486</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877</v>
      </c>
      <c r="B71" s="0" t="s">
        <v>549</v>
      </c>
      <c r="C71" s="0" t="s">
        <v>680</v>
      </c>
      <c r="D71" s="10" t="s">
        <v>916</v>
      </c>
      <c r="E71" s="11" t="n">
        <v>46434</v>
      </c>
      <c r="F71" s="38" t="n">
        <v>0.625</v>
      </c>
      <c r="G71" s="10" t="s">
        <v>137</v>
      </c>
      <c r="H71" s="10" t="s">
        <v>991</v>
      </c>
      <c r="I71" s="11" t="n">
        <v>46434</v>
      </c>
      <c r="J71" s="10" t="s">
        <v>486</v>
      </c>
      <c r="K71" s="10" t="s">
        <v>486</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878</v>
      </c>
      <c r="B72" s="0" t="s">
        <v>549</v>
      </c>
      <c r="C72" s="0" t="s">
        <v>682</v>
      </c>
      <c r="D72" s="10" t="s">
        <v>914</v>
      </c>
      <c r="E72" s="11" t="n">
        <v>46427</v>
      </c>
      <c r="F72" s="38" t="n">
        <v>0.541666666666667</v>
      </c>
      <c r="G72" s="10" t="s">
        <v>137</v>
      </c>
      <c r="H72" s="10" t="s">
        <v>992</v>
      </c>
      <c r="I72" s="11" t="n">
        <v>46427</v>
      </c>
      <c r="J72" s="10" t="s">
        <v>486</v>
      </c>
      <c r="K72" s="10" t="s">
        <v>486</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879</v>
      </c>
      <c r="B73" s="0" t="s">
        <v>549</v>
      </c>
      <c r="C73" s="0" t="s">
        <v>682</v>
      </c>
      <c r="D73" s="10" t="s">
        <v>916</v>
      </c>
      <c r="E73" s="11" t="n">
        <v>46434</v>
      </c>
      <c r="F73" s="38" t="n">
        <v>0.625</v>
      </c>
      <c r="G73" s="10" t="s">
        <v>137</v>
      </c>
      <c r="H73" s="10" t="s">
        <v>993</v>
      </c>
      <c r="I73" s="11" t="n">
        <v>46434</v>
      </c>
      <c r="J73" s="10" t="s">
        <v>486</v>
      </c>
      <c r="K73" s="10" t="s">
        <v>486</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880</v>
      </c>
      <c r="B74" s="0" t="s">
        <v>549</v>
      </c>
      <c r="C74" s="0" t="s">
        <v>684</v>
      </c>
      <c r="D74" s="10" t="s">
        <v>914</v>
      </c>
      <c r="E74" s="11" t="n">
        <v>46427</v>
      </c>
      <c r="F74" s="38" t="n">
        <v>0.541666666666667</v>
      </c>
      <c r="G74" s="10" t="s">
        <v>137</v>
      </c>
      <c r="H74" s="10" t="s">
        <v>994</v>
      </c>
      <c r="I74" s="11" t="n">
        <v>46427</v>
      </c>
      <c r="J74" s="10" t="s">
        <v>486</v>
      </c>
      <c r="K74" s="10" t="s">
        <v>486</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881</v>
      </c>
      <c r="B75" s="0" t="s">
        <v>549</v>
      </c>
      <c r="C75" s="0" t="s">
        <v>684</v>
      </c>
      <c r="D75" s="10" t="s">
        <v>916</v>
      </c>
      <c r="E75" s="11" t="n">
        <v>46434</v>
      </c>
      <c r="F75" s="38" t="n">
        <v>0.625</v>
      </c>
      <c r="G75" s="10" t="s">
        <v>137</v>
      </c>
      <c r="H75" s="10" t="s">
        <v>995</v>
      </c>
      <c r="I75" s="11" t="n">
        <v>46434</v>
      </c>
      <c r="J75" s="10" t="s">
        <v>486</v>
      </c>
      <c r="K75" s="10" t="s">
        <v>486</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882</v>
      </c>
      <c r="B76" s="0" t="s">
        <v>549</v>
      </c>
      <c r="C76" s="0" t="s">
        <v>686</v>
      </c>
      <c r="D76" s="10" t="s">
        <v>914</v>
      </c>
      <c r="E76" s="11" t="n">
        <v>46428</v>
      </c>
      <c r="F76" s="38" t="n">
        <v>0.381944444444444</v>
      </c>
      <c r="G76" s="10" t="s">
        <v>137</v>
      </c>
      <c r="H76" s="10" t="s">
        <v>996</v>
      </c>
      <c r="I76" s="11" t="n">
        <v>46428</v>
      </c>
      <c r="J76" s="10" t="s">
        <v>486</v>
      </c>
      <c r="K76" s="10" t="s">
        <v>486</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883</v>
      </c>
      <c r="B77" s="0" t="s">
        <v>549</v>
      </c>
      <c r="C77" s="0" t="s">
        <v>686</v>
      </c>
      <c r="D77" s="10" t="s">
        <v>916</v>
      </c>
      <c r="E77" s="11" t="n">
        <v>46434</v>
      </c>
      <c r="F77" s="38" t="n">
        <v>0.625</v>
      </c>
      <c r="G77" s="10" t="s">
        <v>137</v>
      </c>
      <c r="H77" s="10" t="s">
        <v>997</v>
      </c>
      <c r="I77" s="11" t="n">
        <v>46434</v>
      </c>
      <c r="J77" s="10" t="s">
        <v>486</v>
      </c>
      <c r="K77" s="10" t="s">
        <v>486</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884</v>
      </c>
      <c r="B78" s="0" t="s">
        <v>549</v>
      </c>
      <c r="C78" s="0" t="s">
        <v>688</v>
      </c>
      <c r="D78" s="10" t="s">
        <v>914</v>
      </c>
      <c r="E78" s="11" t="n">
        <v>46427</v>
      </c>
      <c r="F78" s="38" t="n">
        <v>0.541666666666667</v>
      </c>
      <c r="G78" s="10" t="s">
        <v>137</v>
      </c>
      <c r="H78" s="10" t="s">
        <v>998</v>
      </c>
      <c r="I78" s="11" t="n">
        <v>46427</v>
      </c>
      <c r="J78" s="10" t="s">
        <v>486</v>
      </c>
      <c r="K78" s="10" t="s">
        <v>486</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885</v>
      </c>
      <c r="B79" s="0" t="s">
        <v>549</v>
      </c>
      <c r="C79" s="0" t="s">
        <v>688</v>
      </c>
      <c r="D79" s="10" t="s">
        <v>916</v>
      </c>
      <c r="E79" s="11" t="n">
        <v>46434</v>
      </c>
      <c r="F79" s="38" t="n">
        <v>0.625</v>
      </c>
      <c r="G79" s="10" t="s">
        <v>137</v>
      </c>
      <c r="H79" s="10" t="s">
        <v>999</v>
      </c>
      <c r="I79" s="11" t="n">
        <v>46434</v>
      </c>
      <c r="J79" s="10" t="s">
        <v>486</v>
      </c>
      <c r="K79" s="10" t="s">
        <v>486</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A80" s="0" t="s">
        <v>886</v>
      </c>
      <c r="B80" s="0" t="s">
        <v>563</v>
      </c>
      <c r="C80" s="0" t="s">
        <v>668</v>
      </c>
      <c r="D80" s="10" t="s">
        <v>914</v>
      </c>
      <c r="E80" s="11" t="n">
        <v>46441</v>
      </c>
      <c r="F80" s="38" t="n">
        <v>0.541666666666667</v>
      </c>
      <c r="G80" s="10" t="s">
        <v>137</v>
      </c>
      <c r="H80" s="10" t="s">
        <v>1000</v>
      </c>
      <c r="I80" s="11" t="n">
        <v>46441</v>
      </c>
      <c r="J80" s="10" t="s">
        <v>486</v>
      </c>
      <c r="K80" s="10" t="s">
        <v>486</v>
      </c>
      <c r="M80" s="31" t="n">
        <f aca="false">IF($B80="","",IFERROR(IF(INDEX(campaigns!$BG$2:$BG$51,MATCH($B80,campaigns!$A$2:$A$51,0))="","",INDEX(campaigns!$BG$2:$BG$51,MATCH($B80,campaigns!$A$2:$A$51,0))),""))</f>
        <v>46441</v>
      </c>
      <c r="N80" s="30" t="n">
        <f aca="false">IF(OR($B80="",$E80="",$M80=""),"",IF($E80&lt;$M80,0,NETWORKDAYS($M80,$E80,calendar!$A$2:$A$80)))</f>
        <v>1</v>
      </c>
      <c r="O80" s="30" t="str">
        <f aca="false">IF($B80="","",IF(AND($K80="Y",OR($D80="later",$J80="Y")),"Y","N"))</f>
        <v>Y</v>
      </c>
      <c r="P80" s="30" t="str">
        <f aca="false">IF(OR($B80="",$E80=""),"",$B80&amp;"_"&amp;$C80&amp;"_"&amp;$D80&amp;"_"&amp;TEXT($E80,"yyyy-mm-dd")&amp;".jpg")</f>
        <v>SAMPLE-CMP-006_SAMPLE-O-001_placement_2027-02-23.jpg</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SAMPLE-CMP-006|SAMPLE-O-001|placement|Y</v>
      </c>
      <c r="S80" s="30" t="str">
        <f aca="false">IF($B80="","",$R80&amp;"|"&amp;N($E80))</f>
        <v>SAMPLE-CMP-006|SAMPLE-O-001|placement|Y|46441</v>
      </c>
    </row>
    <row r="81" customFormat="false" ht="15" hidden="false" customHeight="false" outlineLevel="0" collapsed="false">
      <c r="A81" s="0" t="s">
        <v>887</v>
      </c>
      <c r="B81" s="0" t="s">
        <v>563</v>
      </c>
      <c r="C81" s="0" t="s">
        <v>668</v>
      </c>
      <c r="D81" s="10" t="s">
        <v>916</v>
      </c>
      <c r="E81" s="11" t="n">
        <v>46447</v>
      </c>
      <c r="F81" s="38" t="n">
        <v>0.625</v>
      </c>
      <c r="G81" s="10" t="s">
        <v>137</v>
      </c>
      <c r="H81" s="10" t="s">
        <v>1001</v>
      </c>
      <c r="I81" s="11" t="n">
        <v>46447</v>
      </c>
      <c r="J81" s="10" t="s">
        <v>486</v>
      </c>
      <c r="K81" s="10" t="s">
        <v>486</v>
      </c>
      <c r="M81" s="31" t="n">
        <f aca="false">IF($B81="","",IFERROR(IF(INDEX(campaigns!$BG$2:$BG$51,MATCH($B81,campaigns!$A$2:$A$51,0))="","",INDEX(campaigns!$BG$2:$BG$51,MATCH($B81,campaigns!$A$2:$A$51,0))),""))</f>
        <v>46441</v>
      </c>
      <c r="N81" s="30" t="n">
        <f aca="false">IF(OR($B81="",$E81="",$M81=""),"",IF($E81&lt;$M81,0,NETWORKDAYS($M81,$E81,calendar!$A$2:$A$80)))</f>
        <v>5</v>
      </c>
      <c r="O81" s="30" t="str">
        <f aca="false">IF($B81="","",IF(AND($K81="Y",OR($D81="later",$J81="Y")),"Y","N"))</f>
        <v>Y</v>
      </c>
      <c r="P81" s="30" t="str">
        <f aca="false">IF(OR($B81="",$E81=""),"",$B81&amp;"_"&amp;$C81&amp;"_"&amp;$D81&amp;"_"&amp;TEXT($E81,"yyyy-mm-dd")&amp;".jpg")</f>
        <v>SAMPLE-CMP-006_SAMPLE-O-001_later_2027-03-01.jpg</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SAMPLE-CMP-006|SAMPLE-O-001|later|Y</v>
      </c>
      <c r="S81" s="30" t="str">
        <f aca="false">IF($B81="","",$R81&amp;"|"&amp;N($E81))</f>
        <v>SAMPLE-CMP-006|SAMPLE-O-001|later|Y|46447</v>
      </c>
    </row>
    <row r="82" customFormat="false" ht="15" hidden="false" customHeight="false" outlineLevel="0" collapsed="false">
      <c r="A82" s="0" t="s">
        <v>888</v>
      </c>
      <c r="B82" s="0" t="s">
        <v>563</v>
      </c>
      <c r="C82" s="0" t="s">
        <v>671</v>
      </c>
      <c r="D82" s="10" t="s">
        <v>914</v>
      </c>
      <c r="E82" s="11" t="n">
        <v>46441</v>
      </c>
      <c r="F82" s="38" t="n">
        <v>0.541666666666667</v>
      </c>
      <c r="G82" s="10" t="s">
        <v>137</v>
      </c>
      <c r="H82" s="10" t="s">
        <v>1002</v>
      </c>
      <c r="I82" s="11" t="n">
        <v>46441</v>
      </c>
      <c r="J82" s="10" t="s">
        <v>486</v>
      </c>
      <c r="K82" s="10" t="s">
        <v>486</v>
      </c>
      <c r="M82" s="31" t="n">
        <f aca="false">IF($B82="","",IFERROR(IF(INDEX(campaigns!$BG$2:$BG$51,MATCH($B82,campaigns!$A$2:$A$51,0))="","",INDEX(campaigns!$BG$2:$BG$51,MATCH($B82,campaigns!$A$2:$A$51,0))),""))</f>
        <v>46441</v>
      </c>
      <c r="N82" s="30" t="n">
        <f aca="false">IF(OR($B82="",$E82="",$M82=""),"",IF($E82&lt;$M82,0,NETWORKDAYS($M82,$E82,calendar!$A$2:$A$80)))</f>
        <v>1</v>
      </c>
      <c r="O82" s="30" t="str">
        <f aca="false">IF($B82="","",IF(AND($K82="Y",OR($D82="later",$J82="Y")),"Y","N"))</f>
        <v>Y</v>
      </c>
      <c r="P82" s="30" t="str">
        <f aca="false">IF(OR($B82="",$E82=""),"",$B82&amp;"_"&amp;$C82&amp;"_"&amp;$D82&amp;"_"&amp;TEXT($E82,"yyyy-mm-dd")&amp;".jpg")</f>
        <v>SAMPLE-CMP-006_SAMPLE-O-002_placement_2027-02-23.jpg</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SAMPLE-CMP-006|SAMPLE-O-002|placement|Y</v>
      </c>
      <c r="S82" s="30" t="str">
        <f aca="false">IF($B82="","",$R82&amp;"|"&amp;N($E82))</f>
        <v>SAMPLE-CMP-006|SAMPLE-O-002|placement|Y|46441</v>
      </c>
    </row>
    <row r="83" customFormat="false" ht="15" hidden="false" customHeight="false" outlineLevel="0" collapsed="false">
      <c r="A83" s="0" t="s">
        <v>889</v>
      </c>
      <c r="B83" s="0" t="s">
        <v>563</v>
      </c>
      <c r="C83" s="0" t="s">
        <v>671</v>
      </c>
      <c r="D83" s="10" t="s">
        <v>916</v>
      </c>
      <c r="E83" s="11" t="n">
        <v>46447</v>
      </c>
      <c r="F83" s="38" t="n">
        <v>0.625</v>
      </c>
      <c r="G83" s="10" t="s">
        <v>137</v>
      </c>
      <c r="H83" s="10" t="s">
        <v>1003</v>
      </c>
      <c r="I83" s="11" t="n">
        <v>46447</v>
      </c>
      <c r="J83" s="10" t="s">
        <v>486</v>
      </c>
      <c r="K83" s="10" t="s">
        <v>486</v>
      </c>
      <c r="M83" s="31" t="n">
        <f aca="false">IF($B83="","",IFERROR(IF(INDEX(campaigns!$BG$2:$BG$51,MATCH($B83,campaigns!$A$2:$A$51,0))="","",INDEX(campaigns!$BG$2:$BG$51,MATCH($B83,campaigns!$A$2:$A$51,0))),""))</f>
        <v>46441</v>
      </c>
      <c r="N83" s="30" t="n">
        <f aca="false">IF(OR($B83="",$E83="",$M83=""),"",IF($E83&lt;$M83,0,NETWORKDAYS($M83,$E83,calendar!$A$2:$A$80)))</f>
        <v>5</v>
      </c>
      <c r="O83" s="30" t="str">
        <f aca="false">IF($B83="","",IF(AND($K83="Y",OR($D83="later",$J83="Y")),"Y","N"))</f>
        <v>Y</v>
      </c>
      <c r="P83" s="30" t="str">
        <f aca="false">IF(OR($B83="",$E83=""),"",$B83&amp;"_"&amp;$C83&amp;"_"&amp;$D83&amp;"_"&amp;TEXT($E83,"yyyy-mm-dd")&amp;".jpg")</f>
        <v>SAMPLE-CMP-006_SAMPLE-O-002_later_2027-03-01.jpg</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SAMPLE-CMP-006|SAMPLE-O-002|later|Y</v>
      </c>
      <c r="S83" s="30" t="str">
        <f aca="false">IF($B83="","",$R83&amp;"|"&amp;N($E83))</f>
        <v>SAMPLE-CMP-006|SAMPLE-O-002|later|Y|46447</v>
      </c>
    </row>
    <row r="84" customFormat="false" ht="15" hidden="false" customHeight="false" outlineLevel="0" collapsed="false">
      <c r="A84" s="0" t="s">
        <v>890</v>
      </c>
      <c r="B84" s="0" t="s">
        <v>563</v>
      </c>
      <c r="C84" s="0" t="s">
        <v>673</v>
      </c>
      <c r="D84" s="10" t="s">
        <v>914</v>
      </c>
      <c r="E84" s="11" t="n">
        <v>46441</v>
      </c>
      <c r="F84" s="38" t="n">
        <v>0.541666666666667</v>
      </c>
      <c r="G84" s="10" t="s">
        <v>137</v>
      </c>
      <c r="H84" s="10" t="s">
        <v>1004</v>
      </c>
      <c r="I84" s="11" t="n">
        <v>46441</v>
      </c>
      <c r="J84" s="10" t="s">
        <v>486</v>
      </c>
      <c r="K84" s="10" t="s">
        <v>486</v>
      </c>
      <c r="M84" s="31" t="n">
        <f aca="false">IF($B84="","",IFERROR(IF(INDEX(campaigns!$BG$2:$BG$51,MATCH($B84,campaigns!$A$2:$A$51,0))="","",INDEX(campaigns!$BG$2:$BG$51,MATCH($B84,campaigns!$A$2:$A$51,0))),""))</f>
        <v>46441</v>
      </c>
      <c r="N84" s="30" t="n">
        <f aca="false">IF(OR($B84="",$E84="",$M84=""),"",IF($E84&lt;$M84,0,NETWORKDAYS($M84,$E84,calendar!$A$2:$A$80)))</f>
        <v>1</v>
      </c>
      <c r="O84" s="30" t="str">
        <f aca="false">IF($B84="","",IF(AND($K84="Y",OR($D84="later",$J84="Y")),"Y","N"))</f>
        <v>Y</v>
      </c>
      <c r="P84" s="30" t="str">
        <f aca="false">IF(OR($B84="",$E84=""),"",$B84&amp;"_"&amp;$C84&amp;"_"&amp;$D84&amp;"_"&amp;TEXT($E84,"yyyy-mm-dd")&amp;".jpg")</f>
        <v>SAMPLE-CMP-006_SAMPLE-O-003_placement_2027-02-23.jpg</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SAMPLE-CMP-006|SAMPLE-O-003|placement|Y</v>
      </c>
      <c r="S84" s="30" t="str">
        <f aca="false">IF($B84="","",$R84&amp;"|"&amp;N($E84))</f>
        <v>SAMPLE-CMP-006|SAMPLE-O-003|placement|Y|46441</v>
      </c>
    </row>
    <row r="85" customFormat="false" ht="15" hidden="false" customHeight="false" outlineLevel="0" collapsed="false">
      <c r="A85" s="0" t="s">
        <v>891</v>
      </c>
      <c r="B85" s="0" t="s">
        <v>563</v>
      </c>
      <c r="C85" s="0" t="s">
        <v>673</v>
      </c>
      <c r="D85" s="10" t="s">
        <v>916</v>
      </c>
      <c r="E85" s="11" t="n">
        <v>46447</v>
      </c>
      <c r="F85" s="38" t="n">
        <v>0.625</v>
      </c>
      <c r="G85" s="10" t="s">
        <v>137</v>
      </c>
      <c r="H85" s="10" t="s">
        <v>1005</v>
      </c>
      <c r="I85" s="11" t="n">
        <v>46447</v>
      </c>
      <c r="J85" s="10" t="s">
        <v>486</v>
      </c>
      <c r="K85" s="10" t="s">
        <v>486</v>
      </c>
      <c r="M85" s="31" t="n">
        <f aca="false">IF($B85="","",IFERROR(IF(INDEX(campaigns!$BG$2:$BG$51,MATCH($B85,campaigns!$A$2:$A$51,0))="","",INDEX(campaigns!$BG$2:$BG$51,MATCH($B85,campaigns!$A$2:$A$51,0))),""))</f>
        <v>46441</v>
      </c>
      <c r="N85" s="30" t="n">
        <f aca="false">IF(OR($B85="",$E85="",$M85=""),"",IF($E85&lt;$M85,0,NETWORKDAYS($M85,$E85,calendar!$A$2:$A$80)))</f>
        <v>5</v>
      </c>
      <c r="O85" s="30" t="str">
        <f aca="false">IF($B85="","",IF(AND($K85="Y",OR($D85="later",$J85="Y")),"Y","N"))</f>
        <v>Y</v>
      </c>
      <c r="P85" s="30" t="str">
        <f aca="false">IF(OR($B85="",$E85=""),"",$B85&amp;"_"&amp;$C85&amp;"_"&amp;$D85&amp;"_"&amp;TEXT($E85,"yyyy-mm-dd")&amp;".jpg")</f>
        <v>SAMPLE-CMP-006_SAMPLE-O-003_later_2027-03-01.jpg</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SAMPLE-CMP-006|SAMPLE-O-003|later|Y</v>
      </c>
      <c r="S85" s="30" t="str">
        <f aca="false">IF($B85="","",$R85&amp;"|"&amp;N($E85))</f>
        <v>SAMPLE-CMP-006|SAMPLE-O-003|later|Y|46447</v>
      </c>
    </row>
    <row r="86" customFormat="false" ht="15" hidden="false" customHeight="false" outlineLevel="0" collapsed="false">
      <c r="A86" s="0" t="s">
        <v>892</v>
      </c>
      <c r="B86" s="0" t="s">
        <v>563</v>
      </c>
      <c r="C86" s="0" t="s">
        <v>676</v>
      </c>
      <c r="D86" s="10" t="s">
        <v>914</v>
      </c>
      <c r="E86" s="11" t="n">
        <v>46441</v>
      </c>
      <c r="F86" s="38" t="n">
        <v>0.541666666666667</v>
      </c>
      <c r="G86" s="10" t="s">
        <v>137</v>
      </c>
      <c r="H86" s="10" t="s">
        <v>1006</v>
      </c>
      <c r="I86" s="11" t="n">
        <v>46441</v>
      </c>
      <c r="J86" s="10" t="s">
        <v>486</v>
      </c>
      <c r="K86" s="10" t="s">
        <v>486</v>
      </c>
      <c r="M86" s="31" t="n">
        <f aca="false">IF($B86="","",IFERROR(IF(INDEX(campaigns!$BG$2:$BG$51,MATCH($B86,campaigns!$A$2:$A$51,0))="","",INDEX(campaigns!$BG$2:$BG$51,MATCH($B86,campaigns!$A$2:$A$51,0))),""))</f>
        <v>46441</v>
      </c>
      <c r="N86" s="30" t="n">
        <f aca="false">IF(OR($B86="",$E86="",$M86=""),"",IF($E86&lt;$M86,0,NETWORKDAYS($M86,$E86,calendar!$A$2:$A$80)))</f>
        <v>1</v>
      </c>
      <c r="O86" s="30" t="str">
        <f aca="false">IF($B86="","",IF(AND($K86="Y",OR($D86="later",$J86="Y")),"Y","N"))</f>
        <v>Y</v>
      </c>
      <c r="P86" s="30" t="str">
        <f aca="false">IF(OR($B86="",$E86=""),"",$B86&amp;"_"&amp;$C86&amp;"_"&amp;$D86&amp;"_"&amp;TEXT($E86,"yyyy-mm-dd")&amp;".jpg")</f>
        <v>SAMPLE-CMP-006_SAMPLE-O-004_placement_2027-02-23.jpg</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SAMPLE-CMP-006|SAMPLE-O-004|placement|Y</v>
      </c>
      <c r="S86" s="30" t="str">
        <f aca="false">IF($B86="","",$R86&amp;"|"&amp;N($E86))</f>
        <v>SAMPLE-CMP-006|SAMPLE-O-004|placement|Y|46441</v>
      </c>
    </row>
    <row r="87" customFormat="false" ht="15" hidden="false" customHeight="false" outlineLevel="0" collapsed="false">
      <c r="A87" s="0" t="s">
        <v>893</v>
      </c>
      <c r="B87" s="0" t="s">
        <v>563</v>
      </c>
      <c r="C87" s="0" t="s">
        <v>676</v>
      </c>
      <c r="D87" s="10" t="s">
        <v>916</v>
      </c>
      <c r="E87" s="11" t="n">
        <v>46447</v>
      </c>
      <c r="F87" s="38" t="n">
        <v>0.625</v>
      </c>
      <c r="G87" s="10" t="s">
        <v>137</v>
      </c>
      <c r="H87" s="10" t="s">
        <v>1007</v>
      </c>
      <c r="I87" s="11" t="n">
        <v>46447</v>
      </c>
      <c r="J87" s="10" t="s">
        <v>486</v>
      </c>
      <c r="K87" s="10" t="s">
        <v>486</v>
      </c>
      <c r="M87" s="31" t="n">
        <f aca="false">IF($B87="","",IFERROR(IF(INDEX(campaigns!$BG$2:$BG$51,MATCH($B87,campaigns!$A$2:$A$51,0))="","",INDEX(campaigns!$BG$2:$BG$51,MATCH($B87,campaigns!$A$2:$A$51,0))),""))</f>
        <v>46441</v>
      </c>
      <c r="N87" s="30" t="n">
        <f aca="false">IF(OR($B87="",$E87="",$M87=""),"",IF($E87&lt;$M87,0,NETWORKDAYS($M87,$E87,calendar!$A$2:$A$80)))</f>
        <v>5</v>
      </c>
      <c r="O87" s="30" t="str">
        <f aca="false">IF($B87="","",IF(AND($K87="Y",OR($D87="later",$J87="Y")),"Y","N"))</f>
        <v>Y</v>
      </c>
      <c r="P87" s="30" t="str">
        <f aca="false">IF(OR($B87="",$E87=""),"",$B87&amp;"_"&amp;$C87&amp;"_"&amp;$D87&amp;"_"&amp;TEXT($E87,"yyyy-mm-dd")&amp;".jpg")</f>
        <v>SAMPLE-CMP-006_SAMPLE-O-004_later_2027-03-01.jpg</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SAMPLE-CMP-006|SAMPLE-O-004|later|Y</v>
      </c>
      <c r="S87" s="30" t="str">
        <f aca="false">IF($B87="","",$R87&amp;"|"&amp;N($E87))</f>
        <v>SAMPLE-CMP-006|SAMPLE-O-004|later|Y|46447</v>
      </c>
    </row>
    <row r="88" customFormat="false" ht="15" hidden="false" customHeight="false" outlineLevel="0" collapsed="false">
      <c r="A88" s="0" t="s">
        <v>894</v>
      </c>
      <c r="B88" s="0" t="s">
        <v>563</v>
      </c>
      <c r="C88" s="0" t="s">
        <v>678</v>
      </c>
      <c r="D88" s="10" t="s">
        <v>914</v>
      </c>
      <c r="E88" s="11" t="n">
        <v>46441</v>
      </c>
      <c r="F88" s="38" t="n">
        <v>0.541666666666667</v>
      </c>
      <c r="G88" s="10" t="s">
        <v>137</v>
      </c>
      <c r="H88" s="10" t="s">
        <v>1008</v>
      </c>
      <c r="I88" s="11" t="n">
        <v>46441</v>
      </c>
      <c r="J88" s="10" t="s">
        <v>486</v>
      </c>
      <c r="K88" s="10" t="s">
        <v>486</v>
      </c>
      <c r="M88" s="31" t="n">
        <f aca="false">IF($B88="","",IFERROR(IF(INDEX(campaigns!$BG$2:$BG$51,MATCH($B88,campaigns!$A$2:$A$51,0))="","",INDEX(campaigns!$BG$2:$BG$51,MATCH($B88,campaigns!$A$2:$A$51,0))),""))</f>
        <v>46441</v>
      </c>
      <c r="N88" s="30" t="n">
        <f aca="false">IF(OR($B88="",$E88="",$M88=""),"",IF($E88&lt;$M88,0,NETWORKDAYS($M88,$E88,calendar!$A$2:$A$80)))</f>
        <v>1</v>
      </c>
      <c r="O88" s="30" t="str">
        <f aca="false">IF($B88="","",IF(AND($K88="Y",OR($D88="later",$J88="Y")),"Y","N"))</f>
        <v>Y</v>
      </c>
      <c r="P88" s="30" t="str">
        <f aca="false">IF(OR($B88="",$E88=""),"",$B88&amp;"_"&amp;$C88&amp;"_"&amp;$D88&amp;"_"&amp;TEXT($E88,"yyyy-mm-dd")&amp;".jpg")</f>
        <v>SAMPLE-CMP-006_SAMPLE-O-005_placement_2027-02-23.jpg</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SAMPLE-CMP-006|SAMPLE-O-005|placement|Y</v>
      </c>
      <c r="S88" s="30" t="str">
        <f aca="false">IF($B88="","",$R88&amp;"|"&amp;N($E88))</f>
        <v>SAMPLE-CMP-006|SAMPLE-O-005|placement|Y|46441</v>
      </c>
    </row>
    <row r="89" customFormat="false" ht="15" hidden="false" customHeight="false" outlineLevel="0" collapsed="false">
      <c r="A89" s="0" t="s">
        <v>895</v>
      </c>
      <c r="B89" s="0" t="s">
        <v>563</v>
      </c>
      <c r="C89" s="0" t="s">
        <v>678</v>
      </c>
      <c r="D89" s="10" t="s">
        <v>916</v>
      </c>
      <c r="E89" s="11" t="n">
        <v>46447</v>
      </c>
      <c r="F89" s="38" t="n">
        <v>0.625</v>
      </c>
      <c r="G89" s="10" t="s">
        <v>137</v>
      </c>
      <c r="H89" s="10" t="s">
        <v>1009</v>
      </c>
      <c r="I89" s="11" t="n">
        <v>46447</v>
      </c>
      <c r="J89" s="10" t="s">
        <v>486</v>
      </c>
      <c r="K89" s="10" t="s">
        <v>486</v>
      </c>
      <c r="M89" s="31" t="n">
        <f aca="false">IF($B89="","",IFERROR(IF(INDEX(campaigns!$BG$2:$BG$51,MATCH($B89,campaigns!$A$2:$A$51,0))="","",INDEX(campaigns!$BG$2:$BG$51,MATCH($B89,campaigns!$A$2:$A$51,0))),""))</f>
        <v>46441</v>
      </c>
      <c r="N89" s="30" t="n">
        <f aca="false">IF(OR($B89="",$E89="",$M89=""),"",IF($E89&lt;$M89,0,NETWORKDAYS($M89,$E89,calendar!$A$2:$A$80)))</f>
        <v>5</v>
      </c>
      <c r="O89" s="30" t="str">
        <f aca="false">IF($B89="","",IF(AND($K89="Y",OR($D89="later",$J89="Y")),"Y","N"))</f>
        <v>Y</v>
      </c>
      <c r="P89" s="30" t="str">
        <f aca="false">IF(OR($B89="",$E89=""),"",$B89&amp;"_"&amp;$C89&amp;"_"&amp;$D89&amp;"_"&amp;TEXT($E89,"yyyy-mm-dd")&amp;".jpg")</f>
        <v>SAMPLE-CMP-006_SAMPLE-O-005_later_2027-03-01.jpg</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SAMPLE-CMP-006|SAMPLE-O-005|later|Y</v>
      </c>
      <c r="S89" s="30" t="str">
        <f aca="false">IF($B89="","",$R89&amp;"|"&amp;N($E89))</f>
        <v>SAMPLE-CMP-006|SAMPLE-O-005|later|Y|46447</v>
      </c>
    </row>
    <row r="90" customFormat="false" ht="15" hidden="false" customHeight="false" outlineLevel="0" collapsed="false">
      <c r="A90" s="0" t="s">
        <v>896</v>
      </c>
      <c r="B90" s="0" t="s">
        <v>563</v>
      </c>
      <c r="C90" s="0" t="s">
        <v>682</v>
      </c>
      <c r="D90" s="10" t="s">
        <v>914</v>
      </c>
      <c r="E90" s="11" t="n">
        <v>46441</v>
      </c>
      <c r="F90" s="38" t="n">
        <v>0.541666666666667</v>
      </c>
      <c r="G90" s="10" t="s">
        <v>137</v>
      </c>
      <c r="H90" s="10" t="s">
        <v>1010</v>
      </c>
      <c r="I90" s="11" t="n">
        <v>46441</v>
      </c>
      <c r="J90" s="10" t="s">
        <v>486</v>
      </c>
      <c r="K90" s="10" t="s">
        <v>486</v>
      </c>
      <c r="M90" s="31" t="n">
        <f aca="false">IF($B90="","",IFERROR(IF(INDEX(campaigns!$BG$2:$BG$51,MATCH($B90,campaigns!$A$2:$A$51,0))="","",INDEX(campaigns!$BG$2:$BG$51,MATCH($B90,campaigns!$A$2:$A$51,0))),""))</f>
        <v>46441</v>
      </c>
      <c r="N90" s="30" t="n">
        <f aca="false">IF(OR($B90="",$E90="",$M90=""),"",IF($E90&lt;$M90,0,NETWORKDAYS($M90,$E90,calendar!$A$2:$A$80)))</f>
        <v>1</v>
      </c>
      <c r="O90" s="30" t="str">
        <f aca="false">IF($B90="","",IF(AND($K90="Y",OR($D90="later",$J90="Y")),"Y","N"))</f>
        <v>Y</v>
      </c>
      <c r="P90" s="30" t="str">
        <f aca="false">IF(OR($B90="",$E90=""),"",$B90&amp;"_"&amp;$C90&amp;"_"&amp;$D90&amp;"_"&amp;TEXT($E90,"yyyy-mm-dd")&amp;".jpg")</f>
        <v>SAMPLE-CMP-006_SAMPLE-O-007_placement_2027-02-23.jpg</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SAMPLE-CMP-006|SAMPLE-O-007|placement|Y</v>
      </c>
      <c r="S90" s="30" t="str">
        <f aca="false">IF($B90="","",$R90&amp;"|"&amp;N($E90))</f>
        <v>SAMPLE-CMP-006|SAMPLE-O-007|placement|Y|46441</v>
      </c>
    </row>
    <row r="91" customFormat="false" ht="15" hidden="false" customHeight="false" outlineLevel="0" collapsed="false">
      <c r="A91" s="0" t="s">
        <v>897</v>
      </c>
      <c r="B91" s="0" t="s">
        <v>563</v>
      </c>
      <c r="C91" s="0" t="s">
        <v>682</v>
      </c>
      <c r="D91" s="10" t="s">
        <v>916</v>
      </c>
      <c r="E91" s="11" t="n">
        <v>46447</v>
      </c>
      <c r="F91" s="38" t="n">
        <v>0.625</v>
      </c>
      <c r="G91" s="10" t="s">
        <v>137</v>
      </c>
      <c r="H91" s="10" t="s">
        <v>1011</v>
      </c>
      <c r="I91" s="11" t="n">
        <v>46447</v>
      </c>
      <c r="J91" s="10" t="s">
        <v>486</v>
      </c>
      <c r="K91" s="10" t="s">
        <v>486</v>
      </c>
      <c r="M91" s="31" t="n">
        <f aca="false">IF($B91="","",IFERROR(IF(INDEX(campaigns!$BG$2:$BG$51,MATCH($B91,campaigns!$A$2:$A$51,0))="","",INDEX(campaigns!$BG$2:$BG$51,MATCH($B91,campaigns!$A$2:$A$51,0))),""))</f>
        <v>46441</v>
      </c>
      <c r="N91" s="30" t="n">
        <f aca="false">IF(OR($B91="",$E91="",$M91=""),"",IF($E91&lt;$M91,0,NETWORKDAYS($M91,$E91,calendar!$A$2:$A$80)))</f>
        <v>5</v>
      </c>
      <c r="O91" s="30" t="str">
        <f aca="false">IF($B91="","",IF(AND($K91="Y",OR($D91="later",$J91="Y")),"Y","N"))</f>
        <v>Y</v>
      </c>
      <c r="P91" s="30" t="str">
        <f aca="false">IF(OR($B91="",$E91=""),"",$B91&amp;"_"&amp;$C91&amp;"_"&amp;$D91&amp;"_"&amp;TEXT($E91,"yyyy-mm-dd")&amp;".jpg")</f>
        <v>SAMPLE-CMP-006_SAMPLE-O-007_later_2027-03-01.jpg</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SAMPLE-CMP-006|SAMPLE-O-007|later|Y</v>
      </c>
      <c r="S91" s="30" t="str">
        <f aca="false">IF($B91="","",$R91&amp;"|"&amp;N($E91))</f>
        <v>SAMPLE-CMP-006|SAMPLE-O-007|later|Y|46447</v>
      </c>
    </row>
    <row r="92" customFormat="false" ht="15" hidden="false" customHeight="false" outlineLevel="0" collapsed="false">
      <c r="A92" s="0" t="s">
        <v>898</v>
      </c>
      <c r="B92" s="0" t="s">
        <v>563</v>
      </c>
      <c r="C92" s="0" t="s">
        <v>684</v>
      </c>
      <c r="D92" s="10" t="s">
        <v>914</v>
      </c>
      <c r="E92" s="11" t="n">
        <v>46441</v>
      </c>
      <c r="F92" s="38" t="n">
        <v>0.541666666666667</v>
      </c>
      <c r="G92" s="10" t="s">
        <v>137</v>
      </c>
      <c r="H92" s="10" t="s">
        <v>1012</v>
      </c>
      <c r="I92" s="11" t="n">
        <v>46441</v>
      </c>
      <c r="J92" s="10" t="s">
        <v>486</v>
      </c>
      <c r="K92" s="10" t="s">
        <v>486</v>
      </c>
      <c r="M92" s="31" t="n">
        <f aca="false">IF($B92="","",IFERROR(IF(INDEX(campaigns!$BG$2:$BG$51,MATCH($B92,campaigns!$A$2:$A$51,0))="","",INDEX(campaigns!$BG$2:$BG$51,MATCH($B92,campaigns!$A$2:$A$51,0))),""))</f>
        <v>46441</v>
      </c>
      <c r="N92" s="30" t="n">
        <f aca="false">IF(OR($B92="",$E92="",$M92=""),"",IF($E92&lt;$M92,0,NETWORKDAYS($M92,$E92,calendar!$A$2:$A$80)))</f>
        <v>1</v>
      </c>
      <c r="O92" s="30" t="str">
        <f aca="false">IF($B92="","",IF(AND($K92="Y",OR($D92="later",$J92="Y")),"Y","N"))</f>
        <v>Y</v>
      </c>
      <c r="P92" s="30" t="str">
        <f aca="false">IF(OR($B92="",$E92=""),"",$B92&amp;"_"&amp;$C92&amp;"_"&amp;$D92&amp;"_"&amp;TEXT($E92,"yyyy-mm-dd")&amp;".jpg")</f>
        <v>SAMPLE-CMP-006_SAMPLE-O-008_placement_2027-02-23.jpg</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SAMPLE-CMP-006|SAMPLE-O-008|placement|Y</v>
      </c>
      <c r="S92" s="30" t="str">
        <f aca="false">IF($B92="","",$R92&amp;"|"&amp;N($E92))</f>
        <v>SAMPLE-CMP-006|SAMPLE-O-008|placement|Y|46441</v>
      </c>
    </row>
    <row r="93" customFormat="false" ht="15" hidden="false" customHeight="false" outlineLevel="0" collapsed="false">
      <c r="A93" s="0" t="s">
        <v>899</v>
      </c>
      <c r="B93" s="0" t="s">
        <v>563</v>
      </c>
      <c r="C93" s="0" t="s">
        <v>684</v>
      </c>
      <c r="D93" s="10" t="s">
        <v>916</v>
      </c>
      <c r="E93" s="11" t="n">
        <v>46447</v>
      </c>
      <c r="F93" s="38" t="n">
        <v>0.625</v>
      </c>
      <c r="G93" s="10" t="s">
        <v>137</v>
      </c>
      <c r="H93" s="10" t="s">
        <v>1013</v>
      </c>
      <c r="I93" s="11" t="n">
        <v>46447</v>
      </c>
      <c r="J93" s="10" t="s">
        <v>486</v>
      </c>
      <c r="K93" s="10" t="s">
        <v>486</v>
      </c>
      <c r="M93" s="31" t="n">
        <f aca="false">IF($B93="","",IFERROR(IF(INDEX(campaigns!$BG$2:$BG$51,MATCH($B93,campaigns!$A$2:$A$51,0))="","",INDEX(campaigns!$BG$2:$BG$51,MATCH($B93,campaigns!$A$2:$A$51,0))),""))</f>
        <v>46441</v>
      </c>
      <c r="N93" s="30" t="n">
        <f aca="false">IF(OR($B93="",$E93="",$M93=""),"",IF($E93&lt;$M93,0,NETWORKDAYS($M93,$E93,calendar!$A$2:$A$80)))</f>
        <v>5</v>
      </c>
      <c r="O93" s="30" t="str">
        <f aca="false">IF($B93="","",IF(AND($K93="Y",OR($D93="later",$J93="Y")),"Y","N"))</f>
        <v>Y</v>
      </c>
      <c r="P93" s="30" t="str">
        <f aca="false">IF(OR($B93="",$E93=""),"",$B93&amp;"_"&amp;$C93&amp;"_"&amp;$D93&amp;"_"&amp;TEXT($E93,"yyyy-mm-dd")&amp;".jpg")</f>
        <v>SAMPLE-CMP-006_SAMPLE-O-008_later_2027-03-01.jpg</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SAMPLE-CMP-006|SAMPLE-O-008|later|Y</v>
      </c>
      <c r="S93" s="30" t="str">
        <f aca="false">IF($B93="","",$R93&amp;"|"&amp;N($E93))</f>
        <v>SAMPLE-CMP-006|SAMPLE-O-008|later|Y|46447</v>
      </c>
    </row>
    <row r="94" customFormat="false" ht="15" hidden="false" customHeight="false" outlineLevel="0" collapsed="false">
      <c r="A94" s="0" t="s">
        <v>900</v>
      </c>
      <c r="B94" s="0" t="s">
        <v>563</v>
      </c>
      <c r="C94" s="0" t="s">
        <v>686</v>
      </c>
      <c r="D94" s="10" t="s">
        <v>914</v>
      </c>
      <c r="E94" s="11" t="n">
        <v>46441</v>
      </c>
      <c r="F94" s="38" t="n">
        <v>0.541666666666667</v>
      </c>
      <c r="G94" s="10" t="s">
        <v>137</v>
      </c>
      <c r="H94" s="10" t="s">
        <v>1014</v>
      </c>
      <c r="I94" s="11" t="n">
        <v>46441</v>
      </c>
      <c r="J94" s="10" t="s">
        <v>486</v>
      </c>
      <c r="K94" s="10" t="s">
        <v>486</v>
      </c>
      <c r="M94" s="31" t="n">
        <f aca="false">IF($B94="","",IFERROR(IF(INDEX(campaigns!$BG$2:$BG$51,MATCH($B94,campaigns!$A$2:$A$51,0))="","",INDEX(campaigns!$BG$2:$BG$51,MATCH($B94,campaigns!$A$2:$A$51,0))),""))</f>
        <v>46441</v>
      </c>
      <c r="N94" s="30" t="n">
        <f aca="false">IF(OR($B94="",$E94="",$M94=""),"",IF($E94&lt;$M94,0,NETWORKDAYS($M94,$E94,calendar!$A$2:$A$80)))</f>
        <v>1</v>
      </c>
      <c r="O94" s="30" t="str">
        <f aca="false">IF($B94="","",IF(AND($K94="Y",OR($D94="later",$J94="Y")),"Y","N"))</f>
        <v>Y</v>
      </c>
      <c r="P94" s="30" t="str">
        <f aca="false">IF(OR($B94="",$E94=""),"",$B94&amp;"_"&amp;$C94&amp;"_"&amp;$D94&amp;"_"&amp;TEXT($E94,"yyyy-mm-dd")&amp;".jpg")</f>
        <v>SAMPLE-CMP-006_SAMPLE-O-009_placement_2027-02-23.jpg</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SAMPLE-CMP-006|SAMPLE-O-009|placement|Y</v>
      </c>
      <c r="S94" s="30" t="str">
        <f aca="false">IF($B94="","",$R94&amp;"|"&amp;N($E94))</f>
        <v>SAMPLE-CMP-006|SAMPLE-O-009|placement|Y|46441</v>
      </c>
    </row>
    <row r="95" customFormat="false" ht="15" hidden="false" customHeight="false" outlineLevel="0" collapsed="false">
      <c r="A95" s="0" t="s">
        <v>901</v>
      </c>
      <c r="B95" s="0" t="s">
        <v>563</v>
      </c>
      <c r="C95" s="0" t="s">
        <v>686</v>
      </c>
      <c r="D95" s="10" t="s">
        <v>916</v>
      </c>
      <c r="E95" s="11" t="n">
        <v>46447</v>
      </c>
      <c r="F95" s="38" t="n">
        <v>0.625</v>
      </c>
      <c r="G95" s="10" t="s">
        <v>137</v>
      </c>
      <c r="H95" s="10" t="s">
        <v>1015</v>
      </c>
      <c r="I95" s="11" t="n">
        <v>46447</v>
      </c>
      <c r="J95" s="10" t="s">
        <v>486</v>
      </c>
      <c r="K95" s="10" t="s">
        <v>486</v>
      </c>
      <c r="M95" s="31" t="n">
        <f aca="false">IF($B95="","",IFERROR(IF(INDEX(campaigns!$BG$2:$BG$51,MATCH($B95,campaigns!$A$2:$A$51,0))="","",INDEX(campaigns!$BG$2:$BG$51,MATCH($B95,campaigns!$A$2:$A$51,0))),""))</f>
        <v>46441</v>
      </c>
      <c r="N95" s="30" t="n">
        <f aca="false">IF(OR($B95="",$E95="",$M95=""),"",IF($E95&lt;$M95,0,NETWORKDAYS($M95,$E95,calendar!$A$2:$A$80)))</f>
        <v>5</v>
      </c>
      <c r="O95" s="30" t="str">
        <f aca="false">IF($B95="","",IF(AND($K95="Y",OR($D95="later",$J95="Y")),"Y","N"))</f>
        <v>Y</v>
      </c>
      <c r="P95" s="30" t="str">
        <f aca="false">IF(OR($B95="",$E95=""),"",$B95&amp;"_"&amp;$C95&amp;"_"&amp;$D95&amp;"_"&amp;TEXT($E95,"yyyy-mm-dd")&amp;".jpg")</f>
        <v>SAMPLE-CMP-006_SAMPLE-O-009_later_2027-03-01.jpg</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SAMPLE-CMP-006|SAMPLE-O-009|later|Y</v>
      </c>
      <c r="S95" s="30" t="str">
        <f aca="false">IF($B95="","",$R95&amp;"|"&amp;N($E95))</f>
        <v>SAMPLE-CMP-006|SAMPLE-O-009|later|Y|46447</v>
      </c>
    </row>
    <row r="96" customFormat="false" ht="15" hidden="false" customHeight="false" outlineLevel="0" collapsed="false">
      <c r="A96" s="0" t="s">
        <v>902</v>
      </c>
      <c r="B96" s="0" t="s">
        <v>563</v>
      </c>
      <c r="C96" s="0" t="s">
        <v>688</v>
      </c>
      <c r="D96" s="10" t="s">
        <v>914</v>
      </c>
      <c r="E96" s="11" t="n">
        <v>46441</v>
      </c>
      <c r="F96" s="38" t="n">
        <v>0.541666666666667</v>
      </c>
      <c r="G96" s="10" t="s">
        <v>137</v>
      </c>
      <c r="H96" s="10" t="s">
        <v>1016</v>
      </c>
      <c r="I96" s="11" t="n">
        <v>46441</v>
      </c>
      <c r="J96" s="10" t="s">
        <v>486</v>
      </c>
      <c r="K96" s="10" t="s">
        <v>486</v>
      </c>
      <c r="M96" s="31" t="n">
        <f aca="false">IF($B96="","",IFERROR(IF(INDEX(campaigns!$BG$2:$BG$51,MATCH($B96,campaigns!$A$2:$A$51,0))="","",INDEX(campaigns!$BG$2:$BG$51,MATCH($B96,campaigns!$A$2:$A$51,0))),""))</f>
        <v>46441</v>
      </c>
      <c r="N96" s="30" t="n">
        <f aca="false">IF(OR($B96="",$E96="",$M96=""),"",IF($E96&lt;$M96,0,NETWORKDAYS($M96,$E96,calendar!$A$2:$A$80)))</f>
        <v>1</v>
      </c>
      <c r="O96" s="30" t="str">
        <f aca="false">IF($B96="","",IF(AND($K96="Y",OR($D96="later",$J96="Y")),"Y","N"))</f>
        <v>Y</v>
      </c>
      <c r="P96" s="30" t="str">
        <f aca="false">IF(OR($B96="",$E96=""),"",$B96&amp;"_"&amp;$C96&amp;"_"&amp;$D96&amp;"_"&amp;TEXT($E96,"yyyy-mm-dd")&amp;".jpg")</f>
        <v>SAMPLE-CMP-006_SAMPLE-O-010_placement_2027-02-23.jpg</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SAMPLE-CMP-006|SAMPLE-O-010|placement|Y</v>
      </c>
      <c r="S96" s="30" t="str">
        <f aca="false">IF($B96="","",$R96&amp;"|"&amp;N($E96))</f>
        <v>SAMPLE-CMP-006|SAMPLE-O-010|placement|Y|46441</v>
      </c>
    </row>
    <row r="97" customFormat="false" ht="15" hidden="false" customHeight="false" outlineLevel="0" collapsed="false">
      <c r="A97" s="0" t="s">
        <v>903</v>
      </c>
      <c r="B97" s="0" t="s">
        <v>563</v>
      </c>
      <c r="C97" s="0" t="s">
        <v>688</v>
      </c>
      <c r="D97" s="10" t="s">
        <v>916</v>
      </c>
      <c r="E97" s="11" t="n">
        <v>46447</v>
      </c>
      <c r="F97" s="38" t="n">
        <v>0.625</v>
      </c>
      <c r="G97" s="10" t="s">
        <v>137</v>
      </c>
      <c r="H97" s="10" t="s">
        <v>1017</v>
      </c>
      <c r="I97" s="11" t="n">
        <v>46447</v>
      </c>
      <c r="J97" s="10" t="s">
        <v>486</v>
      </c>
      <c r="K97" s="10" t="s">
        <v>486</v>
      </c>
      <c r="M97" s="31" t="n">
        <f aca="false">IF($B97="","",IFERROR(IF(INDEX(campaigns!$BG$2:$BG$51,MATCH($B97,campaigns!$A$2:$A$51,0))="","",INDEX(campaigns!$BG$2:$BG$51,MATCH($B97,campaigns!$A$2:$A$51,0))),""))</f>
        <v>46441</v>
      </c>
      <c r="N97" s="30" t="n">
        <f aca="false">IF(OR($B97="",$E97="",$M97=""),"",IF($E97&lt;$M97,0,NETWORKDAYS($M97,$E97,calendar!$A$2:$A$80)))</f>
        <v>5</v>
      </c>
      <c r="O97" s="30" t="str">
        <f aca="false">IF($B97="","",IF(AND($K97="Y",OR($D97="later",$J97="Y")),"Y","N"))</f>
        <v>Y</v>
      </c>
      <c r="P97" s="30" t="str">
        <f aca="false">IF(OR($B97="",$E97=""),"",$B97&amp;"_"&amp;$C97&amp;"_"&amp;$D97&amp;"_"&amp;TEXT($E97,"yyyy-mm-dd")&amp;".jpg")</f>
        <v>SAMPLE-CMP-006_SAMPLE-O-010_later_2027-03-01.jpg</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SAMPLE-CMP-006|SAMPLE-O-010|later|Y</v>
      </c>
      <c r="S97" s="30" t="str">
        <f aca="false">IF($B97="","",$R97&amp;"|"&amp;N($E97))</f>
        <v>SAMPLE-CMP-006|SAMPLE-O-010|later|Y|46447</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358</v>
      </c>
      <c r="B1" s="29" t="s">
        <v>632</v>
      </c>
      <c r="C1" s="29" t="s">
        <v>1018</v>
      </c>
      <c r="D1" s="29" t="s">
        <v>1019</v>
      </c>
      <c r="E1" s="29" t="s">
        <v>1020</v>
      </c>
      <c r="F1" s="29" t="s">
        <v>702</v>
      </c>
      <c r="G1" s="29" t="s">
        <v>1021</v>
      </c>
      <c r="H1" s="29" t="s">
        <v>1022</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SAMPLE-CMP-007</v>
      </c>
      <c r="B102" s="30" t="str">
        <f aca="false">IF(INDEX(approvals!$A$2:$A$251,INT((ROW()-2)/2)+1)="","",INDEX(approvals!$B$2:$B$251,INT((ROW()-2)/2)+1))</f>
        <v>SAMPLE-O-001</v>
      </c>
      <c r="C102" s="30" t="str">
        <f aca="false">IF($A102="","",IF(MOD(ROW()-2,2)=0,"qr","post"))</f>
        <v>qr</v>
      </c>
      <c r="D102" s="30" t="str">
        <f aca="false">IF($A102="","",IF(LEFT($A102,7)="SAMPLE-","SAMPLE-","")&amp;LOWER(SUBSTITUTE(SUBSTITUTE($A102,"SAMPLE-",""),"CMP-","c"))&amp;"-"&amp;LOWER(SUBSTITUTE(SUBSTITUTE($B102,"SAMPLE-",""),"O-","o"))&amp;"-"&amp;IF($C102="qr","q","p"))</f>
        <v>SAMPLE-c007-o001-q</v>
      </c>
      <c r="E102" s="30" t="str">
        <f aca="false">IF($A102="","","https://"&amp;config!$B$9&amp;"/"&amp;$D102)</f>
        <v>https://go.example.com/SAMPLE-c007-o001-q</v>
      </c>
      <c r="F102" s="30" t="str">
        <f aca="false">IF($A102="","",$A102&amp;"."&amp;$B102)</f>
        <v>SAMPLE-CMP-007.SAMPLE-O-001</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https://docs.google.com/forms/d/e/SAMPLE-CMP-007-FORM/viewform?usp=pp_url&amp;entry.1000001=SAMPLE-CMP-007.SAMPLE-O-001&amp;utm_source=office-pantry&amp;utm_medium=qr&amp;utm_campaign=sample-cmp-007&amp;utm_content=sample-o-001</v>
      </c>
      <c r="H102" s="30" t="str">
        <f aca="false">IF(OR($A102="",$C102&lt;&gt;"qr"),"",$D102&amp;".png")</f>
        <v>SAMPLE-c007-o001-q.png</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SAMPLE-CMP-007</v>
      </c>
      <c r="B103" s="30" t="str">
        <f aca="false">IF(INDEX(approvals!$A$2:$A$251,INT((ROW()-2)/2)+1)="","",INDEX(approvals!$B$2:$B$251,INT((ROW()-2)/2)+1))</f>
        <v>SAMPLE-O-001</v>
      </c>
      <c r="C103" s="30" t="str">
        <f aca="false">IF($A103="","",IF(MOD(ROW()-2,2)=0,"qr","post"))</f>
        <v>post</v>
      </c>
      <c r="D103" s="30" t="str">
        <f aca="false">IF($A103="","",IF(LEFT($A103,7)="SAMPLE-","SAMPLE-","")&amp;LOWER(SUBSTITUTE(SUBSTITUTE($A103,"SAMPLE-",""),"CMP-","c"))&amp;"-"&amp;LOWER(SUBSTITUTE(SUBSTITUTE($B103,"SAMPLE-",""),"O-","o"))&amp;"-"&amp;IF($C103="qr","q","p"))</f>
        <v>SAMPLE-c007-o001-p</v>
      </c>
      <c r="E103" s="30" t="str">
        <f aca="false">IF($A103="","","https://"&amp;config!$B$9&amp;"/"&amp;$D103)</f>
        <v>https://go.example.com/SAMPLE-c007-o001-p</v>
      </c>
      <c r="F103" s="30" t="str">
        <f aca="false">IF($A103="","",$A103&amp;"."&amp;$B103)</f>
        <v>SAMPLE-CMP-007.SAMPLE-O-001</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https://docs.google.com/forms/d/e/SAMPLE-CMP-007-FORM/viewform?usp=pp_url&amp;entry.1000001=SAMPLE-CMP-007.SAMPLE-O-001&amp;utm_source=office-pantry&amp;utm_medium=post&amp;utm_campaign=sample-cmp-007&amp;utm_content=sample-o-001</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SAMPLE-CMP-007</v>
      </c>
      <c r="B104" s="30" t="str">
        <f aca="false">IF(INDEX(approvals!$A$2:$A$251,INT((ROW()-2)/2)+1)="","",INDEX(approvals!$B$2:$B$251,INT((ROW()-2)/2)+1))</f>
        <v>SAMPLE-O-002</v>
      </c>
      <c r="C104" s="30" t="str">
        <f aca="false">IF($A104="","",IF(MOD(ROW()-2,2)=0,"qr","post"))</f>
        <v>qr</v>
      </c>
      <c r="D104" s="30" t="str">
        <f aca="false">IF($A104="","",IF(LEFT($A104,7)="SAMPLE-","SAMPLE-","")&amp;LOWER(SUBSTITUTE(SUBSTITUTE($A104,"SAMPLE-",""),"CMP-","c"))&amp;"-"&amp;LOWER(SUBSTITUTE(SUBSTITUTE($B104,"SAMPLE-",""),"O-","o"))&amp;"-"&amp;IF($C104="qr","q","p"))</f>
        <v>SAMPLE-c007-o002-q</v>
      </c>
      <c r="E104" s="30" t="str">
        <f aca="false">IF($A104="","","https://"&amp;config!$B$9&amp;"/"&amp;$D104)</f>
        <v>https://go.example.com/SAMPLE-c007-o002-q</v>
      </c>
      <c r="F104" s="30" t="str">
        <f aca="false">IF($A104="","",$A104&amp;"."&amp;$B104)</f>
        <v>SAMPLE-CMP-007.SAMPLE-O-002</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https://docs.google.com/forms/d/e/SAMPLE-CMP-007-FORM/viewform?usp=pp_url&amp;entry.1000001=SAMPLE-CMP-007.SAMPLE-O-002&amp;utm_source=office-pantry&amp;utm_medium=qr&amp;utm_campaign=sample-cmp-007&amp;utm_content=sample-o-002</v>
      </c>
      <c r="H104" s="30" t="str">
        <f aca="false">IF(OR($A104="",$C104&lt;&gt;"qr"),"",$D104&amp;".png")</f>
        <v>SAMPLE-c007-o002-q.png</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SAMPLE-CMP-007</v>
      </c>
      <c r="B105" s="30" t="str">
        <f aca="false">IF(INDEX(approvals!$A$2:$A$251,INT((ROW()-2)/2)+1)="","",INDEX(approvals!$B$2:$B$251,INT((ROW()-2)/2)+1))</f>
        <v>SAMPLE-O-002</v>
      </c>
      <c r="C105" s="30" t="str">
        <f aca="false">IF($A105="","",IF(MOD(ROW()-2,2)=0,"qr","post"))</f>
        <v>post</v>
      </c>
      <c r="D105" s="30" t="str">
        <f aca="false">IF($A105="","",IF(LEFT($A105,7)="SAMPLE-","SAMPLE-","")&amp;LOWER(SUBSTITUTE(SUBSTITUTE($A105,"SAMPLE-",""),"CMP-","c"))&amp;"-"&amp;LOWER(SUBSTITUTE(SUBSTITUTE($B105,"SAMPLE-",""),"O-","o"))&amp;"-"&amp;IF($C105="qr","q","p"))</f>
        <v>SAMPLE-c007-o002-p</v>
      </c>
      <c r="E105" s="30" t="str">
        <f aca="false">IF($A105="","","https://"&amp;config!$B$9&amp;"/"&amp;$D105)</f>
        <v>https://go.example.com/SAMPLE-c007-o002-p</v>
      </c>
      <c r="F105" s="30" t="str">
        <f aca="false">IF($A105="","",$A105&amp;"."&amp;$B105)</f>
        <v>SAMPLE-CMP-007.SAMPLE-O-002</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https://docs.google.com/forms/d/e/SAMPLE-CMP-007-FORM/viewform?usp=pp_url&amp;entry.1000001=SAMPLE-CMP-007.SAMPLE-O-002&amp;utm_source=office-pantry&amp;utm_medium=post&amp;utm_campaign=sample-cmp-007&amp;utm_content=sample-o-002</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SAMPLE-CMP-007</v>
      </c>
      <c r="B106" s="30" t="str">
        <f aca="false">IF(INDEX(approvals!$A$2:$A$251,INT((ROW()-2)/2)+1)="","",INDEX(approvals!$B$2:$B$251,INT((ROW()-2)/2)+1))</f>
        <v>SAMPLE-O-003</v>
      </c>
      <c r="C106" s="30" t="str">
        <f aca="false">IF($A106="","",IF(MOD(ROW()-2,2)=0,"qr","post"))</f>
        <v>qr</v>
      </c>
      <c r="D106" s="30" t="str">
        <f aca="false">IF($A106="","",IF(LEFT($A106,7)="SAMPLE-","SAMPLE-","")&amp;LOWER(SUBSTITUTE(SUBSTITUTE($A106,"SAMPLE-",""),"CMP-","c"))&amp;"-"&amp;LOWER(SUBSTITUTE(SUBSTITUTE($B106,"SAMPLE-",""),"O-","o"))&amp;"-"&amp;IF($C106="qr","q","p"))</f>
        <v>SAMPLE-c007-o003-q</v>
      </c>
      <c r="E106" s="30" t="str">
        <f aca="false">IF($A106="","","https://"&amp;config!$B$9&amp;"/"&amp;$D106)</f>
        <v>https://go.example.com/SAMPLE-c007-o003-q</v>
      </c>
      <c r="F106" s="30" t="str">
        <f aca="false">IF($A106="","",$A106&amp;"."&amp;$B106)</f>
        <v>SAMPLE-CMP-007.SAMPLE-O-003</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https://docs.google.com/forms/d/e/SAMPLE-CMP-007-FORM/viewform?usp=pp_url&amp;entry.1000001=SAMPLE-CMP-007.SAMPLE-O-003&amp;utm_source=office-pantry&amp;utm_medium=qr&amp;utm_campaign=sample-cmp-007&amp;utm_content=sample-o-003</v>
      </c>
      <c r="H106" s="30" t="str">
        <f aca="false">IF(OR($A106="",$C106&lt;&gt;"qr"),"",$D106&amp;".png")</f>
        <v>SAMPLE-c007-o003-q.png</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SAMPLE-CMP-007</v>
      </c>
      <c r="B107" s="30" t="str">
        <f aca="false">IF(INDEX(approvals!$A$2:$A$251,INT((ROW()-2)/2)+1)="","",INDEX(approvals!$B$2:$B$251,INT((ROW()-2)/2)+1))</f>
        <v>SAMPLE-O-003</v>
      </c>
      <c r="C107" s="30" t="str">
        <f aca="false">IF($A107="","",IF(MOD(ROW()-2,2)=0,"qr","post"))</f>
        <v>post</v>
      </c>
      <c r="D107" s="30" t="str">
        <f aca="false">IF($A107="","",IF(LEFT($A107,7)="SAMPLE-","SAMPLE-","")&amp;LOWER(SUBSTITUTE(SUBSTITUTE($A107,"SAMPLE-",""),"CMP-","c"))&amp;"-"&amp;LOWER(SUBSTITUTE(SUBSTITUTE($B107,"SAMPLE-",""),"O-","o"))&amp;"-"&amp;IF($C107="qr","q","p"))</f>
        <v>SAMPLE-c007-o003-p</v>
      </c>
      <c r="E107" s="30" t="str">
        <f aca="false">IF($A107="","","https://"&amp;config!$B$9&amp;"/"&amp;$D107)</f>
        <v>https://go.example.com/SAMPLE-c007-o003-p</v>
      </c>
      <c r="F107" s="30" t="str">
        <f aca="false">IF($A107="","",$A107&amp;"."&amp;$B107)</f>
        <v>SAMPLE-CMP-007.SAMPLE-O-003</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https://docs.google.com/forms/d/e/SAMPLE-CMP-007-FORM/viewform?usp=pp_url&amp;entry.1000001=SAMPLE-CMP-007.SAMPLE-O-003&amp;utm_source=office-pantry&amp;utm_medium=post&amp;utm_campaign=sample-cmp-007&amp;utm_content=sample-o-003</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SAMPLE-CMP-007</v>
      </c>
      <c r="B108" s="30" t="str">
        <f aca="false">IF(INDEX(approvals!$A$2:$A$251,INT((ROW()-2)/2)+1)="","",INDEX(approvals!$B$2:$B$251,INT((ROW()-2)/2)+1))</f>
        <v>SAMPLE-O-004</v>
      </c>
      <c r="C108" s="30" t="str">
        <f aca="false">IF($A108="","",IF(MOD(ROW()-2,2)=0,"qr","post"))</f>
        <v>qr</v>
      </c>
      <c r="D108" s="30" t="str">
        <f aca="false">IF($A108="","",IF(LEFT($A108,7)="SAMPLE-","SAMPLE-","")&amp;LOWER(SUBSTITUTE(SUBSTITUTE($A108,"SAMPLE-",""),"CMP-","c"))&amp;"-"&amp;LOWER(SUBSTITUTE(SUBSTITUTE($B108,"SAMPLE-",""),"O-","o"))&amp;"-"&amp;IF($C108="qr","q","p"))</f>
        <v>SAMPLE-c007-o004-q</v>
      </c>
      <c r="E108" s="30" t="str">
        <f aca="false">IF($A108="","","https://"&amp;config!$B$9&amp;"/"&amp;$D108)</f>
        <v>https://go.example.com/SAMPLE-c007-o004-q</v>
      </c>
      <c r="F108" s="30" t="str">
        <f aca="false">IF($A108="","",$A108&amp;"."&amp;$B108)</f>
        <v>SAMPLE-CMP-007.SAMPLE-O-004</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https://docs.google.com/forms/d/e/SAMPLE-CMP-007-FORM/viewform?usp=pp_url&amp;entry.1000001=SAMPLE-CMP-007.SAMPLE-O-004&amp;utm_source=office-pantry&amp;utm_medium=qr&amp;utm_campaign=sample-cmp-007&amp;utm_content=sample-o-004</v>
      </c>
      <c r="H108" s="30" t="str">
        <f aca="false">IF(OR($A108="",$C108&lt;&gt;"qr"),"",$D108&amp;".png")</f>
        <v>SAMPLE-c007-o004-q.png</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SAMPLE-CMP-007</v>
      </c>
      <c r="B109" s="30" t="str">
        <f aca="false">IF(INDEX(approvals!$A$2:$A$251,INT((ROW()-2)/2)+1)="","",INDEX(approvals!$B$2:$B$251,INT((ROW()-2)/2)+1))</f>
        <v>SAMPLE-O-004</v>
      </c>
      <c r="C109" s="30" t="str">
        <f aca="false">IF($A109="","",IF(MOD(ROW()-2,2)=0,"qr","post"))</f>
        <v>post</v>
      </c>
      <c r="D109" s="30" t="str">
        <f aca="false">IF($A109="","",IF(LEFT($A109,7)="SAMPLE-","SAMPLE-","")&amp;LOWER(SUBSTITUTE(SUBSTITUTE($A109,"SAMPLE-",""),"CMP-","c"))&amp;"-"&amp;LOWER(SUBSTITUTE(SUBSTITUTE($B109,"SAMPLE-",""),"O-","o"))&amp;"-"&amp;IF($C109="qr","q","p"))</f>
        <v>SAMPLE-c007-o004-p</v>
      </c>
      <c r="E109" s="30" t="str">
        <f aca="false">IF($A109="","","https://"&amp;config!$B$9&amp;"/"&amp;$D109)</f>
        <v>https://go.example.com/SAMPLE-c007-o004-p</v>
      </c>
      <c r="F109" s="30" t="str">
        <f aca="false">IF($A109="","",$A109&amp;"."&amp;$B109)</f>
        <v>SAMPLE-CMP-007.SAMPLE-O-004</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https://docs.google.com/forms/d/e/SAMPLE-CMP-007-FORM/viewform?usp=pp_url&amp;entry.1000001=SAMPLE-CMP-007.SAMPLE-O-004&amp;utm_source=office-pantry&amp;utm_medium=post&amp;utm_campaign=sample-cmp-007&amp;utm_content=sample-o-004</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SAMPLE-CMP-007</v>
      </c>
      <c r="B110" s="30" t="str">
        <f aca="false">IF(INDEX(approvals!$A$2:$A$251,INT((ROW()-2)/2)+1)="","",INDEX(approvals!$B$2:$B$251,INT((ROW()-2)/2)+1))</f>
        <v>SAMPLE-O-005</v>
      </c>
      <c r="C110" s="30" t="str">
        <f aca="false">IF($A110="","",IF(MOD(ROW()-2,2)=0,"qr","post"))</f>
        <v>qr</v>
      </c>
      <c r="D110" s="30" t="str">
        <f aca="false">IF($A110="","",IF(LEFT($A110,7)="SAMPLE-","SAMPLE-","")&amp;LOWER(SUBSTITUTE(SUBSTITUTE($A110,"SAMPLE-",""),"CMP-","c"))&amp;"-"&amp;LOWER(SUBSTITUTE(SUBSTITUTE($B110,"SAMPLE-",""),"O-","o"))&amp;"-"&amp;IF($C110="qr","q","p"))</f>
        <v>SAMPLE-c007-o005-q</v>
      </c>
      <c r="E110" s="30" t="str">
        <f aca="false">IF($A110="","","https://"&amp;config!$B$9&amp;"/"&amp;$D110)</f>
        <v>https://go.example.com/SAMPLE-c007-o005-q</v>
      </c>
      <c r="F110" s="30" t="str">
        <f aca="false">IF($A110="","",$A110&amp;"."&amp;$B110)</f>
        <v>SAMPLE-CMP-007.SAMPLE-O-005</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https://docs.google.com/forms/d/e/SAMPLE-CMP-007-FORM/viewform?usp=pp_url&amp;entry.1000001=SAMPLE-CMP-007.SAMPLE-O-005&amp;utm_source=office-pantry&amp;utm_medium=qr&amp;utm_campaign=sample-cmp-007&amp;utm_content=sample-o-005</v>
      </c>
      <c r="H110" s="30" t="str">
        <f aca="false">IF(OR($A110="",$C110&lt;&gt;"qr"),"",$D110&amp;".png")</f>
        <v>SAMPLE-c007-o005-q.png</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SAMPLE-CMP-007</v>
      </c>
      <c r="B111" s="30" t="str">
        <f aca="false">IF(INDEX(approvals!$A$2:$A$251,INT((ROW()-2)/2)+1)="","",INDEX(approvals!$B$2:$B$251,INT((ROW()-2)/2)+1))</f>
        <v>SAMPLE-O-005</v>
      </c>
      <c r="C111" s="30" t="str">
        <f aca="false">IF($A111="","",IF(MOD(ROW()-2,2)=0,"qr","post"))</f>
        <v>post</v>
      </c>
      <c r="D111" s="30" t="str">
        <f aca="false">IF($A111="","",IF(LEFT($A111,7)="SAMPLE-","SAMPLE-","")&amp;LOWER(SUBSTITUTE(SUBSTITUTE($A111,"SAMPLE-",""),"CMP-","c"))&amp;"-"&amp;LOWER(SUBSTITUTE(SUBSTITUTE($B111,"SAMPLE-",""),"O-","o"))&amp;"-"&amp;IF($C111="qr","q","p"))</f>
        <v>SAMPLE-c007-o005-p</v>
      </c>
      <c r="E111" s="30" t="str">
        <f aca="false">IF($A111="","","https://"&amp;config!$B$9&amp;"/"&amp;$D111)</f>
        <v>https://go.example.com/SAMPLE-c007-o005-p</v>
      </c>
      <c r="F111" s="30" t="str">
        <f aca="false">IF($A111="","",$A111&amp;"."&amp;$B111)</f>
        <v>SAMPLE-CMP-007.SAMPLE-O-005</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https://docs.google.com/forms/d/e/SAMPLE-CMP-007-FORM/viewform?usp=pp_url&amp;entry.1000001=SAMPLE-CMP-007.SAMPLE-O-005&amp;utm_source=office-pantry&amp;utm_medium=post&amp;utm_campaign=sample-cmp-007&amp;utm_content=sample-o-005</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SAMPLE-CMP-007</v>
      </c>
      <c r="B112" s="30" t="str">
        <f aca="false">IF(INDEX(approvals!$A$2:$A$251,INT((ROW()-2)/2)+1)="","",INDEX(approvals!$B$2:$B$251,INT((ROW()-2)/2)+1))</f>
        <v>SAMPLE-O-006</v>
      </c>
      <c r="C112" s="30" t="str">
        <f aca="false">IF($A112="","",IF(MOD(ROW()-2,2)=0,"qr","post"))</f>
        <v>qr</v>
      </c>
      <c r="D112" s="30" t="str">
        <f aca="false">IF($A112="","",IF(LEFT($A112,7)="SAMPLE-","SAMPLE-","")&amp;LOWER(SUBSTITUTE(SUBSTITUTE($A112,"SAMPLE-",""),"CMP-","c"))&amp;"-"&amp;LOWER(SUBSTITUTE(SUBSTITUTE($B112,"SAMPLE-",""),"O-","o"))&amp;"-"&amp;IF($C112="qr","q","p"))</f>
        <v>SAMPLE-c007-o006-q</v>
      </c>
      <c r="E112" s="30" t="str">
        <f aca="false">IF($A112="","","https://"&amp;config!$B$9&amp;"/"&amp;$D112)</f>
        <v>https://go.example.com/SAMPLE-c007-o006-q</v>
      </c>
      <c r="F112" s="30" t="str">
        <f aca="false">IF($A112="","",$A112&amp;"."&amp;$B112)</f>
        <v>SAMPLE-CMP-007.SAMPLE-O-006</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https://docs.google.com/forms/d/e/SAMPLE-CMP-007-FORM/viewform?usp=pp_url&amp;entry.1000001=SAMPLE-CMP-007.SAMPLE-O-006&amp;utm_source=office-pantry&amp;utm_medium=qr&amp;utm_campaign=sample-cmp-007&amp;utm_content=sample-o-006</v>
      </c>
      <c r="H112" s="30" t="str">
        <f aca="false">IF(OR($A112="",$C112&lt;&gt;"qr"),"",$D112&amp;".png")</f>
        <v>SAMPLE-c007-o006-q.png</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SAMPLE-CMP-007</v>
      </c>
      <c r="B113" s="30" t="str">
        <f aca="false">IF(INDEX(approvals!$A$2:$A$251,INT((ROW()-2)/2)+1)="","",INDEX(approvals!$B$2:$B$251,INT((ROW()-2)/2)+1))</f>
        <v>SAMPLE-O-006</v>
      </c>
      <c r="C113" s="30" t="str">
        <f aca="false">IF($A113="","",IF(MOD(ROW()-2,2)=0,"qr","post"))</f>
        <v>post</v>
      </c>
      <c r="D113" s="30" t="str">
        <f aca="false">IF($A113="","",IF(LEFT($A113,7)="SAMPLE-","SAMPLE-","")&amp;LOWER(SUBSTITUTE(SUBSTITUTE($A113,"SAMPLE-",""),"CMP-","c"))&amp;"-"&amp;LOWER(SUBSTITUTE(SUBSTITUTE($B113,"SAMPLE-",""),"O-","o"))&amp;"-"&amp;IF($C113="qr","q","p"))</f>
        <v>SAMPLE-c007-o006-p</v>
      </c>
      <c r="E113" s="30" t="str">
        <f aca="false">IF($A113="","","https://"&amp;config!$B$9&amp;"/"&amp;$D113)</f>
        <v>https://go.example.com/SAMPLE-c007-o006-p</v>
      </c>
      <c r="F113" s="30" t="str">
        <f aca="false">IF($A113="","",$A113&amp;"."&amp;$B113)</f>
        <v>SAMPLE-CMP-007.SAMPLE-O-006</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https://docs.google.com/forms/d/e/SAMPLE-CMP-007-FORM/viewform?usp=pp_url&amp;entry.1000001=SAMPLE-CMP-007.SAMPLE-O-006&amp;utm_source=office-pantry&amp;utm_medium=post&amp;utm_campaign=sample-cmp-007&amp;utm_content=sample-o-006</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SAMPLE-CMP-007</v>
      </c>
      <c r="B114" s="30" t="str">
        <f aca="false">IF(INDEX(approvals!$A$2:$A$251,INT((ROW()-2)/2)+1)="","",INDEX(approvals!$B$2:$B$251,INT((ROW()-2)/2)+1))</f>
        <v>SAMPLE-O-007</v>
      </c>
      <c r="C114" s="30" t="str">
        <f aca="false">IF($A114="","",IF(MOD(ROW()-2,2)=0,"qr","post"))</f>
        <v>qr</v>
      </c>
      <c r="D114" s="30" t="str">
        <f aca="false">IF($A114="","",IF(LEFT($A114,7)="SAMPLE-","SAMPLE-","")&amp;LOWER(SUBSTITUTE(SUBSTITUTE($A114,"SAMPLE-",""),"CMP-","c"))&amp;"-"&amp;LOWER(SUBSTITUTE(SUBSTITUTE($B114,"SAMPLE-",""),"O-","o"))&amp;"-"&amp;IF($C114="qr","q","p"))</f>
        <v>SAMPLE-c007-o007-q</v>
      </c>
      <c r="E114" s="30" t="str">
        <f aca="false">IF($A114="","","https://"&amp;config!$B$9&amp;"/"&amp;$D114)</f>
        <v>https://go.example.com/SAMPLE-c007-o007-q</v>
      </c>
      <c r="F114" s="30" t="str">
        <f aca="false">IF($A114="","",$A114&amp;"."&amp;$B114)</f>
        <v>SAMPLE-CMP-007.SAMPLE-O-007</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https://docs.google.com/forms/d/e/SAMPLE-CMP-007-FORM/viewform?usp=pp_url&amp;entry.1000001=SAMPLE-CMP-007.SAMPLE-O-007&amp;utm_source=office-pantry&amp;utm_medium=qr&amp;utm_campaign=sample-cmp-007&amp;utm_content=sample-o-007</v>
      </c>
      <c r="H114" s="30" t="str">
        <f aca="false">IF(OR($A114="",$C114&lt;&gt;"qr"),"",$D114&amp;".png")</f>
        <v>SAMPLE-c007-o007-q.png</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SAMPLE-CMP-007</v>
      </c>
      <c r="B115" s="30" t="str">
        <f aca="false">IF(INDEX(approvals!$A$2:$A$251,INT((ROW()-2)/2)+1)="","",INDEX(approvals!$B$2:$B$251,INT((ROW()-2)/2)+1))</f>
        <v>SAMPLE-O-007</v>
      </c>
      <c r="C115" s="30" t="str">
        <f aca="false">IF($A115="","",IF(MOD(ROW()-2,2)=0,"qr","post"))</f>
        <v>post</v>
      </c>
      <c r="D115" s="30" t="str">
        <f aca="false">IF($A115="","",IF(LEFT($A115,7)="SAMPLE-","SAMPLE-","")&amp;LOWER(SUBSTITUTE(SUBSTITUTE($A115,"SAMPLE-",""),"CMP-","c"))&amp;"-"&amp;LOWER(SUBSTITUTE(SUBSTITUTE($B115,"SAMPLE-",""),"O-","o"))&amp;"-"&amp;IF($C115="qr","q","p"))</f>
        <v>SAMPLE-c007-o007-p</v>
      </c>
      <c r="E115" s="30" t="str">
        <f aca="false">IF($A115="","","https://"&amp;config!$B$9&amp;"/"&amp;$D115)</f>
        <v>https://go.example.com/SAMPLE-c007-o007-p</v>
      </c>
      <c r="F115" s="30" t="str">
        <f aca="false">IF($A115="","",$A115&amp;"."&amp;$B115)</f>
        <v>SAMPLE-CMP-007.SAMPLE-O-007</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https://docs.google.com/forms/d/e/SAMPLE-CMP-007-FORM/viewform?usp=pp_url&amp;entry.1000001=SAMPLE-CMP-007.SAMPLE-O-007&amp;utm_source=office-pantry&amp;utm_medium=post&amp;utm_campaign=sample-cmp-007&amp;utm_content=sample-o-007</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SAMPLE-CMP-007</v>
      </c>
      <c r="B116" s="30" t="str">
        <f aca="false">IF(INDEX(approvals!$A$2:$A$251,INT((ROW()-2)/2)+1)="","",INDEX(approvals!$B$2:$B$251,INT((ROW()-2)/2)+1))</f>
        <v>SAMPLE-O-008</v>
      </c>
      <c r="C116" s="30" t="str">
        <f aca="false">IF($A116="","",IF(MOD(ROW()-2,2)=0,"qr","post"))</f>
        <v>qr</v>
      </c>
      <c r="D116" s="30" t="str">
        <f aca="false">IF($A116="","",IF(LEFT($A116,7)="SAMPLE-","SAMPLE-","")&amp;LOWER(SUBSTITUTE(SUBSTITUTE($A116,"SAMPLE-",""),"CMP-","c"))&amp;"-"&amp;LOWER(SUBSTITUTE(SUBSTITUTE($B116,"SAMPLE-",""),"O-","o"))&amp;"-"&amp;IF($C116="qr","q","p"))</f>
        <v>SAMPLE-c007-o008-q</v>
      </c>
      <c r="E116" s="30" t="str">
        <f aca="false">IF($A116="","","https://"&amp;config!$B$9&amp;"/"&amp;$D116)</f>
        <v>https://go.example.com/SAMPLE-c007-o008-q</v>
      </c>
      <c r="F116" s="30" t="str">
        <f aca="false">IF($A116="","",$A116&amp;"."&amp;$B116)</f>
        <v>SAMPLE-CMP-007.SAMPLE-O-008</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https://docs.google.com/forms/d/e/SAMPLE-CMP-007-FORM/viewform?usp=pp_url&amp;entry.1000001=SAMPLE-CMP-007.SAMPLE-O-008&amp;utm_source=office-pantry&amp;utm_medium=qr&amp;utm_campaign=sample-cmp-007&amp;utm_content=sample-o-008</v>
      </c>
      <c r="H116" s="30" t="str">
        <f aca="false">IF(OR($A116="",$C116&lt;&gt;"qr"),"",$D116&amp;".png")</f>
        <v>SAMPLE-c007-o008-q.png</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SAMPLE-CMP-007</v>
      </c>
      <c r="B117" s="30" t="str">
        <f aca="false">IF(INDEX(approvals!$A$2:$A$251,INT((ROW()-2)/2)+1)="","",INDEX(approvals!$B$2:$B$251,INT((ROW()-2)/2)+1))</f>
        <v>SAMPLE-O-008</v>
      </c>
      <c r="C117" s="30" t="str">
        <f aca="false">IF($A117="","",IF(MOD(ROW()-2,2)=0,"qr","post"))</f>
        <v>post</v>
      </c>
      <c r="D117" s="30" t="str">
        <f aca="false">IF($A117="","",IF(LEFT($A117,7)="SAMPLE-","SAMPLE-","")&amp;LOWER(SUBSTITUTE(SUBSTITUTE($A117,"SAMPLE-",""),"CMP-","c"))&amp;"-"&amp;LOWER(SUBSTITUTE(SUBSTITUTE($B117,"SAMPLE-",""),"O-","o"))&amp;"-"&amp;IF($C117="qr","q","p"))</f>
        <v>SAMPLE-c007-o008-p</v>
      </c>
      <c r="E117" s="30" t="str">
        <f aca="false">IF($A117="","","https://"&amp;config!$B$9&amp;"/"&amp;$D117)</f>
        <v>https://go.example.com/SAMPLE-c007-o008-p</v>
      </c>
      <c r="F117" s="30" t="str">
        <f aca="false">IF($A117="","",$A117&amp;"."&amp;$B117)</f>
        <v>SAMPLE-CMP-007.SAMPLE-O-008</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https://docs.google.com/forms/d/e/SAMPLE-CMP-007-FORM/viewform?usp=pp_url&amp;entry.1000001=SAMPLE-CMP-007.SAMPLE-O-008&amp;utm_source=office-pantry&amp;utm_medium=post&amp;utm_campaign=sample-cmp-007&amp;utm_content=sample-o-008</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SAMPLE-CMP-007</v>
      </c>
      <c r="B118" s="30" t="str">
        <f aca="false">IF(INDEX(approvals!$A$2:$A$251,INT((ROW()-2)/2)+1)="","",INDEX(approvals!$B$2:$B$251,INT((ROW()-2)/2)+1))</f>
        <v>SAMPLE-O-009</v>
      </c>
      <c r="C118" s="30" t="str">
        <f aca="false">IF($A118="","",IF(MOD(ROW()-2,2)=0,"qr","post"))</f>
        <v>qr</v>
      </c>
      <c r="D118" s="30" t="str">
        <f aca="false">IF($A118="","",IF(LEFT($A118,7)="SAMPLE-","SAMPLE-","")&amp;LOWER(SUBSTITUTE(SUBSTITUTE($A118,"SAMPLE-",""),"CMP-","c"))&amp;"-"&amp;LOWER(SUBSTITUTE(SUBSTITUTE($B118,"SAMPLE-",""),"O-","o"))&amp;"-"&amp;IF($C118="qr","q","p"))</f>
        <v>SAMPLE-c007-o009-q</v>
      </c>
      <c r="E118" s="30" t="str">
        <f aca="false">IF($A118="","","https://"&amp;config!$B$9&amp;"/"&amp;$D118)</f>
        <v>https://go.example.com/SAMPLE-c007-o009-q</v>
      </c>
      <c r="F118" s="30" t="str">
        <f aca="false">IF($A118="","",$A118&amp;"."&amp;$B118)</f>
        <v>SAMPLE-CMP-007.SAMPLE-O-009</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https://docs.google.com/forms/d/e/SAMPLE-CMP-007-FORM/viewform?usp=pp_url&amp;entry.1000001=SAMPLE-CMP-007.SAMPLE-O-009&amp;utm_source=office-pantry&amp;utm_medium=qr&amp;utm_campaign=sample-cmp-007&amp;utm_content=sample-o-009</v>
      </c>
      <c r="H118" s="30" t="str">
        <f aca="false">IF(OR($A118="",$C118&lt;&gt;"qr"),"",$D118&amp;".png")</f>
        <v>SAMPLE-c007-o009-q.png</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SAMPLE-CMP-007</v>
      </c>
      <c r="B119" s="30" t="str">
        <f aca="false">IF(INDEX(approvals!$A$2:$A$251,INT((ROW()-2)/2)+1)="","",INDEX(approvals!$B$2:$B$251,INT((ROW()-2)/2)+1))</f>
        <v>SAMPLE-O-009</v>
      </c>
      <c r="C119" s="30" t="str">
        <f aca="false">IF($A119="","",IF(MOD(ROW()-2,2)=0,"qr","post"))</f>
        <v>post</v>
      </c>
      <c r="D119" s="30" t="str">
        <f aca="false">IF($A119="","",IF(LEFT($A119,7)="SAMPLE-","SAMPLE-","")&amp;LOWER(SUBSTITUTE(SUBSTITUTE($A119,"SAMPLE-",""),"CMP-","c"))&amp;"-"&amp;LOWER(SUBSTITUTE(SUBSTITUTE($B119,"SAMPLE-",""),"O-","o"))&amp;"-"&amp;IF($C119="qr","q","p"))</f>
        <v>SAMPLE-c007-o009-p</v>
      </c>
      <c r="E119" s="30" t="str">
        <f aca="false">IF($A119="","","https://"&amp;config!$B$9&amp;"/"&amp;$D119)</f>
        <v>https://go.example.com/SAMPLE-c007-o009-p</v>
      </c>
      <c r="F119" s="30" t="str">
        <f aca="false">IF($A119="","",$A119&amp;"."&amp;$B119)</f>
        <v>SAMPLE-CMP-007.SAMPLE-O-009</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https://docs.google.com/forms/d/e/SAMPLE-CMP-007-FORM/viewform?usp=pp_url&amp;entry.1000001=SAMPLE-CMP-007.SAMPLE-O-009&amp;utm_source=office-pantry&amp;utm_medium=post&amp;utm_campaign=sample-cmp-007&amp;utm_content=sample-o-009</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SAMPLE-CMP-007</v>
      </c>
      <c r="B120" s="30" t="str">
        <f aca="false">IF(INDEX(approvals!$A$2:$A$251,INT((ROW()-2)/2)+1)="","",INDEX(approvals!$B$2:$B$251,INT((ROW()-2)/2)+1))</f>
        <v>SAMPLE-O-010</v>
      </c>
      <c r="C120" s="30" t="str">
        <f aca="false">IF($A120="","",IF(MOD(ROW()-2,2)=0,"qr","post"))</f>
        <v>qr</v>
      </c>
      <c r="D120" s="30" t="str">
        <f aca="false">IF($A120="","",IF(LEFT($A120,7)="SAMPLE-","SAMPLE-","")&amp;LOWER(SUBSTITUTE(SUBSTITUTE($A120,"SAMPLE-",""),"CMP-","c"))&amp;"-"&amp;LOWER(SUBSTITUTE(SUBSTITUTE($B120,"SAMPLE-",""),"O-","o"))&amp;"-"&amp;IF($C120="qr","q","p"))</f>
        <v>SAMPLE-c007-o010-q</v>
      </c>
      <c r="E120" s="30" t="str">
        <f aca="false">IF($A120="","","https://"&amp;config!$B$9&amp;"/"&amp;$D120)</f>
        <v>https://go.example.com/SAMPLE-c007-o010-q</v>
      </c>
      <c r="F120" s="30" t="str">
        <f aca="false">IF($A120="","",$A120&amp;"."&amp;$B120)</f>
        <v>SAMPLE-CMP-007.SAMPLE-O-010</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https://docs.google.com/forms/d/e/SAMPLE-CMP-007-FORM/viewform?usp=pp_url&amp;entry.1000001=SAMPLE-CMP-007.SAMPLE-O-010&amp;utm_source=office-pantry&amp;utm_medium=qr&amp;utm_campaign=sample-cmp-007&amp;utm_content=sample-o-010</v>
      </c>
      <c r="H120" s="30" t="str">
        <f aca="false">IF(OR($A120="",$C120&lt;&gt;"qr"),"",$D120&amp;".png")</f>
        <v>SAMPLE-c007-o010-q.png</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SAMPLE-CMP-007</v>
      </c>
      <c r="B121" s="30" t="str">
        <f aca="false">IF(INDEX(approvals!$A$2:$A$251,INT((ROW()-2)/2)+1)="","",INDEX(approvals!$B$2:$B$251,INT((ROW()-2)/2)+1))</f>
        <v>SAMPLE-O-010</v>
      </c>
      <c r="C121" s="30" t="str">
        <f aca="false">IF($A121="","",IF(MOD(ROW()-2,2)=0,"qr","post"))</f>
        <v>post</v>
      </c>
      <c r="D121" s="30" t="str">
        <f aca="false">IF($A121="","",IF(LEFT($A121,7)="SAMPLE-","SAMPLE-","")&amp;LOWER(SUBSTITUTE(SUBSTITUTE($A121,"SAMPLE-",""),"CMP-","c"))&amp;"-"&amp;LOWER(SUBSTITUTE(SUBSTITUTE($B121,"SAMPLE-",""),"O-","o"))&amp;"-"&amp;IF($C121="qr","q","p"))</f>
        <v>SAMPLE-c007-o010-p</v>
      </c>
      <c r="E121" s="30" t="str">
        <f aca="false">IF($A121="","","https://"&amp;config!$B$9&amp;"/"&amp;$D121)</f>
        <v>https://go.example.com/SAMPLE-c007-o010-p</v>
      </c>
      <c r="F121" s="30" t="str">
        <f aca="false">IF($A121="","",$A121&amp;"."&amp;$B121)</f>
        <v>SAMPLE-CMP-007.SAMPLE-O-010</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https://docs.google.com/forms/d/e/SAMPLE-CMP-007-FORM/viewform?usp=pp_url&amp;entry.1000001=SAMPLE-CMP-007.SAMPLE-O-010&amp;utm_source=office-pantry&amp;utm_medium=post&amp;utm_campaign=sample-cmp-007&amp;utm_content=sample-o-010</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SAMPLE-CMP-008</v>
      </c>
      <c r="B122" s="30" t="str">
        <f aca="false">IF(INDEX(approvals!$A$2:$A$251,INT((ROW()-2)/2)+1)="","",INDEX(approvals!$B$2:$B$251,INT((ROW()-2)/2)+1))</f>
        <v>SAMPLE-O-001</v>
      </c>
      <c r="C122" s="30" t="str">
        <f aca="false">IF($A122="","",IF(MOD(ROW()-2,2)=0,"qr","post"))</f>
        <v>qr</v>
      </c>
      <c r="D122" s="30" t="str">
        <f aca="false">IF($A122="","",IF(LEFT($A122,7)="SAMPLE-","SAMPLE-","")&amp;LOWER(SUBSTITUTE(SUBSTITUTE($A122,"SAMPLE-",""),"CMP-","c"))&amp;"-"&amp;LOWER(SUBSTITUTE(SUBSTITUTE($B122,"SAMPLE-",""),"O-","o"))&amp;"-"&amp;IF($C122="qr","q","p"))</f>
        <v>SAMPLE-c008-o001-q</v>
      </c>
      <c r="E122" s="30" t="str">
        <f aca="false">IF($A122="","","https://"&amp;config!$B$9&amp;"/"&amp;$D122)</f>
        <v>https://go.example.com/SAMPLE-c008-o001-q</v>
      </c>
      <c r="F122" s="30" t="str">
        <f aca="false">IF($A122="","",$A122&amp;"."&amp;$B122)</f>
        <v>SAMPLE-CMP-008.SAMPLE-O-001</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https://docs.google.com/forms/d/e/SAMPLE-CMP-008-FORM/viewform?usp=pp_url&amp;entry.1000001=SAMPLE-CMP-008.SAMPLE-O-001&amp;utm_source=office-pantry&amp;utm_medium=qr&amp;utm_campaign=sample-cmp-008&amp;utm_content=sample-o-001</v>
      </c>
      <c r="H122" s="30" t="str">
        <f aca="false">IF(OR($A122="",$C122&lt;&gt;"qr"),"",$D122&amp;".png")</f>
        <v>SAMPLE-c008-o001-q.png</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SAMPLE-CMP-008</v>
      </c>
      <c r="B123" s="30" t="str">
        <f aca="false">IF(INDEX(approvals!$A$2:$A$251,INT((ROW()-2)/2)+1)="","",INDEX(approvals!$B$2:$B$251,INT((ROW()-2)/2)+1))</f>
        <v>SAMPLE-O-001</v>
      </c>
      <c r="C123" s="30" t="str">
        <f aca="false">IF($A123="","",IF(MOD(ROW()-2,2)=0,"qr","post"))</f>
        <v>post</v>
      </c>
      <c r="D123" s="30" t="str">
        <f aca="false">IF($A123="","",IF(LEFT($A123,7)="SAMPLE-","SAMPLE-","")&amp;LOWER(SUBSTITUTE(SUBSTITUTE($A123,"SAMPLE-",""),"CMP-","c"))&amp;"-"&amp;LOWER(SUBSTITUTE(SUBSTITUTE($B123,"SAMPLE-",""),"O-","o"))&amp;"-"&amp;IF($C123="qr","q","p"))</f>
        <v>SAMPLE-c008-o001-p</v>
      </c>
      <c r="E123" s="30" t="str">
        <f aca="false">IF($A123="","","https://"&amp;config!$B$9&amp;"/"&amp;$D123)</f>
        <v>https://go.example.com/SAMPLE-c008-o001-p</v>
      </c>
      <c r="F123" s="30" t="str">
        <f aca="false">IF($A123="","",$A123&amp;"."&amp;$B123)</f>
        <v>SAMPLE-CMP-008.SAMPLE-O-001</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https://docs.google.com/forms/d/e/SAMPLE-CMP-008-FORM/viewform?usp=pp_url&amp;entry.1000001=SAMPLE-CMP-008.SAMPLE-O-001&amp;utm_source=office-pantry&amp;utm_medium=post&amp;utm_campaign=sample-cmp-008&amp;utm_content=sample-o-001</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SAMPLE-CMP-008</v>
      </c>
      <c r="B124" s="30" t="str">
        <f aca="false">IF(INDEX(approvals!$A$2:$A$251,INT((ROW()-2)/2)+1)="","",INDEX(approvals!$B$2:$B$251,INT((ROW()-2)/2)+1))</f>
        <v>SAMPLE-O-002</v>
      </c>
      <c r="C124" s="30" t="str">
        <f aca="false">IF($A124="","",IF(MOD(ROW()-2,2)=0,"qr","post"))</f>
        <v>qr</v>
      </c>
      <c r="D124" s="30" t="str">
        <f aca="false">IF($A124="","",IF(LEFT($A124,7)="SAMPLE-","SAMPLE-","")&amp;LOWER(SUBSTITUTE(SUBSTITUTE($A124,"SAMPLE-",""),"CMP-","c"))&amp;"-"&amp;LOWER(SUBSTITUTE(SUBSTITUTE($B124,"SAMPLE-",""),"O-","o"))&amp;"-"&amp;IF($C124="qr","q","p"))</f>
        <v>SAMPLE-c008-o002-q</v>
      </c>
      <c r="E124" s="30" t="str">
        <f aca="false">IF($A124="","","https://"&amp;config!$B$9&amp;"/"&amp;$D124)</f>
        <v>https://go.example.com/SAMPLE-c008-o002-q</v>
      </c>
      <c r="F124" s="30" t="str">
        <f aca="false">IF($A124="","",$A124&amp;"."&amp;$B124)</f>
        <v>SAMPLE-CMP-008.SAMPLE-O-002</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https://docs.google.com/forms/d/e/SAMPLE-CMP-008-FORM/viewform?usp=pp_url&amp;entry.1000001=SAMPLE-CMP-008.SAMPLE-O-002&amp;utm_source=office-pantry&amp;utm_medium=qr&amp;utm_campaign=sample-cmp-008&amp;utm_content=sample-o-002</v>
      </c>
      <c r="H124" s="30" t="str">
        <f aca="false">IF(OR($A124="",$C124&lt;&gt;"qr"),"",$D124&amp;".png")</f>
        <v>SAMPLE-c008-o002-q.png</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SAMPLE-CMP-008</v>
      </c>
      <c r="B125" s="30" t="str">
        <f aca="false">IF(INDEX(approvals!$A$2:$A$251,INT((ROW()-2)/2)+1)="","",INDEX(approvals!$B$2:$B$251,INT((ROW()-2)/2)+1))</f>
        <v>SAMPLE-O-002</v>
      </c>
      <c r="C125" s="30" t="str">
        <f aca="false">IF($A125="","",IF(MOD(ROW()-2,2)=0,"qr","post"))</f>
        <v>post</v>
      </c>
      <c r="D125" s="30" t="str">
        <f aca="false">IF($A125="","",IF(LEFT($A125,7)="SAMPLE-","SAMPLE-","")&amp;LOWER(SUBSTITUTE(SUBSTITUTE($A125,"SAMPLE-",""),"CMP-","c"))&amp;"-"&amp;LOWER(SUBSTITUTE(SUBSTITUTE($B125,"SAMPLE-",""),"O-","o"))&amp;"-"&amp;IF($C125="qr","q","p"))</f>
        <v>SAMPLE-c008-o002-p</v>
      </c>
      <c r="E125" s="30" t="str">
        <f aca="false">IF($A125="","","https://"&amp;config!$B$9&amp;"/"&amp;$D125)</f>
        <v>https://go.example.com/SAMPLE-c008-o002-p</v>
      </c>
      <c r="F125" s="30" t="str">
        <f aca="false">IF($A125="","",$A125&amp;"."&amp;$B125)</f>
        <v>SAMPLE-CMP-008.SAMPLE-O-002</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https://docs.google.com/forms/d/e/SAMPLE-CMP-008-FORM/viewform?usp=pp_url&amp;entry.1000001=SAMPLE-CMP-008.SAMPLE-O-002&amp;utm_source=office-pantry&amp;utm_medium=post&amp;utm_campaign=sample-cmp-008&amp;utm_content=sample-o-002</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SAMPLE-CMP-008</v>
      </c>
      <c r="B126" s="30" t="str">
        <f aca="false">IF(INDEX(approvals!$A$2:$A$251,INT((ROW()-2)/2)+1)="","",INDEX(approvals!$B$2:$B$251,INT((ROW()-2)/2)+1))</f>
        <v>SAMPLE-O-003</v>
      </c>
      <c r="C126" s="30" t="str">
        <f aca="false">IF($A126="","",IF(MOD(ROW()-2,2)=0,"qr","post"))</f>
        <v>qr</v>
      </c>
      <c r="D126" s="30" t="str">
        <f aca="false">IF($A126="","",IF(LEFT($A126,7)="SAMPLE-","SAMPLE-","")&amp;LOWER(SUBSTITUTE(SUBSTITUTE($A126,"SAMPLE-",""),"CMP-","c"))&amp;"-"&amp;LOWER(SUBSTITUTE(SUBSTITUTE($B126,"SAMPLE-",""),"O-","o"))&amp;"-"&amp;IF($C126="qr","q","p"))</f>
        <v>SAMPLE-c008-o003-q</v>
      </c>
      <c r="E126" s="30" t="str">
        <f aca="false">IF($A126="","","https://"&amp;config!$B$9&amp;"/"&amp;$D126)</f>
        <v>https://go.example.com/SAMPLE-c008-o003-q</v>
      </c>
      <c r="F126" s="30" t="str">
        <f aca="false">IF($A126="","",$A126&amp;"."&amp;$B126)</f>
        <v>SAMPLE-CMP-008.SAMPLE-O-003</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https://docs.google.com/forms/d/e/SAMPLE-CMP-008-FORM/viewform?usp=pp_url&amp;entry.1000001=SAMPLE-CMP-008.SAMPLE-O-003&amp;utm_source=office-pantry&amp;utm_medium=qr&amp;utm_campaign=sample-cmp-008&amp;utm_content=sample-o-003</v>
      </c>
      <c r="H126" s="30" t="str">
        <f aca="false">IF(OR($A126="",$C126&lt;&gt;"qr"),"",$D126&amp;".png")</f>
        <v>SAMPLE-c008-o003-q.png</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SAMPLE-CMP-008</v>
      </c>
      <c r="B127" s="30" t="str">
        <f aca="false">IF(INDEX(approvals!$A$2:$A$251,INT((ROW()-2)/2)+1)="","",INDEX(approvals!$B$2:$B$251,INT((ROW()-2)/2)+1))</f>
        <v>SAMPLE-O-003</v>
      </c>
      <c r="C127" s="30" t="str">
        <f aca="false">IF($A127="","",IF(MOD(ROW()-2,2)=0,"qr","post"))</f>
        <v>post</v>
      </c>
      <c r="D127" s="30" t="str">
        <f aca="false">IF($A127="","",IF(LEFT($A127,7)="SAMPLE-","SAMPLE-","")&amp;LOWER(SUBSTITUTE(SUBSTITUTE($A127,"SAMPLE-",""),"CMP-","c"))&amp;"-"&amp;LOWER(SUBSTITUTE(SUBSTITUTE($B127,"SAMPLE-",""),"O-","o"))&amp;"-"&amp;IF($C127="qr","q","p"))</f>
        <v>SAMPLE-c008-o003-p</v>
      </c>
      <c r="E127" s="30" t="str">
        <f aca="false">IF($A127="","","https://"&amp;config!$B$9&amp;"/"&amp;$D127)</f>
        <v>https://go.example.com/SAMPLE-c008-o003-p</v>
      </c>
      <c r="F127" s="30" t="str">
        <f aca="false">IF($A127="","",$A127&amp;"."&amp;$B127)</f>
        <v>SAMPLE-CMP-008.SAMPLE-O-003</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https://docs.google.com/forms/d/e/SAMPLE-CMP-008-FORM/viewform?usp=pp_url&amp;entry.1000001=SAMPLE-CMP-008.SAMPLE-O-003&amp;utm_source=office-pantry&amp;utm_medium=post&amp;utm_campaign=sample-cmp-008&amp;utm_content=sample-o-003</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SAMPLE-CMP-008</v>
      </c>
      <c r="B128" s="30" t="str">
        <f aca="false">IF(INDEX(approvals!$A$2:$A$251,INT((ROW()-2)/2)+1)="","",INDEX(approvals!$B$2:$B$251,INT((ROW()-2)/2)+1))</f>
        <v>SAMPLE-O-004</v>
      </c>
      <c r="C128" s="30" t="str">
        <f aca="false">IF($A128="","",IF(MOD(ROW()-2,2)=0,"qr","post"))</f>
        <v>qr</v>
      </c>
      <c r="D128" s="30" t="str">
        <f aca="false">IF($A128="","",IF(LEFT($A128,7)="SAMPLE-","SAMPLE-","")&amp;LOWER(SUBSTITUTE(SUBSTITUTE($A128,"SAMPLE-",""),"CMP-","c"))&amp;"-"&amp;LOWER(SUBSTITUTE(SUBSTITUTE($B128,"SAMPLE-",""),"O-","o"))&amp;"-"&amp;IF($C128="qr","q","p"))</f>
        <v>SAMPLE-c008-o004-q</v>
      </c>
      <c r="E128" s="30" t="str">
        <f aca="false">IF($A128="","","https://"&amp;config!$B$9&amp;"/"&amp;$D128)</f>
        <v>https://go.example.com/SAMPLE-c008-o004-q</v>
      </c>
      <c r="F128" s="30" t="str">
        <f aca="false">IF($A128="","",$A128&amp;"."&amp;$B128)</f>
        <v>SAMPLE-CMP-008.SAMPLE-O-004</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https://docs.google.com/forms/d/e/SAMPLE-CMP-008-FORM/viewform?usp=pp_url&amp;entry.1000001=SAMPLE-CMP-008.SAMPLE-O-004&amp;utm_source=office-pantry&amp;utm_medium=qr&amp;utm_campaign=sample-cmp-008&amp;utm_content=sample-o-004</v>
      </c>
      <c r="H128" s="30" t="str">
        <f aca="false">IF(OR($A128="",$C128&lt;&gt;"qr"),"",$D128&amp;".png")</f>
        <v>SAMPLE-c008-o004-q.png</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SAMPLE-CMP-008</v>
      </c>
      <c r="B129" s="30" t="str">
        <f aca="false">IF(INDEX(approvals!$A$2:$A$251,INT((ROW()-2)/2)+1)="","",INDEX(approvals!$B$2:$B$251,INT((ROW()-2)/2)+1))</f>
        <v>SAMPLE-O-004</v>
      </c>
      <c r="C129" s="30" t="str">
        <f aca="false">IF($A129="","",IF(MOD(ROW()-2,2)=0,"qr","post"))</f>
        <v>post</v>
      </c>
      <c r="D129" s="30" t="str">
        <f aca="false">IF($A129="","",IF(LEFT($A129,7)="SAMPLE-","SAMPLE-","")&amp;LOWER(SUBSTITUTE(SUBSTITUTE($A129,"SAMPLE-",""),"CMP-","c"))&amp;"-"&amp;LOWER(SUBSTITUTE(SUBSTITUTE($B129,"SAMPLE-",""),"O-","o"))&amp;"-"&amp;IF($C129="qr","q","p"))</f>
        <v>SAMPLE-c008-o004-p</v>
      </c>
      <c r="E129" s="30" t="str">
        <f aca="false">IF($A129="","","https://"&amp;config!$B$9&amp;"/"&amp;$D129)</f>
        <v>https://go.example.com/SAMPLE-c008-o004-p</v>
      </c>
      <c r="F129" s="30" t="str">
        <f aca="false">IF($A129="","",$A129&amp;"."&amp;$B129)</f>
        <v>SAMPLE-CMP-008.SAMPLE-O-004</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https://docs.google.com/forms/d/e/SAMPLE-CMP-008-FORM/viewform?usp=pp_url&amp;entry.1000001=SAMPLE-CMP-008.SAMPLE-O-004&amp;utm_source=office-pantry&amp;utm_medium=post&amp;utm_campaign=sample-cmp-008&amp;utm_content=sample-o-004</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SAMPLE-CMP-008</v>
      </c>
      <c r="B130" s="30" t="str">
        <f aca="false">IF(INDEX(approvals!$A$2:$A$251,INT((ROW()-2)/2)+1)="","",INDEX(approvals!$B$2:$B$251,INT((ROW()-2)/2)+1))</f>
        <v>SAMPLE-O-005</v>
      </c>
      <c r="C130" s="30" t="str">
        <f aca="false">IF($A130="","",IF(MOD(ROW()-2,2)=0,"qr","post"))</f>
        <v>qr</v>
      </c>
      <c r="D130" s="30" t="str">
        <f aca="false">IF($A130="","",IF(LEFT($A130,7)="SAMPLE-","SAMPLE-","")&amp;LOWER(SUBSTITUTE(SUBSTITUTE($A130,"SAMPLE-",""),"CMP-","c"))&amp;"-"&amp;LOWER(SUBSTITUTE(SUBSTITUTE($B130,"SAMPLE-",""),"O-","o"))&amp;"-"&amp;IF($C130="qr","q","p"))</f>
        <v>SAMPLE-c008-o005-q</v>
      </c>
      <c r="E130" s="30" t="str">
        <f aca="false">IF($A130="","","https://"&amp;config!$B$9&amp;"/"&amp;$D130)</f>
        <v>https://go.example.com/SAMPLE-c008-o005-q</v>
      </c>
      <c r="F130" s="30" t="str">
        <f aca="false">IF($A130="","",$A130&amp;"."&amp;$B130)</f>
        <v>SAMPLE-CMP-008.SAMPLE-O-005</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https://docs.google.com/forms/d/e/SAMPLE-CMP-008-FORM/viewform?usp=pp_url&amp;entry.1000001=SAMPLE-CMP-008.SAMPLE-O-005&amp;utm_source=office-pantry&amp;utm_medium=qr&amp;utm_campaign=sample-cmp-008&amp;utm_content=sample-o-005</v>
      </c>
      <c r="H130" s="30" t="str">
        <f aca="false">IF(OR($A130="",$C130&lt;&gt;"qr"),"",$D130&amp;".png")</f>
        <v>SAMPLE-c008-o005-q.png</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SAMPLE-CMP-008</v>
      </c>
      <c r="B131" s="30" t="str">
        <f aca="false">IF(INDEX(approvals!$A$2:$A$251,INT((ROW()-2)/2)+1)="","",INDEX(approvals!$B$2:$B$251,INT((ROW()-2)/2)+1))</f>
        <v>SAMPLE-O-005</v>
      </c>
      <c r="C131" s="30" t="str">
        <f aca="false">IF($A131="","",IF(MOD(ROW()-2,2)=0,"qr","post"))</f>
        <v>post</v>
      </c>
      <c r="D131" s="30" t="str">
        <f aca="false">IF($A131="","",IF(LEFT($A131,7)="SAMPLE-","SAMPLE-","")&amp;LOWER(SUBSTITUTE(SUBSTITUTE($A131,"SAMPLE-",""),"CMP-","c"))&amp;"-"&amp;LOWER(SUBSTITUTE(SUBSTITUTE($B131,"SAMPLE-",""),"O-","o"))&amp;"-"&amp;IF($C131="qr","q","p"))</f>
        <v>SAMPLE-c008-o005-p</v>
      </c>
      <c r="E131" s="30" t="str">
        <f aca="false">IF($A131="","","https://"&amp;config!$B$9&amp;"/"&amp;$D131)</f>
        <v>https://go.example.com/SAMPLE-c008-o005-p</v>
      </c>
      <c r="F131" s="30" t="str">
        <f aca="false">IF($A131="","",$A131&amp;"."&amp;$B131)</f>
        <v>SAMPLE-CMP-008.SAMPLE-O-005</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https://docs.google.com/forms/d/e/SAMPLE-CMP-008-FORM/viewform?usp=pp_url&amp;entry.1000001=SAMPLE-CMP-008.SAMPLE-O-005&amp;utm_source=office-pantry&amp;utm_medium=post&amp;utm_campaign=sample-cmp-008&amp;utm_content=sample-o-005</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SAMPLE-CMP-008</v>
      </c>
      <c r="B132" s="30" t="str">
        <f aca="false">IF(INDEX(approvals!$A$2:$A$251,INT((ROW()-2)/2)+1)="","",INDEX(approvals!$B$2:$B$251,INT((ROW()-2)/2)+1))</f>
        <v>SAMPLE-O-006</v>
      </c>
      <c r="C132" s="30" t="str">
        <f aca="false">IF($A132="","",IF(MOD(ROW()-2,2)=0,"qr","post"))</f>
        <v>qr</v>
      </c>
      <c r="D132" s="30" t="str">
        <f aca="false">IF($A132="","",IF(LEFT($A132,7)="SAMPLE-","SAMPLE-","")&amp;LOWER(SUBSTITUTE(SUBSTITUTE($A132,"SAMPLE-",""),"CMP-","c"))&amp;"-"&amp;LOWER(SUBSTITUTE(SUBSTITUTE($B132,"SAMPLE-",""),"O-","o"))&amp;"-"&amp;IF($C132="qr","q","p"))</f>
        <v>SAMPLE-c008-o006-q</v>
      </c>
      <c r="E132" s="30" t="str">
        <f aca="false">IF($A132="","","https://"&amp;config!$B$9&amp;"/"&amp;$D132)</f>
        <v>https://go.example.com/SAMPLE-c008-o006-q</v>
      </c>
      <c r="F132" s="30" t="str">
        <f aca="false">IF($A132="","",$A132&amp;"."&amp;$B132)</f>
        <v>SAMPLE-CMP-008.SAMPLE-O-006</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https://docs.google.com/forms/d/e/SAMPLE-CMP-008-FORM/viewform?usp=pp_url&amp;entry.1000001=SAMPLE-CMP-008.SAMPLE-O-006&amp;utm_source=office-pantry&amp;utm_medium=qr&amp;utm_campaign=sample-cmp-008&amp;utm_content=sample-o-006</v>
      </c>
      <c r="H132" s="30" t="str">
        <f aca="false">IF(OR($A132="",$C132&lt;&gt;"qr"),"",$D132&amp;".png")</f>
        <v>SAMPLE-c008-o006-q.png</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SAMPLE-CMP-008</v>
      </c>
      <c r="B133" s="30" t="str">
        <f aca="false">IF(INDEX(approvals!$A$2:$A$251,INT((ROW()-2)/2)+1)="","",INDEX(approvals!$B$2:$B$251,INT((ROW()-2)/2)+1))</f>
        <v>SAMPLE-O-006</v>
      </c>
      <c r="C133" s="30" t="str">
        <f aca="false">IF($A133="","",IF(MOD(ROW()-2,2)=0,"qr","post"))</f>
        <v>post</v>
      </c>
      <c r="D133" s="30" t="str">
        <f aca="false">IF($A133="","",IF(LEFT($A133,7)="SAMPLE-","SAMPLE-","")&amp;LOWER(SUBSTITUTE(SUBSTITUTE($A133,"SAMPLE-",""),"CMP-","c"))&amp;"-"&amp;LOWER(SUBSTITUTE(SUBSTITUTE($B133,"SAMPLE-",""),"O-","o"))&amp;"-"&amp;IF($C133="qr","q","p"))</f>
        <v>SAMPLE-c008-o006-p</v>
      </c>
      <c r="E133" s="30" t="str">
        <f aca="false">IF($A133="","","https://"&amp;config!$B$9&amp;"/"&amp;$D133)</f>
        <v>https://go.example.com/SAMPLE-c008-o006-p</v>
      </c>
      <c r="F133" s="30" t="str">
        <f aca="false">IF($A133="","",$A133&amp;"."&amp;$B133)</f>
        <v>SAMPLE-CMP-008.SAMPLE-O-006</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https://docs.google.com/forms/d/e/SAMPLE-CMP-008-FORM/viewform?usp=pp_url&amp;entry.1000001=SAMPLE-CMP-008.SAMPLE-O-006&amp;utm_source=office-pantry&amp;utm_medium=post&amp;utm_campaign=sample-cmp-008&amp;utm_content=sample-o-006</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SAMPLE-CMP-008</v>
      </c>
      <c r="B134" s="30" t="str">
        <f aca="false">IF(INDEX(approvals!$A$2:$A$251,INT((ROW()-2)/2)+1)="","",INDEX(approvals!$B$2:$B$251,INT((ROW()-2)/2)+1))</f>
        <v>SAMPLE-O-007</v>
      </c>
      <c r="C134" s="30" t="str">
        <f aca="false">IF($A134="","",IF(MOD(ROW()-2,2)=0,"qr","post"))</f>
        <v>qr</v>
      </c>
      <c r="D134" s="30" t="str">
        <f aca="false">IF($A134="","",IF(LEFT($A134,7)="SAMPLE-","SAMPLE-","")&amp;LOWER(SUBSTITUTE(SUBSTITUTE($A134,"SAMPLE-",""),"CMP-","c"))&amp;"-"&amp;LOWER(SUBSTITUTE(SUBSTITUTE($B134,"SAMPLE-",""),"O-","o"))&amp;"-"&amp;IF($C134="qr","q","p"))</f>
        <v>SAMPLE-c008-o007-q</v>
      </c>
      <c r="E134" s="30" t="str">
        <f aca="false">IF($A134="","","https://"&amp;config!$B$9&amp;"/"&amp;$D134)</f>
        <v>https://go.example.com/SAMPLE-c008-o007-q</v>
      </c>
      <c r="F134" s="30" t="str">
        <f aca="false">IF($A134="","",$A134&amp;"."&amp;$B134)</f>
        <v>SAMPLE-CMP-008.SAMPLE-O-007</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https://docs.google.com/forms/d/e/SAMPLE-CMP-008-FORM/viewform?usp=pp_url&amp;entry.1000001=SAMPLE-CMP-008.SAMPLE-O-007&amp;utm_source=office-pantry&amp;utm_medium=qr&amp;utm_campaign=sample-cmp-008&amp;utm_content=sample-o-007</v>
      </c>
      <c r="H134" s="30" t="str">
        <f aca="false">IF(OR($A134="",$C134&lt;&gt;"qr"),"",$D134&amp;".png")</f>
        <v>SAMPLE-c008-o007-q.png</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SAMPLE-CMP-008</v>
      </c>
      <c r="B135" s="30" t="str">
        <f aca="false">IF(INDEX(approvals!$A$2:$A$251,INT((ROW()-2)/2)+1)="","",INDEX(approvals!$B$2:$B$251,INT((ROW()-2)/2)+1))</f>
        <v>SAMPLE-O-007</v>
      </c>
      <c r="C135" s="30" t="str">
        <f aca="false">IF($A135="","",IF(MOD(ROW()-2,2)=0,"qr","post"))</f>
        <v>post</v>
      </c>
      <c r="D135" s="30" t="str">
        <f aca="false">IF($A135="","",IF(LEFT($A135,7)="SAMPLE-","SAMPLE-","")&amp;LOWER(SUBSTITUTE(SUBSTITUTE($A135,"SAMPLE-",""),"CMP-","c"))&amp;"-"&amp;LOWER(SUBSTITUTE(SUBSTITUTE($B135,"SAMPLE-",""),"O-","o"))&amp;"-"&amp;IF($C135="qr","q","p"))</f>
        <v>SAMPLE-c008-o007-p</v>
      </c>
      <c r="E135" s="30" t="str">
        <f aca="false">IF($A135="","","https://"&amp;config!$B$9&amp;"/"&amp;$D135)</f>
        <v>https://go.example.com/SAMPLE-c008-o007-p</v>
      </c>
      <c r="F135" s="30" t="str">
        <f aca="false">IF($A135="","",$A135&amp;"."&amp;$B135)</f>
        <v>SAMPLE-CMP-008.SAMPLE-O-007</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https://docs.google.com/forms/d/e/SAMPLE-CMP-008-FORM/viewform?usp=pp_url&amp;entry.1000001=SAMPLE-CMP-008.SAMPLE-O-007&amp;utm_source=office-pantry&amp;utm_medium=post&amp;utm_campaign=sample-cmp-008&amp;utm_content=sample-o-007</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SAMPLE-CMP-008</v>
      </c>
      <c r="B136" s="30" t="str">
        <f aca="false">IF(INDEX(approvals!$A$2:$A$251,INT((ROW()-2)/2)+1)="","",INDEX(approvals!$B$2:$B$251,INT((ROW()-2)/2)+1))</f>
        <v>SAMPLE-O-008</v>
      </c>
      <c r="C136" s="30" t="str">
        <f aca="false">IF($A136="","",IF(MOD(ROW()-2,2)=0,"qr","post"))</f>
        <v>qr</v>
      </c>
      <c r="D136" s="30" t="str">
        <f aca="false">IF($A136="","",IF(LEFT($A136,7)="SAMPLE-","SAMPLE-","")&amp;LOWER(SUBSTITUTE(SUBSTITUTE($A136,"SAMPLE-",""),"CMP-","c"))&amp;"-"&amp;LOWER(SUBSTITUTE(SUBSTITUTE($B136,"SAMPLE-",""),"O-","o"))&amp;"-"&amp;IF($C136="qr","q","p"))</f>
        <v>SAMPLE-c008-o008-q</v>
      </c>
      <c r="E136" s="30" t="str">
        <f aca="false">IF($A136="","","https://"&amp;config!$B$9&amp;"/"&amp;$D136)</f>
        <v>https://go.example.com/SAMPLE-c008-o008-q</v>
      </c>
      <c r="F136" s="30" t="str">
        <f aca="false">IF($A136="","",$A136&amp;"."&amp;$B136)</f>
        <v>SAMPLE-CMP-008.SAMPLE-O-008</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https://docs.google.com/forms/d/e/SAMPLE-CMP-008-FORM/viewform?usp=pp_url&amp;entry.1000001=SAMPLE-CMP-008.SAMPLE-O-008&amp;utm_source=office-pantry&amp;utm_medium=qr&amp;utm_campaign=sample-cmp-008&amp;utm_content=sample-o-008</v>
      </c>
      <c r="H136" s="30" t="str">
        <f aca="false">IF(OR($A136="",$C136&lt;&gt;"qr"),"",$D136&amp;".png")</f>
        <v>SAMPLE-c008-o008-q.png</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SAMPLE-CMP-008</v>
      </c>
      <c r="B137" s="30" t="str">
        <f aca="false">IF(INDEX(approvals!$A$2:$A$251,INT((ROW()-2)/2)+1)="","",INDEX(approvals!$B$2:$B$251,INT((ROW()-2)/2)+1))</f>
        <v>SAMPLE-O-008</v>
      </c>
      <c r="C137" s="30" t="str">
        <f aca="false">IF($A137="","",IF(MOD(ROW()-2,2)=0,"qr","post"))</f>
        <v>post</v>
      </c>
      <c r="D137" s="30" t="str">
        <f aca="false">IF($A137="","",IF(LEFT($A137,7)="SAMPLE-","SAMPLE-","")&amp;LOWER(SUBSTITUTE(SUBSTITUTE($A137,"SAMPLE-",""),"CMP-","c"))&amp;"-"&amp;LOWER(SUBSTITUTE(SUBSTITUTE($B137,"SAMPLE-",""),"O-","o"))&amp;"-"&amp;IF($C137="qr","q","p"))</f>
        <v>SAMPLE-c008-o008-p</v>
      </c>
      <c r="E137" s="30" t="str">
        <f aca="false">IF($A137="","","https://"&amp;config!$B$9&amp;"/"&amp;$D137)</f>
        <v>https://go.example.com/SAMPLE-c008-o008-p</v>
      </c>
      <c r="F137" s="30" t="str">
        <f aca="false">IF($A137="","",$A137&amp;"."&amp;$B137)</f>
        <v>SAMPLE-CMP-008.SAMPLE-O-008</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https://docs.google.com/forms/d/e/SAMPLE-CMP-008-FORM/viewform?usp=pp_url&amp;entry.1000001=SAMPLE-CMP-008.SAMPLE-O-008&amp;utm_source=office-pantry&amp;utm_medium=post&amp;utm_campaign=sample-cmp-008&amp;utm_content=sample-o-008</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SAMPLE-CMP-008</v>
      </c>
      <c r="B138" s="30" t="str">
        <f aca="false">IF(INDEX(approvals!$A$2:$A$251,INT((ROW()-2)/2)+1)="","",INDEX(approvals!$B$2:$B$251,INT((ROW()-2)/2)+1))</f>
        <v>SAMPLE-O-009</v>
      </c>
      <c r="C138" s="30" t="str">
        <f aca="false">IF($A138="","",IF(MOD(ROW()-2,2)=0,"qr","post"))</f>
        <v>qr</v>
      </c>
      <c r="D138" s="30" t="str">
        <f aca="false">IF($A138="","",IF(LEFT($A138,7)="SAMPLE-","SAMPLE-","")&amp;LOWER(SUBSTITUTE(SUBSTITUTE($A138,"SAMPLE-",""),"CMP-","c"))&amp;"-"&amp;LOWER(SUBSTITUTE(SUBSTITUTE($B138,"SAMPLE-",""),"O-","o"))&amp;"-"&amp;IF($C138="qr","q","p"))</f>
        <v>SAMPLE-c008-o009-q</v>
      </c>
      <c r="E138" s="30" t="str">
        <f aca="false">IF($A138="","","https://"&amp;config!$B$9&amp;"/"&amp;$D138)</f>
        <v>https://go.example.com/SAMPLE-c008-o009-q</v>
      </c>
      <c r="F138" s="30" t="str">
        <f aca="false">IF($A138="","",$A138&amp;"."&amp;$B138)</f>
        <v>SAMPLE-CMP-008.SAMPLE-O-009</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https://docs.google.com/forms/d/e/SAMPLE-CMP-008-FORM/viewform?usp=pp_url&amp;entry.1000001=SAMPLE-CMP-008.SAMPLE-O-009&amp;utm_source=office-pantry&amp;utm_medium=qr&amp;utm_campaign=sample-cmp-008&amp;utm_content=sample-o-009</v>
      </c>
      <c r="H138" s="30" t="str">
        <f aca="false">IF(OR($A138="",$C138&lt;&gt;"qr"),"",$D138&amp;".png")</f>
        <v>SAMPLE-c008-o009-q.png</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SAMPLE-CMP-008</v>
      </c>
      <c r="B139" s="30" t="str">
        <f aca="false">IF(INDEX(approvals!$A$2:$A$251,INT((ROW()-2)/2)+1)="","",INDEX(approvals!$B$2:$B$251,INT((ROW()-2)/2)+1))</f>
        <v>SAMPLE-O-009</v>
      </c>
      <c r="C139" s="30" t="str">
        <f aca="false">IF($A139="","",IF(MOD(ROW()-2,2)=0,"qr","post"))</f>
        <v>post</v>
      </c>
      <c r="D139" s="30" t="str">
        <f aca="false">IF($A139="","",IF(LEFT($A139,7)="SAMPLE-","SAMPLE-","")&amp;LOWER(SUBSTITUTE(SUBSTITUTE($A139,"SAMPLE-",""),"CMP-","c"))&amp;"-"&amp;LOWER(SUBSTITUTE(SUBSTITUTE($B139,"SAMPLE-",""),"O-","o"))&amp;"-"&amp;IF($C139="qr","q","p"))</f>
        <v>SAMPLE-c008-o009-p</v>
      </c>
      <c r="E139" s="30" t="str">
        <f aca="false">IF($A139="","","https://"&amp;config!$B$9&amp;"/"&amp;$D139)</f>
        <v>https://go.example.com/SAMPLE-c008-o009-p</v>
      </c>
      <c r="F139" s="30" t="str">
        <f aca="false">IF($A139="","",$A139&amp;"."&amp;$B139)</f>
        <v>SAMPLE-CMP-008.SAMPLE-O-009</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https://docs.google.com/forms/d/e/SAMPLE-CMP-008-FORM/viewform?usp=pp_url&amp;entry.1000001=SAMPLE-CMP-008.SAMPLE-O-009&amp;utm_source=office-pantry&amp;utm_medium=post&amp;utm_campaign=sample-cmp-008&amp;utm_content=sample-o-009</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SAMPLE-CMP-008</v>
      </c>
      <c r="B140" s="30" t="str">
        <f aca="false">IF(INDEX(approvals!$A$2:$A$251,INT((ROW()-2)/2)+1)="","",INDEX(approvals!$B$2:$B$251,INT((ROW()-2)/2)+1))</f>
        <v>SAMPLE-O-010</v>
      </c>
      <c r="C140" s="30" t="str">
        <f aca="false">IF($A140="","",IF(MOD(ROW()-2,2)=0,"qr","post"))</f>
        <v>qr</v>
      </c>
      <c r="D140" s="30" t="str">
        <f aca="false">IF($A140="","",IF(LEFT($A140,7)="SAMPLE-","SAMPLE-","")&amp;LOWER(SUBSTITUTE(SUBSTITUTE($A140,"SAMPLE-",""),"CMP-","c"))&amp;"-"&amp;LOWER(SUBSTITUTE(SUBSTITUTE($B140,"SAMPLE-",""),"O-","o"))&amp;"-"&amp;IF($C140="qr","q","p"))</f>
        <v>SAMPLE-c008-o010-q</v>
      </c>
      <c r="E140" s="30" t="str">
        <f aca="false">IF($A140="","","https://"&amp;config!$B$9&amp;"/"&amp;$D140)</f>
        <v>https://go.example.com/SAMPLE-c008-o010-q</v>
      </c>
      <c r="F140" s="30" t="str">
        <f aca="false">IF($A140="","",$A140&amp;"."&amp;$B140)</f>
        <v>SAMPLE-CMP-008.SAMPLE-O-010</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https://docs.google.com/forms/d/e/SAMPLE-CMP-008-FORM/viewform?usp=pp_url&amp;entry.1000001=SAMPLE-CMP-008.SAMPLE-O-010&amp;utm_source=office-pantry&amp;utm_medium=qr&amp;utm_campaign=sample-cmp-008&amp;utm_content=sample-o-010</v>
      </c>
      <c r="H140" s="30" t="str">
        <f aca="false">IF(OR($A140="",$C140&lt;&gt;"qr"),"",$D140&amp;".png")</f>
        <v>SAMPLE-c008-o010-q.png</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SAMPLE-CMP-008</v>
      </c>
      <c r="B141" s="30" t="str">
        <f aca="false">IF(INDEX(approvals!$A$2:$A$251,INT((ROW()-2)/2)+1)="","",INDEX(approvals!$B$2:$B$251,INT((ROW()-2)/2)+1))</f>
        <v>SAMPLE-O-010</v>
      </c>
      <c r="C141" s="30" t="str">
        <f aca="false">IF($A141="","",IF(MOD(ROW()-2,2)=0,"qr","post"))</f>
        <v>post</v>
      </c>
      <c r="D141" s="30" t="str">
        <f aca="false">IF($A141="","",IF(LEFT($A141,7)="SAMPLE-","SAMPLE-","")&amp;LOWER(SUBSTITUTE(SUBSTITUTE($A141,"SAMPLE-",""),"CMP-","c"))&amp;"-"&amp;LOWER(SUBSTITUTE(SUBSTITUTE($B141,"SAMPLE-",""),"O-","o"))&amp;"-"&amp;IF($C141="qr","q","p"))</f>
        <v>SAMPLE-c008-o010-p</v>
      </c>
      <c r="E141" s="30" t="str">
        <f aca="false">IF($A141="","","https://"&amp;config!$B$9&amp;"/"&amp;$D141)</f>
        <v>https://go.example.com/SAMPLE-c008-o010-p</v>
      </c>
      <c r="F141" s="30" t="str">
        <f aca="false">IF($A141="","",$A141&amp;"."&amp;$B141)</f>
        <v>SAMPLE-CMP-008.SAMPLE-O-010</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https://docs.google.com/forms/d/e/SAMPLE-CMP-008-FORM/viewform?usp=pp_url&amp;entry.1000001=SAMPLE-CMP-008.SAMPLE-O-010&amp;utm_source=office-pantry&amp;utm_medium=post&amp;utm_campaign=sample-cmp-008&amp;utm_content=sample-o-010</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1023</v>
      </c>
      <c r="B1" s="28" t="s">
        <v>1024</v>
      </c>
      <c r="C1" s="28" t="s">
        <v>1019</v>
      </c>
      <c r="D1" s="28" t="s">
        <v>1025</v>
      </c>
      <c r="E1" s="28" t="s">
        <v>1026</v>
      </c>
      <c r="F1" s="28" t="s">
        <v>178</v>
      </c>
      <c r="G1" s="29" t="s">
        <v>358</v>
      </c>
      <c r="H1" s="29" t="s">
        <v>632</v>
      </c>
      <c r="I1" s="29" t="s">
        <v>1018</v>
      </c>
      <c r="J1" s="29" t="s">
        <v>120</v>
      </c>
    </row>
    <row r="2" customFormat="false" ht="15" hidden="false" customHeight="false" outlineLevel="0" collapsed="false">
      <c r="A2" s="11" t="n">
        <v>46398</v>
      </c>
      <c r="B2" s="38" t="n">
        <v>0.729166666666667</v>
      </c>
      <c r="C2" s="10" t="s">
        <v>1027</v>
      </c>
      <c r="D2" s="10" t="s">
        <v>1028</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1027</v>
      </c>
      <c r="D3" s="10" t="s">
        <v>1029</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1027</v>
      </c>
      <c r="D4" s="10" t="s">
        <v>1030</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1027</v>
      </c>
      <c r="D5" s="10" t="s">
        <v>1031</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1032</v>
      </c>
      <c r="D6" s="10" t="s">
        <v>1028</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1032</v>
      </c>
      <c r="D7" s="10" t="s">
        <v>1029</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1032</v>
      </c>
      <c r="D8" s="10" t="s">
        <v>1030</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1032</v>
      </c>
      <c r="D9" s="10" t="s">
        <v>1031</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1033</v>
      </c>
      <c r="D10" s="10" t="s">
        <v>1028</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1033</v>
      </c>
      <c r="D11" s="10" t="s">
        <v>1029</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1033</v>
      </c>
      <c r="D12" s="10" t="s">
        <v>1030</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1033</v>
      </c>
      <c r="D13" s="10" t="s">
        <v>1031</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1034</v>
      </c>
      <c r="D14" s="10" t="s">
        <v>1028</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1034</v>
      </c>
      <c r="D15" s="10" t="s">
        <v>1029</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1034</v>
      </c>
      <c r="D16" s="10" t="s">
        <v>1030</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1034</v>
      </c>
      <c r="D17" s="10" t="s">
        <v>1031</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1035</v>
      </c>
      <c r="D18" s="10" t="s">
        <v>1028</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1035</v>
      </c>
      <c r="D19" s="10" t="s">
        <v>1029</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1035</v>
      </c>
      <c r="D20" s="10" t="s">
        <v>1030</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1035</v>
      </c>
      <c r="D21" s="10" t="s">
        <v>1031</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1036</v>
      </c>
      <c r="D22" s="10" t="s">
        <v>1028</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1036</v>
      </c>
      <c r="D23" s="10" t="s">
        <v>1029</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1036</v>
      </c>
      <c r="D24" s="10" t="s">
        <v>1030</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1036</v>
      </c>
      <c r="D25" s="10" t="s">
        <v>1031</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1037</v>
      </c>
      <c r="D26" s="10" t="s">
        <v>1028</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1037</v>
      </c>
      <c r="D27" s="10" t="s">
        <v>1029</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1037</v>
      </c>
      <c r="D28" s="10" t="s">
        <v>1030</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1037</v>
      </c>
      <c r="D29" s="10" t="s">
        <v>1031</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1038</v>
      </c>
      <c r="D30" s="10" t="s">
        <v>1028</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1038</v>
      </c>
      <c r="D31" s="10" t="s">
        <v>1029</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1038</v>
      </c>
      <c r="D32" s="10" t="s">
        <v>1030</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1038</v>
      </c>
      <c r="D33" s="10" t="s">
        <v>1031</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1039</v>
      </c>
      <c r="D34" s="10" t="s">
        <v>1028</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1039</v>
      </c>
      <c r="D35" s="10" t="s">
        <v>1029</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1039</v>
      </c>
      <c r="D36" s="10" t="s">
        <v>1030</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1039</v>
      </c>
      <c r="D37" s="10" t="s">
        <v>1031</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1040</v>
      </c>
      <c r="D38" s="10" t="s">
        <v>1028</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1040</v>
      </c>
      <c r="D39" s="10" t="s">
        <v>1029</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1040</v>
      </c>
      <c r="D40" s="10" t="s">
        <v>1030</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1040</v>
      </c>
      <c r="D41" s="10" t="s">
        <v>1031</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1041</v>
      </c>
      <c r="D42" s="10" t="s">
        <v>1028</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1041</v>
      </c>
      <c r="D43" s="10" t="s">
        <v>1029</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1041</v>
      </c>
      <c r="D44" s="10" t="s">
        <v>1030</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1041</v>
      </c>
      <c r="D45" s="10" t="s">
        <v>1031</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1042</v>
      </c>
      <c r="D46" s="10" t="s">
        <v>1028</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1042</v>
      </c>
      <c r="D47" s="10" t="s">
        <v>1029</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1042</v>
      </c>
      <c r="D48" s="10" t="s">
        <v>1030</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1042</v>
      </c>
      <c r="D49" s="10" t="s">
        <v>1031</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1043</v>
      </c>
      <c r="D50" s="10" t="s">
        <v>1028</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1043</v>
      </c>
      <c r="D51" s="10" t="s">
        <v>1029</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1043</v>
      </c>
      <c r="D52" s="10" t="s">
        <v>1030</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1043</v>
      </c>
      <c r="D53" s="10" t="s">
        <v>1031</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1044</v>
      </c>
      <c r="D54" s="10" t="s">
        <v>1028</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1044</v>
      </c>
      <c r="D55" s="10" t="s">
        <v>1029</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1044</v>
      </c>
      <c r="D56" s="10" t="s">
        <v>1030</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1044</v>
      </c>
      <c r="D57" s="10" t="s">
        <v>1031</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1045</v>
      </c>
      <c r="D58" s="10" t="s">
        <v>1028</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1045</v>
      </c>
      <c r="D59" s="10" t="s">
        <v>1029</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1045</v>
      </c>
      <c r="D60" s="10" t="s">
        <v>1030</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1045</v>
      </c>
      <c r="D61" s="10" t="s">
        <v>1031</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1046</v>
      </c>
      <c r="D62" s="10" t="s">
        <v>1028</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1046</v>
      </c>
      <c r="D63" s="10" t="s">
        <v>1029</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1046</v>
      </c>
      <c r="D64" s="10" t="s">
        <v>1030</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1046</v>
      </c>
      <c r="D65" s="10" t="s">
        <v>1031</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1047</v>
      </c>
      <c r="D66" s="10" t="s">
        <v>1028</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1047</v>
      </c>
      <c r="D67" s="10" t="s">
        <v>1029</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1047</v>
      </c>
      <c r="D68" s="10" t="s">
        <v>1030</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1047</v>
      </c>
      <c r="D69" s="10" t="s">
        <v>1031</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1048</v>
      </c>
      <c r="D70" s="10" t="s">
        <v>1028</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1048</v>
      </c>
      <c r="D71" s="10" t="s">
        <v>1029</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1048</v>
      </c>
      <c r="D72" s="10" t="s">
        <v>1030</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1048</v>
      </c>
      <c r="D73" s="10" t="s">
        <v>1031</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1049</v>
      </c>
      <c r="D74" s="10" t="s">
        <v>1028</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1049</v>
      </c>
      <c r="D75" s="10" t="s">
        <v>1029</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1049</v>
      </c>
      <c r="D76" s="10" t="s">
        <v>1030</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1049</v>
      </c>
      <c r="D77" s="10" t="s">
        <v>1031</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1050</v>
      </c>
      <c r="D78" s="10" t="s">
        <v>1028</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1050</v>
      </c>
      <c r="D79" s="10" t="s">
        <v>1029</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1050</v>
      </c>
      <c r="D80" s="10" t="s">
        <v>1030</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1050</v>
      </c>
      <c r="D81" s="10" t="s">
        <v>1031</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1051</v>
      </c>
      <c r="D82" s="10" t="s">
        <v>1028</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1051</v>
      </c>
      <c r="D83" s="10" t="s">
        <v>1029</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1051</v>
      </c>
      <c r="D84" s="10" t="s">
        <v>1030</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1052</v>
      </c>
      <c r="D85" s="10" t="s">
        <v>1028</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1052</v>
      </c>
      <c r="D86" s="10" t="s">
        <v>1029</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1052</v>
      </c>
      <c r="D87" s="10" t="s">
        <v>1030</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1053</v>
      </c>
      <c r="D88" s="10" t="s">
        <v>1028</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1053</v>
      </c>
      <c r="D89" s="10" t="s">
        <v>1029</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1053</v>
      </c>
      <c r="D90" s="10" t="s">
        <v>1030</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1054</v>
      </c>
      <c r="D91" s="10" t="s">
        <v>1028</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1054</v>
      </c>
      <c r="D92" s="10" t="s">
        <v>1029</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1054</v>
      </c>
      <c r="D93" s="10" t="s">
        <v>1030</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1055</v>
      </c>
      <c r="D94" s="10" t="s">
        <v>1028</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1055</v>
      </c>
      <c r="D95" s="10" t="s">
        <v>1029</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1055</v>
      </c>
      <c r="D96" s="10" t="s">
        <v>1030</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1056</v>
      </c>
      <c r="D97" s="10" t="s">
        <v>1028</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1056</v>
      </c>
      <c r="D98" s="10" t="s">
        <v>1029</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1056</v>
      </c>
      <c r="D99" s="10" t="s">
        <v>1030</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1057</v>
      </c>
      <c r="D100" s="10" t="s">
        <v>1028</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1057</v>
      </c>
      <c r="D101" s="10" t="s">
        <v>1029</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1057</v>
      </c>
      <c r="D102" s="10" t="s">
        <v>1030</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1058</v>
      </c>
      <c r="D103" s="10" t="s">
        <v>1028</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1058</v>
      </c>
      <c r="D104" s="10" t="s">
        <v>1029</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1058</v>
      </c>
      <c r="D105" s="10" t="s">
        <v>1030</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1059</v>
      </c>
      <c r="D106" s="10" t="s">
        <v>1028</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1059</v>
      </c>
      <c r="D107" s="10" t="s">
        <v>1029</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1059</v>
      </c>
      <c r="D108" s="10" t="s">
        <v>1030</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1060</v>
      </c>
      <c r="D109" s="10" t="s">
        <v>1028</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1060</v>
      </c>
      <c r="D110" s="10" t="s">
        <v>1029</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1060</v>
      </c>
      <c r="D111" s="10" t="s">
        <v>1030</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1061</v>
      </c>
      <c r="D112" s="10" t="s">
        <v>1028</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1061</v>
      </c>
      <c r="D113" s="10" t="s">
        <v>1029</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1061</v>
      </c>
      <c r="D114" s="10" t="s">
        <v>1030</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1062</v>
      </c>
      <c r="D115" s="10" t="s">
        <v>1028</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1062</v>
      </c>
      <c r="D116" s="10" t="s">
        <v>1029</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1062</v>
      </c>
      <c r="D117" s="10" t="s">
        <v>1030</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1063</v>
      </c>
      <c r="D118" s="10" t="s">
        <v>1028</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1063</v>
      </c>
      <c r="D119" s="10" t="s">
        <v>1029</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1063</v>
      </c>
      <c r="D120" s="10" t="s">
        <v>1030</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1064</v>
      </c>
      <c r="D121" s="10" t="s">
        <v>1028</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1064</v>
      </c>
      <c r="D122" s="10" t="s">
        <v>1029</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1064</v>
      </c>
      <c r="D123" s="10" t="s">
        <v>1030</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1065</v>
      </c>
      <c r="D124" s="10" t="s">
        <v>1028</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1065</v>
      </c>
      <c r="D125" s="10" t="s">
        <v>1029</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1065</v>
      </c>
      <c r="D126" s="10" t="s">
        <v>1030</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1066</v>
      </c>
      <c r="D127" s="10" t="s">
        <v>1028</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1066</v>
      </c>
      <c r="D128" s="10" t="s">
        <v>1029</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1066</v>
      </c>
      <c r="D129" s="10" t="s">
        <v>1030</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1067</v>
      </c>
      <c r="D130" s="10" t="s">
        <v>1028</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1067</v>
      </c>
      <c r="D131" s="10" t="s">
        <v>1029</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1067</v>
      </c>
      <c r="D132" s="10" t="s">
        <v>1030</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1068</v>
      </c>
      <c r="D133" s="10" t="s">
        <v>1028</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1068</v>
      </c>
      <c r="D134" s="10" t="s">
        <v>1029</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1068</v>
      </c>
      <c r="D135" s="10" t="s">
        <v>1030</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1069</v>
      </c>
      <c r="D136" s="10" t="s">
        <v>1028</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1069</v>
      </c>
      <c r="D137" s="10" t="s">
        <v>1029</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1069</v>
      </c>
      <c r="D138" s="10" t="s">
        <v>1030</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1070</v>
      </c>
      <c r="D139" s="10" t="s">
        <v>1028</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1070</v>
      </c>
      <c r="D140" s="10" t="s">
        <v>1029</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1070</v>
      </c>
      <c r="D141" s="10" t="s">
        <v>1030</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1071</v>
      </c>
      <c r="D142" s="10" t="s">
        <v>1028</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1071</v>
      </c>
      <c r="D143" s="10" t="s">
        <v>1029</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1071</v>
      </c>
      <c r="D144" s="10" t="s">
        <v>1030</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1072</v>
      </c>
      <c r="D145" s="10" t="s">
        <v>1028</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1072</v>
      </c>
      <c r="D146" s="10" t="s">
        <v>1029</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1072</v>
      </c>
      <c r="D147" s="10" t="s">
        <v>1030</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1073</v>
      </c>
      <c r="D148" s="10" t="s">
        <v>1028</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1073</v>
      </c>
      <c r="D149" s="10" t="s">
        <v>1029</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1073</v>
      </c>
      <c r="D150" s="10" t="s">
        <v>1030</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1074</v>
      </c>
      <c r="D151" s="10" t="s">
        <v>1028</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1074</v>
      </c>
      <c r="D152" s="10" t="s">
        <v>1029</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1074</v>
      </c>
      <c r="D153" s="10" t="s">
        <v>1030</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1075</v>
      </c>
      <c r="D154" s="10" t="s">
        <v>1028</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1075</v>
      </c>
      <c r="D155" s="10" t="s">
        <v>1029</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1075</v>
      </c>
      <c r="D156" s="10" t="s">
        <v>1030</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1076</v>
      </c>
      <c r="D157" s="10" t="s">
        <v>1028</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1076</v>
      </c>
      <c r="D158" s="10" t="s">
        <v>1029</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1076</v>
      </c>
      <c r="D159" s="10" t="s">
        <v>1030</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1077</v>
      </c>
      <c r="D160" s="10" t="s">
        <v>1028</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1077</v>
      </c>
      <c r="D161" s="10" t="s">
        <v>1029</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1077</v>
      </c>
      <c r="D162" s="10" t="s">
        <v>1030</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1078</v>
      </c>
      <c r="D163" s="10" t="s">
        <v>1028</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1078</v>
      </c>
      <c r="D164" s="10" t="s">
        <v>1029</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1078</v>
      </c>
      <c r="D165" s="10" t="s">
        <v>1030</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1079</v>
      </c>
      <c r="D166" s="10" t="s">
        <v>1028</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1079</v>
      </c>
      <c r="D167" s="10" t="s">
        <v>1029</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1079</v>
      </c>
      <c r="D168" s="10" t="s">
        <v>1030</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1080</v>
      </c>
      <c r="D169" s="10" t="s">
        <v>1028</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1080</v>
      </c>
      <c r="D170" s="10" t="s">
        <v>1029</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1080</v>
      </c>
      <c r="D171" s="10" t="s">
        <v>1030</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1081</v>
      </c>
      <c r="D172" s="10" t="s">
        <v>1028</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1081</v>
      </c>
      <c r="D173" s="10" t="s">
        <v>1029</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1081</v>
      </c>
      <c r="D174" s="10" t="s">
        <v>1030</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1082</v>
      </c>
      <c r="D175" s="10" t="s">
        <v>1028</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1082</v>
      </c>
      <c r="D176" s="10" t="s">
        <v>1029</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1082</v>
      </c>
      <c r="D177" s="10" t="s">
        <v>1030</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1083</v>
      </c>
      <c r="D178" s="10" t="s">
        <v>1028</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1083</v>
      </c>
      <c r="D179" s="10" t="s">
        <v>1029</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1083</v>
      </c>
      <c r="D180" s="10" t="s">
        <v>1030</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1084</v>
      </c>
      <c r="D181" s="10" t="s">
        <v>1028</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1084</v>
      </c>
      <c r="D182" s="10" t="s">
        <v>1029</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1084</v>
      </c>
      <c r="D183" s="10" t="s">
        <v>1030</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1085</v>
      </c>
      <c r="D184" s="10" t="s">
        <v>1028</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1085</v>
      </c>
      <c r="D185" s="10" t="s">
        <v>1029</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1085</v>
      </c>
      <c r="D186" s="10" t="s">
        <v>1030</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1086</v>
      </c>
      <c r="D187" s="10" t="s">
        <v>1028</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1086</v>
      </c>
      <c r="D188" s="10" t="s">
        <v>1029</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1086</v>
      </c>
      <c r="D189" s="10" t="s">
        <v>1030</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1087</v>
      </c>
      <c r="D190" s="10" t="s">
        <v>1028</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1087</v>
      </c>
      <c r="D191" s="10" t="s">
        <v>1029</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1087</v>
      </c>
      <c r="D192" s="10" t="s">
        <v>1030</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1088</v>
      </c>
      <c r="D193" s="10" t="s">
        <v>1028</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1088</v>
      </c>
      <c r="D194" s="10" t="s">
        <v>1029</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1088</v>
      </c>
      <c r="D195" s="10" t="s">
        <v>1030</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1089</v>
      </c>
      <c r="D196" s="10" t="s">
        <v>1028</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1089</v>
      </c>
      <c r="D197" s="10" t="s">
        <v>1029</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1089</v>
      </c>
      <c r="D198" s="10" t="s">
        <v>1030</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1090</v>
      </c>
      <c r="D199" s="10" t="s">
        <v>1028</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1090</v>
      </c>
      <c r="D200" s="10" t="s">
        <v>1029</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1090</v>
      </c>
      <c r="D201" s="10" t="s">
        <v>1030</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1091</v>
      </c>
      <c r="D202" s="10" t="s">
        <v>1028</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1091</v>
      </c>
      <c r="D203" s="10" t="s">
        <v>1029</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1091</v>
      </c>
      <c r="D204" s="10" t="s">
        <v>1030</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1092</v>
      </c>
      <c r="D205" s="10" t="s">
        <v>1028</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1092</v>
      </c>
      <c r="D206" s="10" t="s">
        <v>1029</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1092</v>
      </c>
      <c r="D207" s="10" t="s">
        <v>1030</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1093</v>
      </c>
      <c r="D208" s="10" t="s">
        <v>1028</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1093</v>
      </c>
      <c r="D209" s="10" t="s">
        <v>1029</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1093</v>
      </c>
      <c r="D210" s="10" t="s">
        <v>1030</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1094</v>
      </c>
      <c r="D211" s="10" t="s">
        <v>1028</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1094</v>
      </c>
      <c r="D212" s="10" t="s">
        <v>1029</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1094</v>
      </c>
      <c r="D213" s="10" t="s">
        <v>1030</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1095</v>
      </c>
      <c r="D214" s="10" t="s">
        <v>1028</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1095</v>
      </c>
      <c r="D215" s="10" t="s">
        <v>1029</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1095</v>
      </c>
      <c r="D216" s="10" t="s">
        <v>1030</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1096</v>
      </c>
      <c r="D217" s="10" t="s">
        <v>1028</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1096</v>
      </c>
      <c r="D218" s="10" t="s">
        <v>1029</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1096</v>
      </c>
      <c r="D219" s="10" t="s">
        <v>1030</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1097</v>
      </c>
      <c r="D220" s="10" t="s">
        <v>1028</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1097</v>
      </c>
      <c r="D221" s="10" t="s">
        <v>1029</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1097</v>
      </c>
      <c r="D222" s="10" t="s">
        <v>1030</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1098</v>
      </c>
      <c r="D223" s="10" t="s">
        <v>1028</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1098</v>
      </c>
      <c r="D224" s="10" t="s">
        <v>1029</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1098</v>
      </c>
      <c r="D225" s="10" t="s">
        <v>1030</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1099</v>
      </c>
      <c r="D226" s="10" t="s">
        <v>1028</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1099</v>
      </c>
      <c r="D227" s="10" t="s">
        <v>1029</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1099</v>
      </c>
      <c r="D228" s="10" t="s">
        <v>1030</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1100</v>
      </c>
      <c r="D229" s="10" t="s">
        <v>1028</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1100</v>
      </c>
      <c r="D230" s="10" t="s">
        <v>1029</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1100</v>
      </c>
      <c r="D231" s="10" t="s">
        <v>1030</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1101</v>
      </c>
      <c r="D232" s="10" t="s">
        <v>1028</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1101</v>
      </c>
      <c r="D233" s="10" t="s">
        <v>1029</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1101</v>
      </c>
      <c r="D234" s="10" t="s">
        <v>1030</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1102</v>
      </c>
      <c r="D235" s="10" t="s">
        <v>1028</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1102</v>
      </c>
      <c r="D236" s="10" t="s">
        <v>1029</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1102</v>
      </c>
      <c r="D237" s="10" t="s">
        <v>1030</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1103</v>
      </c>
      <c r="D238" s="10" t="s">
        <v>1028</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1103</v>
      </c>
      <c r="D239" s="10" t="s">
        <v>1029</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1103</v>
      </c>
      <c r="D240" s="10" t="s">
        <v>1030</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1104</v>
      </c>
      <c r="D241" s="10" t="s">
        <v>1028</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1104</v>
      </c>
      <c r="D242" s="10" t="s">
        <v>1029</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1104</v>
      </c>
      <c r="D243" s="10" t="s">
        <v>1030</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1105</v>
      </c>
      <c r="D244" s="10" t="s">
        <v>1028</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1105</v>
      </c>
      <c r="D245" s="10" t="s">
        <v>1029</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1105</v>
      </c>
      <c r="D246" s="10" t="s">
        <v>1030</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1106</v>
      </c>
      <c r="D247" s="10" t="s">
        <v>1028</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1106</v>
      </c>
      <c r="D248" s="10" t="s">
        <v>1029</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1106</v>
      </c>
      <c r="D249" s="10" t="s">
        <v>1030</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1107</v>
      </c>
      <c r="D250" s="10" t="s">
        <v>1028</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1107</v>
      </c>
      <c r="D251" s="10" t="s">
        <v>1029</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1107</v>
      </c>
      <c r="D252" s="10" t="s">
        <v>1030</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1108</v>
      </c>
      <c r="D253" s="10" t="s">
        <v>1028</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1108</v>
      </c>
      <c r="D254" s="10" t="s">
        <v>1029</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1108</v>
      </c>
      <c r="D255" s="10" t="s">
        <v>1030</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1109</v>
      </c>
      <c r="D256" s="10" t="s">
        <v>1028</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46443</v>
      </c>
      <c r="B257" s="38" t="n">
        <v>0.729166666666667</v>
      </c>
      <c r="C257" s="10" t="s">
        <v>1109</v>
      </c>
      <c r="D257" s="10" t="s">
        <v>1029</v>
      </c>
      <c r="E257" s="0" t="n">
        <v>5</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qr</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46447</v>
      </c>
      <c r="B258" s="38" t="n">
        <v>0.729166666666667</v>
      </c>
      <c r="C258" s="10" t="s">
        <v>1109</v>
      </c>
      <c r="D258" s="10" t="s">
        <v>1030</v>
      </c>
      <c r="E258" s="0" t="n">
        <v>11</v>
      </c>
      <c r="G258" s="30" t="str">
        <f aca="false">IF($C258="","",IFERROR(IF(INDEX(links!$A$2:$A$501,MATCH($C258,links!$D$2:$D$501,0))="","",INDEX(links!$A$2:$A$501,MATCH($C258,links!$D$2:$D$501,0))),""))</f>
        <v>SAMPLE-CMP-006</v>
      </c>
      <c r="H258" s="30" t="str">
        <f aca="false">IF($C258="","",IFERROR(IF(INDEX(links!$B$2:$B$501,MATCH($C258,links!$D$2:$D$501,0))="","",INDEX(links!$B$2:$B$501,MATCH($C258,links!$D$2:$D$501,0))),""))</f>
        <v>SAMPLE-O-001</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1110</v>
      </c>
      <c r="D259" s="10" t="s">
        <v>1028</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SAMPLE-O-001</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46443</v>
      </c>
      <c r="B260" s="38" t="n">
        <v>0.729166666666667</v>
      </c>
      <c r="C260" s="10" t="s">
        <v>1110</v>
      </c>
      <c r="D260" s="10" t="s">
        <v>1029</v>
      </c>
      <c r="E260" s="0" t="n">
        <v>2</v>
      </c>
      <c r="G260" s="30" t="str">
        <f aca="false">IF($C260="","",IFERROR(IF(INDEX(links!$A$2:$A$501,MATCH($C260,links!$D$2:$D$501,0))="","",INDEX(links!$A$2:$A$501,MATCH($C260,links!$D$2:$D$501,0))),""))</f>
        <v>SAMPLE-CMP-006</v>
      </c>
      <c r="H260" s="30" t="str">
        <f aca="false">IF($C260="","",IFERROR(IF(INDEX(links!$B$2:$B$501,MATCH($C260,links!$D$2:$D$501,0))="","",INDEX(links!$B$2:$B$501,MATCH($C260,links!$D$2:$D$501,0))),""))</f>
        <v>SAMPLE-O-001</v>
      </c>
      <c r="I260" s="30" t="str">
        <f aca="false">IF($C260="","",IFERROR(IF(INDEX(links!$C$2:$C$501,MATCH($C260,links!$D$2:$D$501,0))="","",INDEX(links!$C$2:$C$501,MATCH($C260,links!$D$2:$D$501,0))),""))</f>
        <v>post</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46447</v>
      </c>
      <c r="B261" s="38" t="n">
        <v>0.729166666666667</v>
      </c>
      <c r="C261" s="10" t="s">
        <v>1110</v>
      </c>
      <c r="D261" s="10" t="s">
        <v>1030</v>
      </c>
      <c r="E261" s="0" t="n">
        <v>4</v>
      </c>
      <c r="G261" s="30" t="str">
        <f aca="false">IF($C261="","",IFERROR(IF(INDEX(links!$A$2:$A$501,MATCH($C261,links!$D$2:$D$501,0))="","",INDEX(links!$A$2:$A$501,MATCH($C261,links!$D$2:$D$501,0))),""))</f>
        <v>SAMPLE-CMP-006</v>
      </c>
      <c r="H261" s="30" t="str">
        <f aca="false">IF($C261="","",IFERROR(IF(INDEX(links!$B$2:$B$501,MATCH($C261,links!$D$2:$D$501,0))="","",INDEX(links!$B$2:$B$501,MATCH($C261,links!$D$2:$D$501,0))),""))</f>
        <v>SAMPLE-O-001</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1111</v>
      </c>
      <c r="D262" s="10" t="s">
        <v>1028</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SAMPLE-O-002</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46443</v>
      </c>
      <c r="B263" s="38" t="n">
        <v>0.729166666666667</v>
      </c>
      <c r="C263" s="10" t="s">
        <v>1111</v>
      </c>
      <c r="D263" s="10" t="s">
        <v>1029</v>
      </c>
      <c r="E263" s="0" t="n">
        <v>6</v>
      </c>
      <c r="G263" s="30" t="str">
        <f aca="false">IF($C263="","",IFERROR(IF(INDEX(links!$A$2:$A$501,MATCH($C263,links!$D$2:$D$501,0))="","",INDEX(links!$A$2:$A$501,MATCH($C263,links!$D$2:$D$501,0))),""))</f>
        <v>SAMPLE-CMP-006</v>
      </c>
      <c r="H263" s="30" t="str">
        <f aca="false">IF($C263="","",IFERROR(IF(INDEX(links!$B$2:$B$501,MATCH($C263,links!$D$2:$D$501,0))="","",INDEX(links!$B$2:$B$501,MATCH($C263,links!$D$2:$D$501,0))),""))</f>
        <v>SAMPLE-O-002</v>
      </c>
      <c r="I263" s="30" t="str">
        <f aca="false">IF($C263="","",IFERROR(IF(INDEX(links!$C$2:$C$501,MATCH($C263,links!$D$2:$D$501,0))="","",INDEX(links!$C$2:$C$501,MATCH($C263,links!$D$2:$D$501,0))),""))</f>
        <v>qr</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46447</v>
      </c>
      <c r="B264" s="38" t="n">
        <v>0.729166666666667</v>
      </c>
      <c r="C264" s="10" t="s">
        <v>1111</v>
      </c>
      <c r="D264" s="10" t="s">
        <v>1030</v>
      </c>
      <c r="E264" s="0" t="n">
        <v>13</v>
      </c>
      <c r="G264" s="30" t="str">
        <f aca="false">IF($C264="","",IFERROR(IF(INDEX(links!$A$2:$A$501,MATCH($C264,links!$D$2:$D$501,0))="","",INDEX(links!$A$2:$A$501,MATCH($C264,links!$D$2:$D$501,0))),""))</f>
        <v>SAMPLE-CMP-006</v>
      </c>
      <c r="H264" s="30" t="str">
        <f aca="false">IF($C264="","",IFERROR(IF(INDEX(links!$B$2:$B$501,MATCH($C264,links!$D$2:$D$501,0))="","",INDEX(links!$B$2:$B$501,MATCH($C264,links!$D$2:$D$501,0))),""))</f>
        <v>SAMPLE-O-002</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1112</v>
      </c>
      <c r="D265" s="10" t="s">
        <v>1028</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SAMPLE-O-002</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46443</v>
      </c>
      <c r="B266" s="38" t="n">
        <v>0.729166666666667</v>
      </c>
      <c r="C266" s="10" t="s">
        <v>1112</v>
      </c>
      <c r="D266" s="10" t="s">
        <v>1029</v>
      </c>
      <c r="E266" s="0" t="n">
        <v>3</v>
      </c>
      <c r="G266" s="30" t="str">
        <f aca="false">IF($C266="","",IFERROR(IF(INDEX(links!$A$2:$A$501,MATCH($C266,links!$D$2:$D$501,0))="","",INDEX(links!$A$2:$A$501,MATCH($C266,links!$D$2:$D$501,0))),""))</f>
        <v>SAMPLE-CMP-006</v>
      </c>
      <c r="H266" s="30" t="str">
        <f aca="false">IF($C266="","",IFERROR(IF(INDEX(links!$B$2:$B$501,MATCH($C266,links!$D$2:$D$501,0))="","",INDEX(links!$B$2:$B$501,MATCH($C266,links!$D$2:$D$501,0))),""))</f>
        <v>SAMPLE-O-002</v>
      </c>
      <c r="I266" s="30" t="str">
        <f aca="false">IF($C266="","",IFERROR(IF(INDEX(links!$C$2:$C$501,MATCH($C266,links!$D$2:$D$501,0))="","",INDEX(links!$C$2:$C$501,MATCH($C266,links!$D$2:$D$501,0))),""))</f>
        <v>post</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46447</v>
      </c>
      <c r="B267" s="38" t="n">
        <v>0.729166666666667</v>
      </c>
      <c r="C267" s="10" t="s">
        <v>1112</v>
      </c>
      <c r="D267" s="10" t="s">
        <v>1030</v>
      </c>
      <c r="E267" s="0" t="n">
        <v>6</v>
      </c>
      <c r="G267" s="30" t="str">
        <f aca="false">IF($C267="","",IFERROR(IF(INDEX(links!$A$2:$A$501,MATCH($C267,links!$D$2:$D$501,0))="","",INDEX(links!$A$2:$A$501,MATCH($C267,links!$D$2:$D$501,0))),""))</f>
        <v>SAMPLE-CMP-006</v>
      </c>
      <c r="H267" s="30" t="str">
        <f aca="false">IF($C267="","",IFERROR(IF(INDEX(links!$B$2:$B$501,MATCH($C267,links!$D$2:$D$501,0))="","",INDEX(links!$B$2:$B$501,MATCH($C267,links!$D$2:$D$501,0))),""))</f>
        <v>SAMPLE-O-002</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1113</v>
      </c>
      <c r="D268" s="10" t="s">
        <v>1028</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SAMPLE-O-003</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46443</v>
      </c>
      <c r="B269" s="38" t="n">
        <v>0.729166666666667</v>
      </c>
      <c r="C269" s="10" t="s">
        <v>1113</v>
      </c>
      <c r="D269" s="10" t="s">
        <v>1029</v>
      </c>
      <c r="E269" s="0" t="n">
        <v>2</v>
      </c>
      <c r="G269" s="30" t="str">
        <f aca="false">IF($C269="","",IFERROR(IF(INDEX(links!$A$2:$A$501,MATCH($C269,links!$D$2:$D$501,0))="","",INDEX(links!$A$2:$A$501,MATCH($C269,links!$D$2:$D$501,0))),""))</f>
        <v>SAMPLE-CMP-006</v>
      </c>
      <c r="H269" s="30" t="str">
        <f aca="false">IF($C269="","",IFERROR(IF(INDEX(links!$B$2:$B$501,MATCH($C269,links!$D$2:$D$501,0))="","",INDEX(links!$B$2:$B$501,MATCH($C269,links!$D$2:$D$501,0))),""))</f>
        <v>SAMPLE-O-003</v>
      </c>
      <c r="I269" s="30" t="str">
        <f aca="false">IF($C269="","",IFERROR(IF(INDEX(links!$C$2:$C$501,MATCH($C269,links!$D$2:$D$501,0))="","",INDEX(links!$C$2:$C$501,MATCH($C269,links!$D$2:$D$501,0))),""))</f>
        <v>qr</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46447</v>
      </c>
      <c r="B270" s="38" t="n">
        <v>0.729166666666667</v>
      </c>
      <c r="C270" s="10" t="s">
        <v>1113</v>
      </c>
      <c r="D270" s="10" t="s">
        <v>1030</v>
      </c>
      <c r="E270" s="0" t="n">
        <v>5</v>
      </c>
      <c r="G270" s="30" t="str">
        <f aca="false">IF($C270="","",IFERROR(IF(INDEX(links!$A$2:$A$501,MATCH($C270,links!$D$2:$D$501,0))="","",INDEX(links!$A$2:$A$501,MATCH($C270,links!$D$2:$D$501,0))),""))</f>
        <v>SAMPLE-CMP-006</v>
      </c>
      <c r="H270" s="30" t="str">
        <f aca="false">IF($C270="","",IFERROR(IF(INDEX(links!$B$2:$B$501,MATCH($C270,links!$D$2:$D$501,0))="","",INDEX(links!$B$2:$B$501,MATCH($C270,links!$D$2:$D$501,0))),""))</f>
        <v>SAMPLE-O-003</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1114</v>
      </c>
      <c r="D271" s="10" t="s">
        <v>1028</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SAMPLE-O-003</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46443</v>
      </c>
      <c r="B272" s="38" t="n">
        <v>0.729166666666667</v>
      </c>
      <c r="C272" s="10" t="s">
        <v>1114</v>
      </c>
      <c r="D272" s="10" t="s">
        <v>1029</v>
      </c>
      <c r="E272" s="0" t="n">
        <v>4</v>
      </c>
      <c r="G272" s="30" t="str">
        <f aca="false">IF($C272="","",IFERROR(IF(INDEX(links!$A$2:$A$501,MATCH($C272,links!$D$2:$D$501,0))="","",INDEX(links!$A$2:$A$501,MATCH($C272,links!$D$2:$D$501,0))),""))</f>
        <v>SAMPLE-CMP-006</v>
      </c>
      <c r="H272" s="30" t="str">
        <f aca="false">IF($C272="","",IFERROR(IF(INDEX(links!$B$2:$B$501,MATCH($C272,links!$D$2:$D$501,0))="","",INDEX(links!$B$2:$B$501,MATCH($C272,links!$D$2:$D$501,0))),""))</f>
        <v>SAMPLE-O-003</v>
      </c>
      <c r="I272" s="30" t="str">
        <f aca="false">IF($C272="","",IFERROR(IF(INDEX(links!$C$2:$C$501,MATCH($C272,links!$D$2:$D$501,0))="","",INDEX(links!$C$2:$C$501,MATCH($C272,links!$D$2:$D$501,0))),""))</f>
        <v>post</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46447</v>
      </c>
      <c r="B273" s="38" t="n">
        <v>0.729166666666667</v>
      </c>
      <c r="C273" s="10" t="s">
        <v>1114</v>
      </c>
      <c r="D273" s="10" t="s">
        <v>1030</v>
      </c>
      <c r="E273" s="0" t="n">
        <v>8</v>
      </c>
      <c r="G273" s="30" t="str">
        <f aca="false">IF($C273="","",IFERROR(IF(INDEX(links!$A$2:$A$501,MATCH($C273,links!$D$2:$D$501,0))="","",INDEX(links!$A$2:$A$501,MATCH($C273,links!$D$2:$D$501,0))),""))</f>
        <v>SAMPLE-CMP-006</v>
      </c>
      <c r="H273" s="30" t="str">
        <f aca="false">IF($C273="","",IFERROR(IF(INDEX(links!$B$2:$B$501,MATCH($C273,links!$D$2:$D$501,0))="","",INDEX(links!$B$2:$B$501,MATCH($C273,links!$D$2:$D$501,0))),""))</f>
        <v>SAMPLE-O-003</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1115</v>
      </c>
      <c r="D274" s="10" t="s">
        <v>1028</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SAMPLE-O-004</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46443</v>
      </c>
      <c r="B275" s="38" t="n">
        <v>0.729166666666667</v>
      </c>
      <c r="C275" s="10" t="s">
        <v>1115</v>
      </c>
      <c r="D275" s="10" t="s">
        <v>1029</v>
      </c>
      <c r="E275" s="0" t="n">
        <v>3</v>
      </c>
      <c r="G275" s="30" t="str">
        <f aca="false">IF($C275="","",IFERROR(IF(INDEX(links!$A$2:$A$501,MATCH($C275,links!$D$2:$D$501,0))="","",INDEX(links!$A$2:$A$501,MATCH($C275,links!$D$2:$D$501,0))),""))</f>
        <v>SAMPLE-CMP-006</v>
      </c>
      <c r="H275" s="30" t="str">
        <f aca="false">IF($C275="","",IFERROR(IF(INDEX(links!$B$2:$B$501,MATCH($C275,links!$D$2:$D$501,0))="","",INDEX(links!$B$2:$B$501,MATCH($C275,links!$D$2:$D$501,0))),""))</f>
        <v>SAMPLE-O-004</v>
      </c>
      <c r="I275" s="30" t="str">
        <f aca="false">IF($C275="","",IFERROR(IF(INDEX(links!$C$2:$C$501,MATCH($C275,links!$D$2:$D$501,0))="","",INDEX(links!$C$2:$C$501,MATCH($C275,links!$D$2:$D$501,0))),""))</f>
        <v>qr</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t="n">
        <v>46447</v>
      </c>
      <c r="B276" s="38" t="n">
        <v>0.729166666666667</v>
      </c>
      <c r="C276" s="10" t="s">
        <v>1115</v>
      </c>
      <c r="D276" s="10" t="s">
        <v>1030</v>
      </c>
      <c r="E276" s="0" t="n">
        <v>7</v>
      </c>
      <c r="G276" s="30" t="str">
        <f aca="false">IF($C276="","",IFERROR(IF(INDEX(links!$A$2:$A$501,MATCH($C276,links!$D$2:$D$501,0))="","",INDEX(links!$A$2:$A$501,MATCH($C276,links!$D$2:$D$501,0))),""))</f>
        <v>SAMPLE-CMP-006</v>
      </c>
      <c r="H276" s="30" t="str">
        <f aca="false">IF($C276="","",IFERROR(IF(INDEX(links!$B$2:$B$501,MATCH($C276,links!$D$2:$D$501,0))="","",INDEX(links!$B$2:$B$501,MATCH($C276,links!$D$2:$D$501,0))),""))</f>
        <v>SAMPLE-O-004</v>
      </c>
      <c r="I276" s="30" t="str">
        <f aca="false">IF($C276="","",IFERROR(IF(INDEX(links!$C$2:$C$501,MATCH($C276,links!$D$2:$D$501,0))="","",INDEX(links!$C$2:$C$501,MATCH($C276,links!$D$2:$D$501,0))),""))</f>
        <v>qr</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t="n">
        <v>46440</v>
      </c>
      <c r="B277" s="38" t="n">
        <v>0.729166666666667</v>
      </c>
      <c r="C277" s="10" t="s">
        <v>1116</v>
      </c>
      <c r="D277" s="10" t="s">
        <v>1028</v>
      </c>
      <c r="E277" s="0" t="n">
        <v>1</v>
      </c>
      <c r="G277" s="30" t="str">
        <f aca="false">IF($C277="","",IFERROR(IF(INDEX(links!$A$2:$A$501,MATCH($C277,links!$D$2:$D$501,0))="","",INDEX(links!$A$2:$A$501,MATCH($C277,links!$D$2:$D$501,0))),""))</f>
        <v>SAMPLE-CMP-006</v>
      </c>
      <c r="H277" s="30" t="str">
        <f aca="false">IF($C277="","",IFERROR(IF(INDEX(links!$B$2:$B$501,MATCH($C277,links!$D$2:$D$501,0))="","",INDEX(links!$B$2:$B$501,MATCH($C277,links!$D$2:$D$501,0))),""))</f>
        <v>SAMPLE-O-004</v>
      </c>
      <c r="I277" s="30" t="str">
        <f aca="false">IF($C277="","",IFERROR(IF(INDEX(links!$C$2:$C$501,MATCH($C277,links!$D$2:$D$501,0))="","",INDEX(links!$C$2:$C$501,MATCH($C277,links!$D$2:$D$501,0))),""))</f>
        <v>post</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t="n">
        <v>46443</v>
      </c>
      <c r="B278" s="38" t="n">
        <v>0.729166666666667</v>
      </c>
      <c r="C278" s="10" t="s">
        <v>1116</v>
      </c>
      <c r="D278" s="10" t="s">
        <v>1029</v>
      </c>
      <c r="E278" s="0" t="n">
        <v>5</v>
      </c>
      <c r="G278" s="30" t="str">
        <f aca="false">IF($C278="","",IFERROR(IF(INDEX(links!$A$2:$A$501,MATCH($C278,links!$D$2:$D$501,0))="","",INDEX(links!$A$2:$A$501,MATCH($C278,links!$D$2:$D$501,0))),""))</f>
        <v>SAMPLE-CMP-006</v>
      </c>
      <c r="H278" s="30" t="str">
        <f aca="false">IF($C278="","",IFERROR(IF(INDEX(links!$B$2:$B$501,MATCH($C278,links!$D$2:$D$501,0))="","",INDEX(links!$B$2:$B$501,MATCH($C278,links!$D$2:$D$501,0))),""))</f>
        <v>SAMPLE-O-004</v>
      </c>
      <c r="I278" s="30" t="str">
        <f aca="false">IF($C278="","",IFERROR(IF(INDEX(links!$C$2:$C$501,MATCH($C278,links!$D$2:$D$501,0))="","",INDEX(links!$C$2:$C$501,MATCH($C278,links!$D$2:$D$501,0))),""))</f>
        <v>post</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t="n">
        <v>46447</v>
      </c>
      <c r="B279" s="38" t="n">
        <v>0.729166666666667</v>
      </c>
      <c r="C279" s="10" t="s">
        <v>1116</v>
      </c>
      <c r="D279" s="10" t="s">
        <v>1030</v>
      </c>
      <c r="E279" s="0" t="n">
        <v>10</v>
      </c>
      <c r="G279" s="30" t="str">
        <f aca="false">IF($C279="","",IFERROR(IF(INDEX(links!$A$2:$A$501,MATCH($C279,links!$D$2:$D$501,0))="","",INDEX(links!$A$2:$A$501,MATCH($C279,links!$D$2:$D$501,0))),""))</f>
        <v>SAMPLE-CMP-006</v>
      </c>
      <c r="H279" s="30" t="str">
        <f aca="false">IF($C279="","",IFERROR(IF(INDEX(links!$B$2:$B$501,MATCH($C279,links!$D$2:$D$501,0))="","",INDEX(links!$B$2:$B$501,MATCH($C279,links!$D$2:$D$501,0))),""))</f>
        <v>SAMPLE-O-004</v>
      </c>
      <c r="I279" s="30" t="str">
        <f aca="false">IF($C279="","",IFERROR(IF(INDEX(links!$C$2:$C$501,MATCH($C279,links!$D$2:$D$501,0))="","",INDEX(links!$C$2:$C$501,MATCH($C279,links!$D$2:$D$501,0))),""))</f>
        <v>post</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t="n">
        <v>46440</v>
      </c>
      <c r="B280" s="38" t="n">
        <v>0.729166666666667</v>
      </c>
      <c r="C280" s="10" t="s">
        <v>1117</v>
      </c>
      <c r="D280" s="10" t="s">
        <v>1028</v>
      </c>
      <c r="E280" s="0" t="n">
        <v>1</v>
      </c>
      <c r="G280" s="30" t="str">
        <f aca="false">IF($C280="","",IFERROR(IF(INDEX(links!$A$2:$A$501,MATCH($C280,links!$D$2:$D$501,0))="","",INDEX(links!$A$2:$A$501,MATCH($C280,links!$D$2:$D$501,0))),""))</f>
        <v>SAMPLE-CMP-006</v>
      </c>
      <c r="H280" s="30" t="str">
        <f aca="false">IF($C280="","",IFERROR(IF(INDEX(links!$B$2:$B$501,MATCH($C280,links!$D$2:$D$501,0))="","",INDEX(links!$B$2:$B$501,MATCH($C280,links!$D$2:$D$501,0))),""))</f>
        <v>SAMPLE-O-005</v>
      </c>
      <c r="I280" s="30" t="str">
        <f aca="false">IF($C280="","",IFERROR(IF(INDEX(links!$C$2:$C$501,MATCH($C280,links!$D$2:$D$501,0))="","",INDEX(links!$C$2:$C$501,MATCH($C280,links!$D$2:$D$501,0))),""))</f>
        <v>qr</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t="n">
        <v>46443</v>
      </c>
      <c r="B281" s="38" t="n">
        <v>0.729166666666667</v>
      </c>
      <c r="C281" s="10" t="s">
        <v>1117</v>
      </c>
      <c r="D281" s="10" t="s">
        <v>1029</v>
      </c>
      <c r="E281" s="0" t="n">
        <v>4</v>
      </c>
      <c r="G281" s="30" t="str">
        <f aca="false">IF($C281="","",IFERROR(IF(INDEX(links!$A$2:$A$501,MATCH($C281,links!$D$2:$D$501,0))="","",INDEX(links!$A$2:$A$501,MATCH($C281,links!$D$2:$D$501,0))),""))</f>
        <v>SAMPLE-CMP-006</v>
      </c>
      <c r="H281" s="30" t="str">
        <f aca="false">IF($C281="","",IFERROR(IF(INDEX(links!$B$2:$B$501,MATCH($C281,links!$D$2:$D$501,0))="","",INDEX(links!$B$2:$B$501,MATCH($C281,links!$D$2:$D$501,0))),""))</f>
        <v>SAMPLE-O-005</v>
      </c>
      <c r="I281" s="30" t="str">
        <f aca="false">IF($C281="","",IFERROR(IF(INDEX(links!$C$2:$C$501,MATCH($C281,links!$D$2:$D$501,0))="","",INDEX(links!$C$2:$C$501,MATCH($C281,links!$D$2:$D$501,0))),""))</f>
        <v>qr</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t="n">
        <v>46447</v>
      </c>
      <c r="B282" s="38" t="n">
        <v>0.729166666666667</v>
      </c>
      <c r="C282" s="10" t="s">
        <v>1117</v>
      </c>
      <c r="D282" s="10" t="s">
        <v>1030</v>
      </c>
      <c r="E282" s="0" t="n">
        <v>9</v>
      </c>
      <c r="G282" s="30" t="str">
        <f aca="false">IF($C282="","",IFERROR(IF(INDEX(links!$A$2:$A$501,MATCH($C282,links!$D$2:$D$501,0))="","",INDEX(links!$A$2:$A$501,MATCH($C282,links!$D$2:$D$501,0))),""))</f>
        <v>SAMPLE-CMP-006</v>
      </c>
      <c r="H282" s="30" t="str">
        <f aca="false">IF($C282="","",IFERROR(IF(INDEX(links!$B$2:$B$501,MATCH($C282,links!$D$2:$D$501,0))="","",INDEX(links!$B$2:$B$501,MATCH($C282,links!$D$2:$D$501,0))),""))</f>
        <v>SAMPLE-O-005</v>
      </c>
      <c r="I282" s="30" t="str">
        <f aca="false">IF($C282="","",IFERROR(IF(INDEX(links!$C$2:$C$501,MATCH($C282,links!$D$2:$D$501,0))="","",INDEX(links!$C$2:$C$501,MATCH($C282,links!$D$2:$D$501,0))),""))</f>
        <v>qr</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t="n">
        <v>46440</v>
      </c>
      <c r="B283" s="38" t="n">
        <v>0.729166666666667</v>
      </c>
      <c r="C283" s="10" t="s">
        <v>1118</v>
      </c>
      <c r="D283" s="10" t="s">
        <v>1028</v>
      </c>
      <c r="E283" s="0" t="n">
        <v>1</v>
      </c>
      <c r="G283" s="30" t="str">
        <f aca="false">IF($C283="","",IFERROR(IF(INDEX(links!$A$2:$A$501,MATCH($C283,links!$D$2:$D$501,0))="","",INDEX(links!$A$2:$A$501,MATCH($C283,links!$D$2:$D$501,0))),""))</f>
        <v>SAMPLE-CMP-006</v>
      </c>
      <c r="H283" s="30" t="str">
        <f aca="false">IF($C283="","",IFERROR(IF(INDEX(links!$B$2:$B$501,MATCH($C283,links!$D$2:$D$501,0))="","",INDEX(links!$B$2:$B$501,MATCH($C283,links!$D$2:$D$501,0))),""))</f>
        <v>SAMPLE-O-005</v>
      </c>
      <c r="I283" s="30" t="str">
        <f aca="false">IF($C283="","",IFERROR(IF(INDEX(links!$C$2:$C$501,MATCH($C283,links!$D$2:$D$501,0))="","",INDEX(links!$C$2:$C$501,MATCH($C283,links!$D$2:$D$501,0))),""))</f>
        <v>post</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t="n">
        <v>46443</v>
      </c>
      <c r="B284" s="38" t="n">
        <v>0.729166666666667</v>
      </c>
      <c r="C284" s="10" t="s">
        <v>1118</v>
      </c>
      <c r="D284" s="10" t="s">
        <v>1029</v>
      </c>
      <c r="E284" s="0" t="n">
        <v>6</v>
      </c>
      <c r="G284" s="30" t="str">
        <f aca="false">IF($C284="","",IFERROR(IF(INDEX(links!$A$2:$A$501,MATCH($C284,links!$D$2:$D$501,0))="","",INDEX(links!$A$2:$A$501,MATCH($C284,links!$D$2:$D$501,0))),""))</f>
        <v>SAMPLE-CMP-006</v>
      </c>
      <c r="H284" s="30" t="str">
        <f aca="false">IF($C284="","",IFERROR(IF(INDEX(links!$B$2:$B$501,MATCH($C284,links!$D$2:$D$501,0))="","",INDEX(links!$B$2:$B$501,MATCH($C284,links!$D$2:$D$501,0))),""))</f>
        <v>SAMPLE-O-005</v>
      </c>
      <c r="I284" s="30" t="str">
        <f aca="false">IF($C284="","",IFERROR(IF(INDEX(links!$C$2:$C$501,MATCH($C284,links!$D$2:$D$501,0))="","",INDEX(links!$C$2:$C$501,MATCH($C284,links!$D$2:$D$501,0))),""))</f>
        <v>post</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t="n">
        <v>46447</v>
      </c>
      <c r="B285" s="38" t="n">
        <v>0.729166666666667</v>
      </c>
      <c r="C285" s="10" t="s">
        <v>1118</v>
      </c>
      <c r="D285" s="10" t="s">
        <v>1030</v>
      </c>
      <c r="E285" s="0" t="n">
        <v>12</v>
      </c>
      <c r="G285" s="30" t="str">
        <f aca="false">IF($C285="","",IFERROR(IF(INDEX(links!$A$2:$A$501,MATCH($C285,links!$D$2:$D$501,0))="","",INDEX(links!$A$2:$A$501,MATCH($C285,links!$D$2:$D$501,0))),""))</f>
        <v>SAMPLE-CMP-006</v>
      </c>
      <c r="H285" s="30" t="str">
        <f aca="false">IF($C285="","",IFERROR(IF(INDEX(links!$B$2:$B$501,MATCH($C285,links!$D$2:$D$501,0))="","",INDEX(links!$B$2:$B$501,MATCH($C285,links!$D$2:$D$501,0))),""))</f>
        <v>SAMPLE-O-005</v>
      </c>
      <c r="I285" s="30" t="str">
        <f aca="false">IF($C285="","",IFERROR(IF(INDEX(links!$C$2:$C$501,MATCH($C285,links!$D$2:$D$501,0))="","",INDEX(links!$C$2:$C$501,MATCH($C285,links!$D$2:$D$501,0))),""))</f>
        <v>post</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t="n">
        <v>46440</v>
      </c>
      <c r="B286" s="38" t="n">
        <v>0.729166666666667</v>
      </c>
      <c r="C286" s="10" t="s">
        <v>1119</v>
      </c>
      <c r="D286" s="10" t="s">
        <v>1028</v>
      </c>
      <c r="E286" s="0" t="n">
        <v>1</v>
      </c>
      <c r="G286" s="30" t="str">
        <f aca="false">IF($C286="","",IFERROR(IF(INDEX(links!$A$2:$A$501,MATCH($C286,links!$D$2:$D$501,0))="","",INDEX(links!$A$2:$A$501,MATCH($C286,links!$D$2:$D$501,0))),""))</f>
        <v>SAMPLE-CMP-006</v>
      </c>
      <c r="H286" s="30" t="str">
        <f aca="false">IF($C286="","",IFERROR(IF(INDEX(links!$B$2:$B$501,MATCH($C286,links!$D$2:$D$501,0))="","",INDEX(links!$B$2:$B$501,MATCH($C286,links!$D$2:$D$501,0))),""))</f>
        <v>SAMPLE-O-006</v>
      </c>
      <c r="I286" s="30" t="str">
        <f aca="false">IF($C286="","",IFERROR(IF(INDEX(links!$C$2:$C$501,MATCH($C286,links!$D$2:$D$501,0))="","",INDEX(links!$C$2:$C$501,MATCH($C286,links!$D$2:$D$501,0))),""))</f>
        <v>qr</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t="n">
        <v>46443</v>
      </c>
      <c r="B287" s="38" t="n">
        <v>0.729166666666667</v>
      </c>
      <c r="C287" s="10" t="s">
        <v>1119</v>
      </c>
      <c r="D287" s="10" t="s">
        <v>1029</v>
      </c>
      <c r="E287" s="0" t="n">
        <v>1</v>
      </c>
      <c r="G287" s="30" t="str">
        <f aca="false">IF($C287="","",IFERROR(IF(INDEX(links!$A$2:$A$501,MATCH($C287,links!$D$2:$D$501,0))="","",INDEX(links!$A$2:$A$501,MATCH($C287,links!$D$2:$D$501,0))),""))</f>
        <v>SAMPLE-CMP-006</v>
      </c>
      <c r="H287" s="30" t="str">
        <f aca="false">IF($C287="","",IFERROR(IF(INDEX(links!$B$2:$B$501,MATCH($C287,links!$D$2:$D$501,0))="","",INDEX(links!$B$2:$B$501,MATCH($C287,links!$D$2:$D$501,0))),""))</f>
        <v>SAMPLE-O-006</v>
      </c>
      <c r="I287" s="30" t="str">
        <f aca="false">IF($C287="","",IFERROR(IF(INDEX(links!$C$2:$C$501,MATCH($C287,links!$D$2:$D$501,0))="","",INDEX(links!$C$2:$C$501,MATCH($C287,links!$D$2:$D$501,0))),""))</f>
        <v>qr</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t="n">
        <v>46447</v>
      </c>
      <c r="B288" s="38" t="n">
        <v>0.729166666666667</v>
      </c>
      <c r="C288" s="10" t="s">
        <v>1119</v>
      </c>
      <c r="D288" s="10" t="s">
        <v>1030</v>
      </c>
      <c r="E288" s="0" t="n">
        <v>1</v>
      </c>
      <c r="G288" s="30" t="str">
        <f aca="false">IF($C288="","",IFERROR(IF(INDEX(links!$A$2:$A$501,MATCH($C288,links!$D$2:$D$501,0))="","",INDEX(links!$A$2:$A$501,MATCH($C288,links!$D$2:$D$501,0))),""))</f>
        <v>SAMPLE-CMP-006</v>
      </c>
      <c r="H288" s="30" t="str">
        <f aca="false">IF($C288="","",IFERROR(IF(INDEX(links!$B$2:$B$501,MATCH($C288,links!$D$2:$D$501,0))="","",INDEX(links!$B$2:$B$501,MATCH($C288,links!$D$2:$D$501,0))),""))</f>
        <v>SAMPLE-O-006</v>
      </c>
      <c r="I288" s="30" t="str">
        <f aca="false">IF($C288="","",IFERROR(IF(INDEX(links!$C$2:$C$501,MATCH($C288,links!$D$2:$D$501,0))="","",INDEX(links!$C$2:$C$501,MATCH($C288,links!$D$2:$D$501,0))),""))</f>
        <v>qr</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t="n">
        <v>46440</v>
      </c>
      <c r="B289" s="38" t="n">
        <v>0.729166666666667</v>
      </c>
      <c r="C289" s="10" t="s">
        <v>1120</v>
      </c>
      <c r="D289" s="10" t="s">
        <v>1028</v>
      </c>
      <c r="E289" s="0" t="n">
        <v>1</v>
      </c>
      <c r="G289" s="30" t="str">
        <f aca="false">IF($C289="","",IFERROR(IF(INDEX(links!$A$2:$A$501,MATCH($C289,links!$D$2:$D$501,0))="","",INDEX(links!$A$2:$A$501,MATCH($C289,links!$D$2:$D$501,0))),""))</f>
        <v>SAMPLE-CMP-006</v>
      </c>
      <c r="H289" s="30" t="str">
        <f aca="false">IF($C289="","",IFERROR(IF(INDEX(links!$B$2:$B$501,MATCH($C289,links!$D$2:$D$501,0))="","",INDEX(links!$B$2:$B$501,MATCH($C289,links!$D$2:$D$501,0))),""))</f>
        <v>SAMPLE-O-006</v>
      </c>
      <c r="I289" s="30" t="str">
        <f aca="false">IF($C289="","",IFERROR(IF(INDEX(links!$C$2:$C$501,MATCH($C289,links!$D$2:$D$501,0))="","",INDEX(links!$C$2:$C$501,MATCH($C289,links!$D$2:$D$501,0))),""))</f>
        <v>post</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t="n">
        <v>46443</v>
      </c>
      <c r="B290" s="38" t="n">
        <v>0.729166666666667</v>
      </c>
      <c r="C290" s="10" t="s">
        <v>1120</v>
      </c>
      <c r="D290" s="10" t="s">
        <v>1029</v>
      </c>
      <c r="E290" s="0" t="n">
        <v>1</v>
      </c>
      <c r="G290" s="30" t="str">
        <f aca="false">IF($C290="","",IFERROR(IF(INDEX(links!$A$2:$A$501,MATCH($C290,links!$D$2:$D$501,0))="","",INDEX(links!$A$2:$A$501,MATCH($C290,links!$D$2:$D$501,0))),""))</f>
        <v>SAMPLE-CMP-006</v>
      </c>
      <c r="H290" s="30" t="str">
        <f aca="false">IF($C290="","",IFERROR(IF(INDEX(links!$B$2:$B$501,MATCH($C290,links!$D$2:$D$501,0))="","",INDEX(links!$B$2:$B$501,MATCH($C290,links!$D$2:$D$501,0))),""))</f>
        <v>SAMPLE-O-006</v>
      </c>
      <c r="I290" s="30" t="str">
        <f aca="false">IF($C290="","",IFERROR(IF(INDEX(links!$C$2:$C$501,MATCH($C290,links!$D$2:$D$501,0))="","",INDEX(links!$C$2:$C$501,MATCH($C290,links!$D$2:$D$501,0))),""))</f>
        <v>post</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t="n">
        <v>46447</v>
      </c>
      <c r="B291" s="38" t="n">
        <v>0.729166666666667</v>
      </c>
      <c r="C291" s="10" t="s">
        <v>1120</v>
      </c>
      <c r="D291" s="10" t="s">
        <v>1030</v>
      </c>
      <c r="E291" s="0" t="n">
        <v>1</v>
      </c>
      <c r="G291" s="30" t="str">
        <f aca="false">IF($C291="","",IFERROR(IF(INDEX(links!$A$2:$A$501,MATCH($C291,links!$D$2:$D$501,0))="","",INDEX(links!$A$2:$A$501,MATCH($C291,links!$D$2:$D$501,0))),""))</f>
        <v>SAMPLE-CMP-006</v>
      </c>
      <c r="H291" s="30" t="str">
        <f aca="false">IF($C291="","",IFERROR(IF(INDEX(links!$B$2:$B$501,MATCH($C291,links!$D$2:$D$501,0))="","",INDEX(links!$B$2:$B$501,MATCH($C291,links!$D$2:$D$501,0))),""))</f>
        <v>SAMPLE-O-006</v>
      </c>
      <c r="I291" s="30" t="str">
        <f aca="false">IF($C291="","",IFERROR(IF(INDEX(links!$C$2:$C$501,MATCH($C291,links!$D$2:$D$501,0))="","",INDEX(links!$C$2:$C$501,MATCH($C291,links!$D$2:$D$501,0))),""))</f>
        <v>post</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t="n">
        <v>46440</v>
      </c>
      <c r="B292" s="38" t="n">
        <v>0.729166666666667</v>
      </c>
      <c r="C292" s="10" t="s">
        <v>1121</v>
      </c>
      <c r="D292" s="10" t="s">
        <v>1028</v>
      </c>
      <c r="E292" s="0" t="n">
        <v>1</v>
      </c>
      <c r="G292" s="30" t="str">
        <f aca="false">IF($C292="","",IFERROR(IF(INDEX(links!$A$2:$A$501,MATCH($C292,links!$D$2:$D$501,0))="","",INDEX(links!$A$2:$A$501,MATCH($C292,links!$D$2:$D$501,0))),""))</f>
        <v>SAMPLE-CMP-006</v>
      </c>
      <c r="H292" s="30" t="str">
        <f aca="false">IF($C292="","",IFERROR(IF(INDEX(links!$B$2:$B$501,MATCH($C292,links!$D$2:$D$501,0))="","",INDEX(links!$B$2:$B$501,MATCH($C292,links!$D$2:$D$501,0))),""))</f>
        <v>SAMPLE-O-007</v>
      </c>
      <c r="I292" s="30" t="str">
        <f aca="false">IF($C292="","",IFERROR(IF(INDEX(links!$C$2:$C$501,MATCH($C292,links!$D$2:$D$501,0))="","",INDEX(links!$C$2:$C$501,MATCH($C292,links!$D$2:$D$501,0))),""))</f>
        <v>qr</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t="n">
        <v>46443</v>
      </c>
      <c r="B293" s="38" t="n">
        <v>0.729166666666667</v>
      </c>
      <c r="C293" s="10" t="s">
        <v>1121</v>
      </c>
      <c r="D293" s="10" t="s">
        <v>1029</v>
      </c>
      <c r="E293" s="0" t="n">
        <v>6</v>
      </c>
      <c r="G293" s="30" t="str">
        <f aca="false">IF($C293="","",IFERROR(IF(INDEX(links!$A$2:$A$501,MATCH($C293,links!$D$2:$D$501,0))="","",INDEX(links!$A$2:$A$501,MATCH($C293,links!$D$2:$D$501,0))),""))</f>
        <v>SAMPLE-CMP-006</v>
      </c>
      <c r="H293" s="30" t="str">
        <f aca="false">IF($C293="","",IFERROR(IF(INDEX(links!$B$2:$B$501,MATCH($C293,links!$D$2:$D$501,0))="","",INDEX(links!$B$2:$B$501,MATCH($C293,links!$D$2:$D$501,0))),""))</f>
        <v>SAMPLE-O-007</v>
      </c>
      <c r="I293" s="30" t="str">
        <f aca="false">IF($C293="","",IFERROR(IF(INDEX(links!$C$2:$C$501,MATCH($C293,links!$D$2:$D$501,0))="","",INDEX(links!$C$2:$C$501,MATCH($C293,links!$D$2:$D$501,0))),""))</f>
        <v>qr</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t="n">
        <v>46447</v>
      </c>
      <c r="B294" s="38" t="n">
        <v>0.729166666666667</v>
      </c>
      <c r="C294" s="10" t="s">
        <v>1121</v>
      </c>
      <c r="D294" s="10" t="s">
        <v>1030</v>
      </c>
      <c r="E294" s="0" t="n">
        <v>13</v>
      </c>
      <c r="G294" s="30" t="str">
        <f aca="false">IF($C294="","",IFERROR(IF(INDEX(links!$A$2:$A$501,MATCH($C294,links!$D$2:$D$501,0))="","",INDEX(links!$A$2:$A$501,MATCH($C294,links!$D$2:$D$501,0))),""))</f>
        <v>SAMPLE-CMP-006</v>
      </c>
      <c r="H294" s="30" t="str">
        <f aca="false">IF($C294="","",IFERROR(IF(INDEX(links!$B$2:$B$501,MATCH($C294,links!$D$2:$D$501,0))="","",INDEX(links!$B$2:$B$501,MATCH($C294,links!$D$2:$D$501,0))),""))</f>
        <v>SAMPLE-O-007</v>
      </c>
      <c r="I294" s="30" t="str">
        <f aca="false">IF($C294="","",IFERROR(IF(INDEX(links!$C$2:$C$501,MATCH($C294,links!$D$2:$D$501,0))="","",INDEX(links!$C$2:$C$501,MATCH($C294,links!$D$2:$D$501,0))),""))</f>
        <v>qr</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t="n">
        <v>46440</v>
      </c>
      <c r="B295" s="38" t="n">
        <v>0.729166666666667</v>
      </c>
      <c r="C295" s="10" t="s">
        <v>1122</v>
      </c>
      <c r="D295" s="10" t="s">
        <v>1028</v>
      </c>
      <c r="E295" s="0" t="n">
        <v>1</v>
      </c>
      <c r="G295" s="30" t="str">
        <f aca="false">IF($C295="","",IFERROR(IF(INDEX(links!$A$2:$A$501,MATCH($C295,links!$D$2:$D$501,0))="","",INDEX(links!$A$2:$A$501,MATCH($C295,links!$D$2:$D$501,0))),""))</f>
        <v>SAMPLE-CMP-006</v>
      </c>
      <c r="H295" s="30" t="str">
        <f aca="false">IF($C295="","",IFERROR(IF(INDEX(links!$B$2:$B$501,MATCH($C295,links!$D$2:$D$501,0))="","",INDEX(links!$B$2:$B$501,MATCH($C295,links!$D$2:$D$501,0))),""))</f>
        <v>SAMPLE-O-007</v>
      </c>
      <c r="I295" s="30" t="str">
        <f aca="false">IF($C295="","",IFERROR(IF(INDEX(links!$C$2:$C$501,MATCH($C295,links!$D$2:$D$501,0))="","",INDEX(links!$C$2:$C$501,MATCH($C295,links!$D$2:$D$501,0))),""))</f>
        <v>post</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t="n">
        <v>46443</v>
      </c>
      <c r="B296" s="38" t="n">
        <v>0.729166666666667</v>
      </c>
      <c r="C296" s="10" t="s">
        <v>1122</v>
      </c>
      <c r="D296" s="10" t="s">
        <v>1029</v>
      </c>
      <c r="E296" s="0" t="n">
        <v>3</v>
      </c>
      <c r="G296" s="30" t="str">
        <f aca="false">IF($C296="","",IFERROR(IF(INDEX(links!$A$2:$A$501,MATCH($C296,links!$D$2:$D$501,0))="","",INDEX(links!$A$2:$A$501,MATCH($C296,links!$D$2:$D$501,0))),""))</f>
        <v>SAMPLE-CMP-006</v>
      </c>
      <c r="H296" s="30" t="str">
        <f aca="false">IF($C296="","",IFERROR(IF(INDEX(links!$B$2:$B$501,MATCH($C296,links!$D$2:$D$501,0))="","",INDEX(links!$B$2:$B$501,MATCH($C296,links!$D$2:$D$501,0))),""))</f>
        <v>SAMPLE-O-007</v>
      </c>
      <c r="I296" s="30" t="str">
        <f aca="false">IF($C296="","",IFERROR(IF(INDEX(links!$C$2:$C$501,MATCH($C296,links!$D$2:$D$501,0))="","",INDEX(links!$C$2:$C$501,MATCH($C296,links!$D$2:$D$501,0))),""))</f>
        <v>post</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t="n">
        <v>46447</v>
      </c>
      <c r="B297" s="38" t="n">
        <v>0.729166666666667</v>
      </c>
      <c r="C297" s="10" t="s">
        <v>1122</v>
      </c>
      <c r="D297" s="10" t="s">
        <v>1030</v>
      </c>
      <c r="E297" s="0" t="n">
        <v>6</v>
      </c>
      <c r="G297" s="30" t="str">
        <f aca="false">IF($C297="","",IFERROR(IF(INDEX(links!$A$2:$A$501,MATCH($C297,links!$D$2:$D$501,0))="","",INDEX(links!$A$2:$A$501,MATCH($C297,links!$D$2:$D$501,0))),""))</f>
        <v>SAMPLE-CMP-006</v>
      </c>
      <c r="H297" s="30" t="str">
        <f aca="false">IF($C297="","",IFERROR(IF(INDEX(links!$B$2:$B$501,MATCH($C297,links!$D$2:$D$501,0))="","",INDEX(links!$B$2:$B$501,MATCH($C297,links!$D$2:$D$501,0))),""))</f>
        <v>SAMPLE-O-007</v>
      </c>
      <c r="I297" s="30" t="str">
        <f aca="false">IF($C297="","",IFERROR(IF(INDEX(links!$C$2:$C$501,MATCH($C297,links!$D$2:$D$501,0))="","",INDEX(links!$C$2:$C$501,MATCH($C297,links!$D$2:$D$501,0))),""))</f>
        <v>post</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t="n">
        <v>46440</v>
      </c>
      <c r="B298" s="38" t="n">
        <v>0.729166666666667</v>
      </c>
      <c r="C298" s="10" t="s">
        <v>1123</v>
      </c>
      <c r="D298" s="10" t="s">
        <v>1028</v>
      </c>
      <c r="E298" s="0" t="n">
        <v>1</v>
      </c>
      <c r="G298" s="30" t="str">
        <f aca="false">IF($C298="","",IFERROR(IF(INDEX(links!$A$2:$A$501,MATCH($C298,links!$D$2:$D$501,0))="","",INDEX(links!$A$2:$A$501,MATCH($C298,links!$D$2:$D$501,0))),""))</f>
        <v>SAMPLE-CMP-006</v>
      </c>
      <c r="H298" s="30" t="str">
        <f aca="false">IF($C298="","",IFERROR(IF(INDEX(links!$B$2:$B$501,MATCH($C298,links!$D$2:$D$501,0))="","",INDEX(links!$B$2:$B$501,MATCH($C298,links!$D$2:$D$501,0))),""))</f>
        <v>SAMPLE-O-008</v>
      </c>
      <c r="I298" s="30" t="str">
        <f aca="false">IF($C298="","",IFERROR(IF(INDEX(links!$C$2:$C$501,MATCH($C298,links!$D$2:$D$501,0))="","",INDEX(links!$C$2:$C$501,MATCH($C298,links!$D$2:$D$501,0))),""))</f>
        <v>qr</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t="n">
        <v>46443</v>
      </c>
      <c r="B299" s="38" t="n">
        <v>0.729166666666667</v>
      </c>
      <c r="C299" s="10" t="s">
        <v>1123</v>
      </c>
      <c r="D299" s="10" t="s">
        <v>1029</v>
      </c>
      <c r="E299" s="0" t="n">
        <v>2</v>
      </c>
      <c r="G299" s="30" t="str">
        <f aca="false">IF($C299="","",IFERROR(IF(INDEX(links!$A$2:$A$501,MATCH($C299,links!$D$2:$D$501,0))="","",INDEX(links!$A$2:$A$501,MATCH($C299,links!$D$2:$D$501,0))),""))</f>
        <v>SAMPLE-CMP-006</v>
      </c>
      <c r="H299" s="30" t="str">
        <f aca="false">IF($C299="","",IFERROR(IF(INDEX(links!$B$2:$B$501,MATCH($C299,links!$D$2:$D$501,0))="","",INDEX(links!$B$2:$B$501,MATCH($C299,links!$D$2:$D$501,0))),""))</f>
        <v>SAMPLE-O-008</v>
      </c>
      <c r="I299" s="30" t="str">
        <f aca="false">IF($C299="","",IFERROR(IF(INDEX(links!$C$2:$C$501,MATCH($C299,links!$D$2:$D$501,0))="","",INDEX(links!$C$2:$C$501,MATCH($C299,links!$D$2:$D$501,0))),""))</f>
        <v>qr</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t="n">
        <v>46447</v>
      </c>
      <c r="B300" s="38" t="n">
        <v>0.729166666666667</v>
      </c>
      <c r="C300" s="10" t="s">
        <v>1123</v>
      </c>
      <c r="D300" s="10" t="s">
        <v>1030</v>
      </c>
      <c r="E300" s="0" t="n">
        <v>5</v>
      </c>
      <c r="G300" s="30" t="str">
        <f aca="false">IF($C300="","",IFERROR(IF(INDEX(links!$A$2:$A$501,MATCH($C300,links!$D$2:$D$501,0))="","",INDEX(links!$A$2:$A$501,MATCH($C300,links!$D$2:$D$501,0))),""))</f>
        <v>SAMPLE-CMP-006</v>
      </c>
      <c r="H300" s="30" t="str">
        <f aca="false">IF($C300="","",IFERROR(IF(INDEX(links!$B$2:$B$501,MATCH($C300,links!$D$2:$D$501,0))="","",INDEX(links!$B$2:$B$501,MATCH($C300,links!$D$2:$D$501,0))),""))</f>
        <v>SAMPLE-O-008</v>
      </c>
      <c r="I300" s="30" t="str">
        <f aca="false">IF($C300="","",IFERROR(IF(INDEX(links!$C$2:$C$501,MATCH($C300,links!$D$2:$D$501,0))="","",INDEX(links!$C$2:$C$501,MATCH($C300,links!$D$2:$D$501,0))),""))</f>
        <v>qr</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t="n">
        <v>46440</v>
      </c>
      <c r="B301" s="38" t="n">
        <v>0.729166666666667</v>
      </c>
      <c r="C301" s="10" t="s">
        <v>1124</v>
      </c>
      <c r="D301" s="10" t="s">
        <v>1028</v>
      </c>
      <c r="E301" s="0" t="n">
        <v>1</v>
      </c>
      <c r="G301" s="30" t="str">
        <f aca="false">IF($C301="","",IFERROR(IF(INDEX(links!$A$2:$A$501,MATCH($C301,links!$D$2:$D$501,0))="","",INDEX(links!$A$2:$A$501,MATCH($C301,links!$D$2:$D$501,0))),""))</f>
        <v>SAMPLE-CMP-006</v>
      </c>
      <c r="H301" s="30" t="str">
        <f aca="false">IF($C301="","",IFERROR(IF(INDEX(links!$B$2:$B$501,MATCH($C301,links!$D$2:$D$501,0))="","",INDEX(links!$B$2:$B$501,MATCH($C301,links!$D$2:$D$501,0))),""))</f>
        <v>SAMPLE-O-008</v>
      </c>
      <c r="I301" s="30" t="str">
        <f aca="false">IF($C301="","",IFERROR(IF(INDEX(links!$C$2:$C$501,MATCH($C301,links!$D$2:$D$501,0))="","",INDEX(links!$C$2:$C$501,MATCH($C301,links!$D$2:$D$501,0))),""))</f>
        <v>post</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t="n">
        <v>46443</v>
      </c>
      <c r="B302" s="38" t="n">
        <v>0.729166666666667</v>
      </c>
      <c r="C302" s="10" t="s">
        <v>1124</v>
      </c>
      <c r="D302" s="10" t="s">
        <v>1029</v>
      </c>
      <c r="E302" s="0" t="n">
        <v>4</v>
      </c>
      <c r="G302" s="30" t="str">
        <f aca="false">IF($C302="","",IFERROR(IF(INDEX(links!$A$2:$A$501,MATCH($C302,links!$D$2:$D$501,0))="","",INDEX(links!$A$2:$A$501,MATCH($C302,links!$D$2:$D$501,0))),""))</f>
        <v>SAMPLE-CMP-006</v>
      </c>
      <c r="H302" s="30" t="str">
        <f aca="false">IF($C302="","",IFERROR(IF(INDEX(links!$B$2:$B$501,MATCH($C302,links!$D$2:$D$501,0))="","",INDEX(links!$B$2:$B$501,MATCH($C302,links!$D$2:$D$501,0))),""))</f>
        <v>SAMPLE-O-008</v>
      </c>
      <c r="I302" s="30" t="str">
        <f aca="false">IF($C302="","",IFERROR(IF(INDEX(links!$C$2:$C$501,MATCH($C302,links!$D$2:$D$501,0))="","",INDEX(links!$C$2:$C$501,MATCH($C302,links!$D$2:$D$501,0))),""))</f>
        <v>post</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t="n">
        <v>46447</v>
      </c>
      <c r="B303" s="38" t="n">
        <v>0.729166666666667</v>
      </c>
      <c r="C303" s="10" t="s">
        <v>1124</v>
      </c>
      <c r="D303" s="10" t="s">
        <v>1030</v>
      </c>
      <c r="E303" s="0" t="n">
        <v>8</v>
      </c>
      <c r="G303" s="30" t="str">
        <f aca="false">IF($C303="","",IFERROR(IF(INDEX(links!$A$2:$A$501,MATCH($C303,links!$D$2:$D$501,0))="","",INDEX(links!$A$2:$A$501,MATCH($C303,links!$D$2:$D$501,0))),""))</f>
        <v>SAMPLE-CMP-006</v>
      </c>
      <c r="H303" s="30" t="str">
        <f aca="false">IF($C303="","",IFERROR(IF(INDEX(links!$B$2:$B$501,MATCH($C303,links!$D$2:$D$501,0))="","",INDEX(links!$B$2:$B$501,MATCH($C303,links!$D$2:$D$501,0))),""))</f>
        <v>SAMPLE-O-008</v>
      </c>
      <c r="I303" s="30" t="str">
        <f aca="false">IF($C303="","",IFERROR(IF(INDEX(links!$C$2:$C$501,MATCH($C303,links!$D$2:$D$501,0))="","",INDEX(links!$C$2:$C$501,MATCH($C303,links!$D$2:$D$501,0))),""))</f>
        <v>post</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t="n">
        <v>46440</v>
      </c>
      <c r="B304" s="38" t="n">
        <v>0.729166666666667</v>
      </c>
      <c r="C304" s="10" t="s">
        <v>1125</v>
      </c>
      <c r="D304" s="10" t="s">
        <v>1028</v>
      </c>
      <c r="E304" s="0" t="n">
        <v>1</v>
      </c>
      <c r="G304" s="30" t="str">
        <f aca="false">IF($C304="","",IFERROR(IF(INDEX(links!$A$2:$A$501,MATCH($C304,links!$D$2:$D$501,0))="","",INDEX(links!$A$2:$A$501,MATCH($C304,links!$D$2:$D$501,0))),""))</f>
        <v>SAMPLE-CMP-006</v>
      </c>
      <c r="H304" s="30" t="str">
        <f aca="false">IF($C304="","",IFERROR(IF(INDEX(links!$B$2:$B$501,MATCH($C304,links!$D$2:$D$501,0))="","",INDEX(links!$B$2:$B$501,MATCH($C304,links!$D$2:$D$501,0))),""))</f>
        <v>SAMPLE-O-009</v>
      </c>
      <c r="I304" s="30" t="str">
        <f aca="false">IF($C304="","",IFERROR(IF(INDEX(links!$C$2:$C$501,MATCH($C304,links!$D$2:$D$501,0))="","",INDEX(links!$C$2:$C$501,MATCH($C304,links!$D$2:$D$501,0))),""))</f>
        <v>qr</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t="n">
        <v>46443</v>
      </c>
      <c r="B305" s="38" t="n">
        <v>0.729166666666667</v>
      </c>
      <c r="C305" s="10" t="s">
        <v>1125</v>
      </c>
      <c r="D305" s="10" t="s">
        <v>1029</v>
      </c>
      <c r="E305" s="0" t="n">
        <v>3</v>
      </c>
      <c r="G305" s="30" t="str">
        <f aca="false">IF($C305="","",IFERROR(IF(INDEX(links!$A$2:$A$501,MATCH($C305,links!$D$2:$D$501,0))="","",INDEX(links!$A$2:$A$501,MATCH($C305,links!$D$2:$D$501,0))),""))</f>
        <v>SAMPLE-CMP-006</v>
      </c>
      <c r="H305" s="30" t="str">
        <f aca="false">IF($C305="","",IFERROR(IF(INDEX(links!$B$2:$B$501,MATCH($C305,links!$D$2:$D$501,0))="","",INDEX(links!$B$2:$B$501,MATCH($C305,links!$D$2:$D$501,0))),""))</f>
        <v>SAMPLE-O-009</v>
      </c>
      <c r="I305" s="30" t="str">
        <f aca="false">IF($C305="","",IFERROR(IF(INDEX(links!$C$2:$C$501,MATCH($C305,links!$D$2:$D$501,0))="","",INDEX(links!$C$2:$C$501,MATCH($C305,links!$D$2:$D$501,0))),""))</f>
        <v>qr</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t="n">
        <v>46447</v>
      </c>
      <c r="B306" s="38" t="n">
        <v>0.729166666666667</v>
      </c>
      <c r="C306" s="10" t="s">
        <v>1125</v>
      </c>
      <c r="D306" s="10" t="s">
        <v>1030</v>
      </c>
      <c r="E306" s="0" t="n">
        <v>7</v>
      </c>
      <c r="G306" s="30" t="str">
        <f aca="false">IF($C306="","",IFERROR(IF(INDEX(links!$A$2:$A$501,MATCH($C306,links!$D$2:$D$501,0))="","",INDEX(links!$A$2:$A$501,MATCH($C306,links!$D$2:$D$501,0))),""))</f>
        <v>SAMPLE-CMP-006</v>
      </c>
      <c r="H306" s="30" t="str">
        <f aca="false">IF($C306="","",IFERROR(IF(INDEX(links!$B$2:$B$501,MATCH($C306,links!$D$2:$D$501,0))="","",INDEX(links!$B$2:$B$501,MATCH($C306,links!$D$2:$D$501,0))),""))</f>
        <v>SAMPLE-O-009</v>
      </c>
      <c r="I306" s="30" t="str">
        <f aca="false">IF($C306="","",IFERROR(IF(INDEX(links!$C$2:$C$501,MATCH($C306,links!$D$2:$D$501,0))="","",INDEX(links!$C$2:$C$501,MATCH($C306,links!$D$2:$D$501,0))),""))</f>
        <v>qr</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t="n">
        <v>46440</v>
      </c>
      <c r="B307" s="38" t="n">
        <v>0.729166666666667</v>
      </c>
      <c r="C307" s="10" t="s">
        <v>1126</v>
      </c>
      <c r="D307" s="10" t="s">
        <v>1028</v>
      </c>
      <c r="E307" s="0" t="n">
        <v>1</v>
      </c>
      <c r="G307" s="30" t="str">
        <f aca="false">IF($C307="","",IFERROR(IF(INDEX(links!$A$2:$A$501,MATCH($C307,links!$D$2:$D$501,0))="","",INDEX(links!$A$2:$A$501,MATCH($C307,links!$D$2:$D$501,0))),""))</f>
        <v>SAMPLE-CMP-006</v>
      </c>
      <c r="H307" s="30" t="str">
        <f aca="false">IF($C307="","",IFERROR(IF(INDEX(links!$B$2:$B$501,MATCH($C307,links!$D$2:$D$501,0))="","",INDEX(links!$B$2:$B$501,MATCH($C307,links!$D$2:$D$501,0))),""))</f>
        <v>SAMPLE-O-009</v>
      </c>
      <c r="I307" s="30" t="str">
        <f aca="false">IF($C307="","",IFERROR(IF(INDEX(links!$C$2:$C$501,MATCH($C307,links!$D$2:$D$501,0))="","",INDEX(links!$C$2:$C$501,MATCH($C307,links!$D$2:$D$501,0))),""))</f>
        <v>post</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t="n">
        <v>46443</v>
      </c>
      <c r="B308" s="38" t="n">
        <v>0.729166666666667</v>
      </c>
      <c r="C308" s="10" t="s">
        <v>1126</v>
      </c>
      <c r="D308" s="10" t="s">
        <v>1029</v>
      </c>
      <c r="E308" s="0" t="n">
        <v>5</v>
      </c>
      <c r="G308" s="30" t="str">
        <f aca="false">IF($C308="","",IFERROR(IF(INDEX(links!$A$2:$A$501,MATCH($C308,links!$D$2:$D$501,0))="","",INDEX(links!$A$2:$A$501,MATCH($C308,links!$D$2:$D$501,0))),""))</f>
        <v>SAMPLE-CMP-006</v>
      </c>
      <c r="H308" s="30" t="str">
        <f aca="false">IF($C308="","",IFERROR(IF(INDEX(links!$B$2:$B$501,MATCH($C308,links!$D$2:$D$501,0))="","",INDEX(links!$B$2:$B$501,MATCH($C308,links!$D$2:$D$501,0))),""))</f>
        <v>SAMPLE-O-009</v>
      </c>
      <c r="I308" s="30" t="str">
        <f aca="false">IF($C308="","",IFERROR(IF(INDEX(links!$C$2:$C$501,MATCH($C308,links!$D$2:$D$501,0))="","",INDEX(links!$C$2:$C$501,MATCH($C308,links!$D$2:$D$501,0))),""))</f>
        <v>post</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t="n">
        <v>46447</v>
      </c>
      <c r="B309" s="38" t="n">
        <v>0.729166666666667</v>
      </c>
      <c r="C309" s="10" t="s">
        <v>1126</v>
      </c>
      <c r="D309" s="10" t="s">
        <v>1030</v>
      </c>
      <c r="E309" s="0" t="n">
        <v>10</v>
      </c>
      <c r="G309" s="30" t="str">
        <f aca="false">IF($C309="","",IFERROR(IF(INDEX(links!$A$2:$A$501,MATCH($C309,links!$D$2:$D$501,0))="","",INDEX(links!$A$2:$A$501,MATCH($C309,links!$D$2:$D$501,0))),""))</f>
        <v>SAMPLE-CMP-006</v>
      </c>
      <c r="H309" s="30" t="str">
        <f aca="false">IF($C309="","",IFERROR(IF(INDEX(links!$B$2:$B$501,MATCH($C309,links!$D$2:$D$501,0))="","",INDEX(links!$B$2:$B$501,MATCH($C309,links!$D$2:$D$501,0))),""))</f>
        <v>SAMPLE-O-009</v>
      </c>
      <c r="I309" s="30" t="str">
        <f aca="false">IF($C309="","",IFERROR(IF(INDEX(links!$C$2:$C$501,MATCH($C309,links!$D$2:$D$501,0))="","",INDEX(links!$C$2:$C$501,MATCH($C309,links!$D$2:$D$501,0))),""))</f>
        <v>post</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t="n">
        <v>46440</v>
      </c>
      <c r="B310" s="38" t="n">
        <v>0.729166666666667</v>
      </c>
      <c r="C310" s="10" t="s">
        <v>1127</v>
      </c>
      <c r="D310" s="10" t="s">
        <v>1028</v>
      </c>
      <c r="E310" s="0" t="n">
        <v>1</v>
      </c>
      <c r="G310" s="30" t="str">
        <f aca="false">IF($C310="","",IFERROR(IF(INDEX(links!$A$2:$A$501,MATCH($C310,links!$D$2:$D$501,0))="","",INDEX(links!$A$2:$A$501,MATCH($C310,links!$D$2:$D$501,0))),""))</f>
        <v>SAMPLE-CMP-006</v>
      </c>
      <c r="H310" s="30" t="str">
        <f aca="false">IF($C310="","",IFERROR(IF(INDEX(links!$B$2:$B$501,MATCH($C310,links!$D$2:$D$501,0))="","",INDEX(links!$B$2:$B$501,MATCH($C310,links!$D$2:$D$501,0))),""))</f>
        <v>SAMPLE-O-010</v>
      </c>
      <c r="I310" s="30" t="str">
        <f aca="false">IF($C310="","",IFERROR(IF(INDEX(links!$C$2:$C$501,MATCH($C310,links!$D$2:$D$501,0))="","",INDEX(links!$C$2:$C$501,MATCH($C310,links!$D$2:$D$501,0))),""))</f>
        <v>qr</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t="n">
        <v>46443</v>
      </c>
      <c r="B311" s="38" t="n">
        <v>0.729166666666667</v>
      </c>
      <c r="C311" s="10" t="s">
        <v>1127</v>
      </c>
      <c r="D311" s="10" t="s">
        <v>1029</v>
      </c>
      <c r="E311" s="0" t="n">
        <v>5</v>
      </c>
      <c r="G311" s="30" t="str">
        <f aca="false">IF($C311="","",IFERROR(IF(INDEX(links!$A$2:$A$501,MATCH($C311,links!$D$2:$D$501,0))="","",INDEX(links!$A$2:$A$501,MATCH($C311,links!$D$2:$D$501,0))),""))</f>
        <v>SAMPLE-CMP-006</v>
      </c>
      <c r="H311" s="30" t="str">
        <f aca="false">IF($C311="","",IFERROR(IF(INDEX(links!$B$2:$B$501,MATCH($C311,links!$D$2:$D$501,0))="","",INDEX(links!$B$2:$B$501,MATCH($C311,links!$D$2:$D$501,0))),""))</f>
        <v>SAMPLE-O-010</v>
      </c>
      <c r="I311" s="30" t="str">
        <f aca="false">IF($C311="","",IFERROR(IF(INDEX(links!$C$2:$C$501,MATCH($C311,links!$D$2:$D$501,0))="","",INDEX(links!$C$2:$C$501,MATCH($C311,links!$D$2:$D$501,0))),""))</f>
        <v>qr</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t="n">
        <v>46447</v>
      </c>
      <c r="B312" s="38" t="n">
        <v>0.729166666666667</v>
      </c>
      <c r="C312" s="10" t="s">
        <v>1127</v>
      </c>
      <c r="D312" s="10" t="s">
        <v>1030</v>
      </c>
      <c r="E312" s="0" t="n">
        <v>10</v>
      </c>
      <c r="G312" s="30" t="str">
        <f aca="false">IF($C312="","",IFERROR(IF(INDEX(links!$A$2:$A$501,MATCH($C312,links!$D$2:$D$501,0))="","",INDEX(links!$A$2:$A$501,MATCH($C312,links!$D$2:$D$501,0))),""))</f>
        <v>SAMPLE-CMP-006</v>
      </c>
      <c r="H312" s="30" t="str">
        <f aca="false">IF($C312="","",IFERROR(IF(INDEX(links!$B$2:$B$501,MATCH($C312,links!$D$2:$D$501,0))="","",INDEX(links!$B$2:$B$501,MATCH($C312,links!$D$2:$D$501,0))),""))</f>
        <v>SAMPLE-O-010</v>
      </c>
      <c r="I312" s="30" t="str">
        <f aca="false">IF($C312="","",IFERROR(IF(INDEX(links!$C$2:$C$501,MATCH($C312,links!$D$2:$D$501,0))="","",INDEX(links!$C$2:$C$501,MATCH($C312,links!$D$2:$D$501,0))),""))</f>
        <v>qr</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t="n">
        <v>46440</v>
      </c>
      <c r="B313" s="38" t="n">
        <v>0.729166666666667</v>
      </c>
      <c r="C313" s="10" t="s">
        <v>1128</v>
      </c>
      <c r="D313" s="10" t="s">
        <v>1028</v>
      </c>
      <c r="E313" s="0" t="n">
        <v>1</v>
      </c>
      <c r="G313" s="30" t="str">
        <f aca="false">IF($C313="","",IFERROR(IF(INDEX(links!$A$2:$A$501,MATCH($C313,links!$D$2:$D$501,0))="","",INDEX(links!$A$2:$A$501,MATCH($C313,links!$D$2:$D$501,0))),""))</f>
        <v>SAMPLE-CMP-006</v>
      </c>
      <c r="H313" s="30" t="str">
        <f aca="false">IF($C313="","",IFERROR(IF(INDEX(links!$B$2:$B$501,MATCH($C313,links!$D$2:$D$501,0))="","",INDEX(links!$B$2:$B$501,MATCH($C313,links!$D$2:$D$501,0))),""))</f>
        <v>SAMPLE-O-010</v>
      </c>
      <c r="I313" s="30" t="str">
        <f aca="false">IF($C313="","",IFERROR(IF(INDEX(links!$C$2:$C$501,MATCH($C313,links!$D$2:$D$501,0))="","",INDEX(links!$C$2:$C$501,MATCH($C313,links!$D$2:$D$501,0))),""))</f>
        <v>post</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t="n">
        <v>46443</v>
      </c>
      <c r="B314" s="38" t="n">
        <v>0.729166666666667</v>
      </c>
      <c r="C314" s="10" t="s">
        <v>1128</v>
      </c>
      <c r="D314" s="10" t="s">
        <v>1029</v>
      </c>
      <c r="E314" s="0" t="n">
        <v>6</v>
      </c>
      <c r="G314" s="30" t="str">
        <f aca="false">IF($C314="","",IFERROR(IF(INDEX(links!$A$2:$A$501,MATCH($C314,links!$D$2:$D$501,0))="","",INDEX(links!$A$2:$A$501,MATCH($C314,links!$D$2:$D$501,0))),""))</f>
        <v>SAMPLE-CMP-006</v>
      </c>
      <c r="H314" s="30" t="str">
        <f aca="false">IF($C314="","",IFERROR(IF(INDEX(links!$B$2:$B$501,MATCH($C314,links!$D$2:$D$501,0))="","",INDEX(links!$B$2:$B$501,MATCH($C314,links!$D$2:$D$501,0))),""))</f>
        <v>SAMPLE-O-010</v>
      </c>
      <c r="I314" s="30" t="str">
        <f aca="false">IF($C314="","",IFERROR(IF(INDEX(links!$C$2:$C$501,MATCH($C314,links!$D$2:$D$501,0))="","",INDEX(links!$C$2:$C$501,MATCH($C314,links!$D$2:$D$501,0))),""))</f>
        <v>post</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t="n">
        <v>46447</v>
      </c>
      <c r="B315" s="38" t="n">
        <v>0.729166666666667</v>
      </c>
      <c r="C315" s="10" t="s">
        <v>1128</v>
      </c>
      <c r="D315" s="10" t="s">
        <v>1030</v>
      </c>
      <c r="E315" s="0" t="n">
        <v>13</v>
      </c>
      <c r="G315" s="30" t="str">
        <f aca="false">IF($C315="","",IFERROR(IF(INDEX(links!$A$2:$A$501,MATCH($C315,links!$D$2:$D$501,0))="","",INDEX(links!$A$2:$A$501,MATCH($C315,links!$D$2:$D$501,0))),""))</f>
        <v>SAMPLE-CMP-006</v>
      </c>
      <c r="H315" s="30" t="str">
        <f aca="false">IF($C315="","",IFERROR(IF(INDEX(links!$B$2:$B$501,MATCH($C315,links!$D$2:$D$501,0))="","",INDEX(links!$B$2:$B$501,MATCH($C315,links!$D$2:$D$501,0))),""))</f>
        <v>SAMPLE-O-010</v>
      </c>
      <c r="I315" s="30" t="str">
        <f aca="false">IF($C315="","",IFERROR(IF(INDEX(links!$C$2:$C$501,MATCH($C315,links!$D$2:$D$501,0))="","",INDEX(links!$C$2:$C$501,MATCH($C315,links!$D$2:$D$501,0))),""))</f>
        <v>post</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t="n">
        <v>46468</v>
      </c>
      <c r="B316" s="38" t="n">
        <v>0.729166666666667</v>
      </c>
      <c r="C316" s="10" t="s">
        <v>1129</v>
      </c>
      <c r="D316" s="10" t="s">
        <v>1028</v>
      </c>
      <c r="E316" s="0" t="n">
        <v>1</v>
      </c>
      <c r="G316" s="30" t="str">
        <f aca="false">IF($C316="","",IFERROR(IF(INDEX(links!$A$2:$A$501,MATCH($C316,links!$D$2:$D$501,0))="","",INDEX(links!$A$2:$A$501,MATCH($C316,links!$D$2:$D$501,0))),""))</f>
        <v>SAMPLE-CMP-007</v>
      </c>
      <c r="H316" s="30" t="str">
        <f aca="false">IF($C316="","",IFERROR(IF(INDEX(links!$B$2:$B$501,MATCH($C316,links!$D$2:$D$501,0))="","",INDEX(links!$B$2:$B$501,MATCH($C316,links!$D$2:$D$501,0))),""))</f>
        <v>SAMPLE-O-001</v>
      </c>
      <c r="I316" s="30" t="str">
        <f aca="false">IF($C316="","",IFERROR(IF(INDEX(links!$C$2:$C$501,MATCH($C316,links!$D$2:$D$501,0))="","",INDEX(links!$C$2:$C$501,MATCH($C316,links!$D$2:$D$501,0))),""))</f>
        <v>qr</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t="n">
        <v>46468</v>
      </c>
      <c r="B317" s="38" t="n">
        <v>0.729166666666667</v>
      </c>
      <c r="C317" s="10" t="s">
        <v>1130</v>
      </c>
      <c r="D317" s="10" t="s">
        <v>1028</v>
      </c>
      <c r="E317" s="0" t="n">
        <v>1</v>
      </c>
      <c r="G317" s="30" t="str">
        <f aca="false">IF($C317="","",IFERROR(IF(INDEX(links!$A$2:$A$501,MATCH($C317,links!$D$2:$D$501,0))="","",INDEX(links!$A$2:$A$501,MATCH($C317,links!$D$2:$D$501,0))),""))</f>
        <v>SAMPLE-CMP-007</v>
      </c>
      <c r="H317" s="30" t="str">
        <f aca="false">IF($C317="","",IFERROR(IF(INDEX(links!$B$2:$B$501,MATCH($C317,links!$D$2:$D$501,0))="","",INDEX(links!$B$2:$B$501,MATCH($C317,links!$D$2:$D$501,0))),""))</f>
        <v>SAMPLE-O-001</v>
      </c>
      <c r="I317" s="30" t="str">
        <f aca="false">IF($C317="","",IFERROR(IF(INDEX(links!$C$2:$C$501,MATCH($C317,links!$D$2:$D$501,0))="","",INDEX(links!$C$2:$C$501,MATCH($C317,links!$D$2:$D$501,0))),""))</f>
        <v>post</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t="n">
        <v>46468</v>
      </c>
      <c r="B318" s="38" t="n">
        <v>0.729166666666667</v>
      </c>
      <c r="C318" s="10" t="s">
        <v>1131</v>
      </c>
      <c r="D318" s="10" t="s">
        <v>1028</v>
      </c>
      <c r="E318" s="0" t="n">
        <v>1</v>
      </c>
      <c r="G318" s="30" t="str">
        <f aca="false">IF($C318="","",IFERROR(IF(INDEX(links!$A$2:$A$501,MATCH($C318,links!$D$2:$D$501,0))="","",INDEX(links!$A$2:$A$501,MATCH($C318,links!$D$2:$D$501,0))),""))</f>
        <v>SAMPLE-CMP-007</v>
      </c>
      <c r="H318" s="30" t="str">
        <f aca="false">IF($C318="","",IFERROR(IF(INDEX(links!$B$2:$B$501,MATCH($C318,links!$D$2:$D$501,0))="","",INDEX(links!$B$2:$B$501,MATCH($C318,links!$D$2:$D$501,0))),""))</f>
        <v>SAMPLE-O-002</v>
      </c>
      <c r="I318" s="30" t="str">
        <f aca="false">IF($C318="","",IFERROR(IF(INDEX(links!$C$2:$C$501,MATCH($C318,links!$D$2:$D$501,0))="","",INDEX(links!$C$2:$C$501,MATCH($C318,links!$D$2:$D$501,0))),""))</f>
        <v>qr</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t="n">
        <v>46468</v>
      </c>
      <c r="B319" s="38" t="n">
        <v>0.729166666666667</v>
      </c>
      <c r="C319" s="10" t="s">
        <v>1132</v>
      </c>
      <c r="D319" s="10" t="s">
        <v>1028</v>
      </c>
      <c r="E319" s="0" t="n">
        <v>1</v>
      </c>
      <c r="G319" s="30" t="str">
        <f aca="false">IF($C319="","",IFERROR(IF(INDEX(links!$A$2:$A$501,MATCH($C319,links!$D$2:$D$501,0))="","",INDEX(links!$A$2:$A$501,MATCH($C319,links!$D$2:$D$501,0))),""))</f>
        <v>SAMPLE-CMP-007</v>
      </c>
      <c r="H319" s="30" t="str">
        <f aca="false">IF($C319="","",IFERROR(IF(INDEX(links!$B$2:$B$501,MATCH($C319,links!$D$2:$D$501,0))="","",INDEX(links!$B$2:$B$501,MATCH($C319,links!$D$2:$D$501,0))),""))</f>
        <v>SAMPLE-O-002</v>
      </c>
      <c r="I319" s="30" t="str">
        <f aca="false">IF($C319="","",IFERROR(IF(INDEX(links!$C$2:$C$501,MATCH($C319,links!$D$2:$D$501,0))="","",INDEX(links!$C$2:$C$501,MATCH($C319,links!$D$2:$D$501,0))),""))</f>
        <v>post</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t="n">
        <v>46468</v>
      </c>
      <c r="B320" s="38" t="n">
        <v>0.729166666666667</v>
      </c>
      <c r="C320" s="10" t="s">
        <v>1133</v>
      </c>
      <c r="D320" s="10" t="s">
        <v>1028</v>
      </c>
      <c r="E320" s="0" t="n">
        <v>1</v>
      </c>
      <c r="G320" s="30" t="str">
        <f aca="false">IF($C320="","",IFERROR(IF(INDEX(links!$A$2:$A$501,MATCH($C320,links!$D$2:$D$501,0))="","",INDEX(links!$A$2:$A$501,MATCH($C320,links!$D$2:$D$501,0))),""))</f>
        <v>SAMPLE-CMP-007</v>
      </c>
      <c r="H320" s="30" t="str">
        <f aca="false">IF($C320="","",IFERROR(IF(INDEX(links!$B$2:$B$501,MATCH($C320,links!$D$2:$D$501,0))="","",INDEX(links!$B$2:$B$501,MATCH($C320,links!$D$2:$D$501,0))),""))</f>
        <v>SAMPLE-O-003</v>
      </c>
      <c r="I320" s="30" t="str">
        <f aca="false">IF($C320="","",IFERROR(IF(INDEX(links!$C$2:$C$501,MATCH($C320,links!$D$2:$D$501,0))="","",INDEX(links!$C$2:$C$501,MATCH($C320,links!$D$2:$D$501,0))),""))</f>
        <v>qr</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t="n">
        <v>46468</v>
      </c>
      <c r="B321" s="38" t="n">
        <v>0.729166666666667</v>
      </c>
      <c r="C321" s="10" t="s">
        <v>1134</v>
      </c>
      <c r="D321" s="10" t="s">
        <v>1028</v>
      </c>
      <c r="E321" s="0" t="n">
        <v>1</v>
      </c>
      <c r="G321" s="30" t="str">
        <f aca="false">IF($C321="","",IFERROR(IF(INDEX(links!$A$2:$A$501,MATCH($C321,links!$D$2:$D$501,0))="","",INDEX(links!$A$2:$A$501,MATCH($C321,links!$D$2:$D$501,0))),""))</f>
        <v>SAMPLE-CMP-007</v>
      </c>
      <c r="H321" s="30" t="str">
        <f aca="false">IF($C321="","",IFERROR(IF(INDEX(links!$B$2:$B$501,MATCH($C321,links!$D$2:$D$501,0))="","",INDEX(links!$B$2:$B$501,MATCH($C321,links!$D$2:$D$501,0))),""))</f>
        <v>SAMPLE-O-003</v>
      </c>
      <c r="I321" s="30" t="str">
        <f aca="false">IF($C321="","",IFERROR(IF(INDEX(links!$C$2:$C$501,MATCH($C321,links!$D$2:$D$501,0))="","",INDEX(links!$C$2:$C$501,MATCH($C321,links!$D$2:$D$501,0))),""))</f>
        <v>post</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t="n">
        <v>46468</v>
      </c>
      <c r="B322" s="38" t="n">
        <v>0.729166666666667</v>
      </c>
      <c r="C322" s="10" t="s">
        <v>1135</v>
      </c>
      <c r="D322" s="10" t="s">
        <v>1028</v>
      </c>
      <c r="E322" s="0" t="n">
        <v>1</v>
      </c>
      <c r="G322" s="30" t="str">
        <f aca="false">IF($C322="","",IFERROR(IF(INDEX(links!$A$2:$A$501,MATCH($C322,links!$D$2:$D$501,0))="","",INDEX(links!$A$2:$A$501,MATCH($C322,links!$D$2:$D$501,0))),""))</f>
        <v>SAMPLE-CMP-007</v>
      </c>
      <c r="H322" s="30" t="str">
        <f aca="false">IF($C322="","",IFERROR(IF(INDEX(links!$B$2:$B$501,MATCH($C322,links!$D$2:$D$501,0))="","",INDEX(links!$B$2:$B$501,MATCH($C322,links!$D$2:$D$501,0))),""))</f>
        <v>SAMPLE-O-004</v>
      </c>
      <c r="I322" s="30" t="str">
        <f aca="false">IF($C322="","",IFERROR(IF(INDEX(links!$C$2:$C$501,MATCH($C322,links!$D$2:$D$501,0))="","",INDEX(links!$C$2:$C$501,MATCH($C322,links!$D$2:$D$501,0))),""))</f>
        <v>qr</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t="n">
        <v>46468</v>
      </c>
      <c r="B323" s="38" t="n">
        <v>0.729166666666667</v>
      </c>
      <c r="C323" s="10" t="s">
        <v>1136</v>
      </c>
      <c r="D323" s="10" t="s">
        <v>1028</v>
      </c>
      <c r="E323" s="0" t="n">
        <v>1</v>
      </c>
      <c r="G323" s="30" t="str">
        <f aca="false">IF($C323="","",IFERROR(IF(INDEX(links!$A$2:$A$501,MATCH($C323,links!$D$2:$D$501,0))="","",INDEX(links!$A$2:$A$501,MATCH($C323,links!$D$2:$D$501,0))),""))</f>
        <v>SAMPLE-CMP-007</v>
      </c>
      <c r="H323" s="30" t="str">
        <f aca="false">IF($C323="","",IFERROR(IF(INDEX(links!$B$2:$B$501,MATCH($C323,links!$D$2:$D$501,0))="","",INDEX(links!$B$2:$B$501,MATCH($C323,links!$D$2:$D$501,0))),""))</f>
        <v>SAMPLE-O-004</v>
      </c>
      <c r="I323" s="30" t="str">
        <f aca="false">IF($C323="","",IFERROR(IF(INDEX(links!$C$2:$C$501,MATCH($C323,links!$D$2:$D$501,0))="","",INDEX(links!$C$2:$C$501,MATCH($C323,links!$D$2:$D$501,0))),""))</f>
        <v>post</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t="n">
        <v>46468</v>
      </c>
      <c r="B324" s="38" t="n">
        <v>0.729166666666667</v>
      </c>
      <c r="C324" s="10" t="s">
        <v>1137</v>
      </c>
      <c r="D324" s="10" t="s">
        <v>1028</v>
      </c>
      <c r="E324" s="0" t="n">
        <v>1</v>
      </c>
      <c r="G324" s="30" t="str">
        <f aca="false">IF($C324="","",IFERROR(IF(INDEX(links!$A$2:$A$501,MATCH($C324,links!$D$2:$D$501,0))="","",INDEX(links!$A$2:$A$501,MATCH($C324,links!$D$2:$D$501,0))),""))</f>
        <v>SAMPLE-CMP-007</v>
      </c>
      <c r="H324" s="30" t="str">
        <f aca="false">IF($C324="","",IFERROR(IF(INDEX(links!$B$2:$B$501,MATCH($C324,links!$D$2:$D$501,0))="","",INDEX(links!$B$2:$B$501,MATCH($C324,links!$D$2:$D$501,0))),""))</f>
        <v>SAMPLE-O-005</v>
      </c>
      <c r="I324" s="30" t="str">
        <f aca="false">IF($C324="","",IFERROR(IF(INDEX(links!$C$2:$C$501,MATCH($C324,links!$D$2:$D$501,0))="","",INDEX(links!$C$2:$C$501,MATCH($C324,links!$D$2:$D$501,0))),""))</f>
        <v>qr</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t="n">
        <v>46468</v>
      </c>
      <c r="B325" s="38" t="n">
        <v>0.729166666666667</v>
      </c>
      <c r="C325" s="10" t="s">
        <v>1138</v>
      </c>
      <c r="D325" s="10" t="s">
        <v>1028</v>
      </c>
      <c r="E325" s="0" t="n">
        <v>1</v>
      </c>
      <c r="G325" s="30" t="str">
        <f aca="false">IF($C325="","",IFERROR(IF(INDEX(links!$A$2:$A$501,MATCH($C325,links!$D$2:$D$501,0))="","",INDEX(links!$A$2:$A$501,MATCH($C325,links!$D$2:$D$501,0))),""))</f>
        <v>SAMPLE-CMP-007</v>
      </c>
      <c r="H325" s="30" t="str">
        <f aca="false">IF($C325="","",IFERROR(IF(INDEX(links!$B$2:$B$501,MATCH($C325,links!$D$2:$D$501,0))="","",INDEX(links!$B$2:$B$501,MATCH($C325,links!$D$2:$D$501,0))),""))</f>
        <v>SAMPLE-O-005</v>
      </c>
      <c r="I325" s="30" t="str">
        <f aca="false">IF($C325="","",IFERROR(IF(INDEX(links!$C$2:$C$501,MATCH($C325,links!$D$2:$D$501,0))="","",INDEX(links!$C$2:$C$501,MATCH($C325,links!$D$2:$D$501,0))),""))</f>
        <v>post</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t="n">
        <v>46468</v>
      </c>
      <c r="B326" s="38" t="n">
        <v>0.729166666666667</v>
      </c>
      <c r="C326" s="10" t="s">
        <v>1139</v>
      </c>
      <c r="D326" s="10" t="s">
        <v>1028</v>
      </c>
      <c r="E326" s="0" t="n">
        <v>1</v>
      </c>
      <c r="G326" s="30" t="str">
        <f aca="false">IF($C326="","",IFERROR(IF(INDEX(links!$A$2:$A$501,MATCH($C326,links!$D$2:$D$501,0))="","",INDEX(links!$A$2:$A$501,MATCH($C326,links!$D$2:$D$501,0))),""))</f>
        <v>SAMPLE-CMP-007</v>
      </c>
      <c r="H326" s="30" t="str">
        <f aca="false">IF($C326="","",IFERROR(IF(INDEX(links!$B$2:$B$501,MATCH($C326,links!$D$2:$D$501,0))="","",INDEX(links!$B$2:$B$501,MATCH($C326,links!$D$2:$D$501,0))),""))</f>
        <v>SAMPLE-O-006</v>
      </c>
      <c r="I326" s="30" t="str">
        <f aca="false">IF($C326="","",IFERROR(IF(INDEX(links!$C$2:$C$501,MATCH($C326,links!$D$2:$D$501,0))="","",INDEX(links!$C$2:$C$501,MATCH($C326,links!$D$2:$D$501,0))),""))</f>
        <v>qr</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t="n">
        <v>46468</v>
      </c>
      <c r="B327" s="38" t="n">
        <v>0.729166666666667</v>
      </c>
      <c r="C327" s="10" t="s">
        <v>1140</v>
      </c>
      <c r="D327" s="10" t="s">
        <v>1028</v>
      </c>
      <c r="E327" s="0" t="n">
        <v>1</v>
      </c>
      <c r="G327" s="30" t="str">
        <f aca="false">IF($C327="","",IFERROR(IF(INDEX(links!$A$2:$A$501,MATCH($C327,links!$D$2:$D$501,0))="","",INDEX(links!$A$2:$A$501,MATCH($C327,links!$D$2:$D$501,0))),""))</f>
        <v>SAMPLE-CMP-007</v>
      </c>
      <c r="H327" s="30" t="str">
        <f aca="false">IF($C327="","",IFERROR(IF(INDEX(links!$B$2:$B$501,MATCH($C327,links!$D$2:$D$501,0))="","",INDEX(links!$B$2:$B$501,MATCH($C327,links!$D$2:$D$501,0))),""))</f>
        <v>SAMPLE-O-006</v>
      </c>
      <c r="I327" s="30" t="str">
        <f aca="false">IF($C327="","",IFERROR(IF(INDEX(links!$C$2:$C$501,MATCH($C327,links!$D$2:$D$501,0))="","",INDEX(links!$C$2:$C$501,MATCH($C327,links!$D$2:$D$501,0))),""))</f>
        <v>post</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t="n">
        <v>46468</v>
      </c>
      <c r="B328" s="38" t="n">
        <v>0.729166666666667</v>
      </c>
      <c r="C328" s="10" t="s">
        <v>1141</v>
      </c>
      <c r="D328" s="10" t="s">
        <v>1028</v>
      </c>
      <c r="E328" s="0" t="n">
        <v>1</v>
      </c>
      <c r="G328" s="30" t="str">
        <f aca="false">IF($C328="","",IFERROR(IF(INDEX(links!$A$2:$A$501,MATCH($C328,links!$D$2:$D$501,0))="","",INDEX(links!$A$2:$A$501,MATCH($C328,links!$D$2:$D$501,0))),""))</f>
        <v>SAMPLE-CMP-007</v>
      </c>
      <c r="H328" s="30" t="str">
        <f aca="false">IF($C328="","",IFERROR(IF(INDEX(links!$B$2:$B$501,MATCH($C328,links!$D$2:$D$501,0))="","",INDEX(links!$B$2:$B$501,MATCH($C328,links!$D$2:$D$501,0))),""))</f>
        <v>SAMPLE-O-007</v>
      </c>
      <c r="I328" s="30" t="str">
        <f aca="false">IF($C328="","",IFERROR(IF(INDEX(links!$C$2:$C$501,MATCH($C328,links!$D$2:$D$501,0))="","",INDEX(links!$C$2:$C$501,MATCH($C328,links!$D$2:$D$501,0))),""))</f>
        <v>qr</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t="n">
        <v>46468</v>
      </c>
      <c r="B329" s="38" t="n">
        <v>0.729166666666667</v>
      </c>
      <c r="C329" s="10" t="s">
        <v>1142</v>
      </c>
      <c r="D329" s="10" t="s">
        <v>1028</v>
      </c>
      <c r="E329" s="0" t="n">
        <v>1</v>
      </c>
      <c r="G329" s="30" t="str">
        <f aca="false">IF($C329="","",IFERROR(IF(INDEX(links!$A$2:$A$501,MATCH($C329,links!$D$2:$D$501,0))="","",INDEX(links!$A$2:$A$501,MATCH($C329,links!$D$2:$D$501,0))),""))</f>
        <v>SAMPLE-CMP-007</v>
      </c>
      <c r="H329" s="30" t="str">
        <f aca="false">IF($C329="","",IFERROR(IF(INDEX(links!$B$2:$B$501,MATCH($C329,links!$D$2:$D$501,0))="","",INDEX(links!$B$2:$B$501,MATCH($C329,links!$D$2:$D$501,0))),""))</f>
        <v>SAMPLE-O-007</v>
      </c>
      <c r="I329" s="30" t="str">
        <f aca="false">IF($C329="","",IFERROR(IF(INDEX(links!$C$2:$C$501,MATCH($C329,links!$D$2:$D$501,0))="","",INDEX(links!$C$2:$C$501,MATCH($C329,links!$D$2:$D$501,0))),""))</f>
        <v>post</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t="n">
        <v>46468</v>
      </c>
      <c r="B330" s="38" t="n">
        <v>0.729166666666667</v>
      </c>
      <c r="C330" s="10" t="s">
        <v>1143</v>
      </c>
      <c r="D330" s="10" t="s">
        <v>1028</v>
      </c>
      <c r="E330" s="0" t="n">
        <v>1</v>
      </c>
      <c r="G330" s="30" t="str">
        <f aca="false">IF($C330="","",IFERROR(IF(INDEX(links!$A$2:$A$501,MATCH($C330,links!$D$2:$D$501,0))="","",INDEX(links!$A$2:$A$501,MATCH($C330,links!$D$2:$D$501,0))),""))</f>
        <v>SAMPLE-CMP-007</v>
      </c>
      <c r="H330" s="30" t="str">
        <f aca="false">IF($C330="","",IFERROR(IF(INDEX(links!$B$2:$B$501,MATCH($C330,links!$D$2:$D$501,0))="","",INDEX(links!$B$2:$B$501,MATCH($C330,links!$D$2:$D$501,0))),""))</f>
        <v>SAMPLE-O-008</v>
      </c>
      <c r="I330" s="30" t="str">
        <f aca="false">IF($C330="","",IFERROR(IF(INDEX(links!$C$2:$C$501,MATCH($C330,links!$D$2:$D$501,0))="","",INDEX(links!$C$2:$C$501,MATCH($C330,links!$D$2:$D$501,0))),""))</f>
        <v>qr</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t="n">
        <v>46468</v>
      </c>
      <c r="B331" s="38" t="n">
        <v>0.729166666666667</v>
      </c>
      <c r="C331" s="10" t="s">
        <v>1144</v>
      </c>
      <c r="D331" s="10" t="s">
        <v>1028</v>
      </c>
      <c r="E331" s="0" t="n">
        <v>1</v>
      </c>
      <c r="G331" s="30" t="str">
        <f aca="false">IF($C331="","",IFERROR(IF(INDEX(links!$A$2:$A$501,MATCH($C331,links!$D$2:$D$501,0))="","",INDEX(links!$A$2:$A$501,MATCH($C331,links!$D$2:$D$501,0))),""))</f>
        <v>SAMPLE-CMP-007</v>
      </c>
      <c r="H331" s="30" t="str">
        <f aca="false">IF($C331="","",IFERROR(IF(INDEX(links!$B$2:$B$501,MATCH($C331,links!$D$2:$D$501,0))="","",INDEX(links!$B$2:$B$501,MATCH($C331,links!$D$2:$D$501,0))),""))</f>
        <v>SAMPLE-O-008</v>
      </c>
      <c r="I331" s="30" t="str">
        <f aca="false">IF($C331="","",IFERROR(IF(INDEX(links!$C$2:$C$501,MATCH($C331,links!$D$2:$D$501,0))="","",INDEX(links!$C$2:$C$501,MATCH($C331,links!$D$2:$D$501,0))),""))</f>
        <v>post</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t="n">
        <v>46468</v>
      </c>
      <c r="B332" s="38" t="n">
        <v>0.729166666666667</v>
      </c>
      <c r="C332" s="10" t="s">
        <v>1145</v>
      </c>
      <c r="D332" s="10" t="s">
        <v>1028</v>
      </c>
      <c r="E332" s="0" t="n">
        <v>1</v>
      </c>
      <c r="G332" s="30" t="str">
        <f aca="false">IF($C332="","",IFERROR(IF(INDEX(links!$A$2:$A$501,MATCH($C332,links!$D$2:$D$501,0))="","",INDEX(links!$A$2:$A$501,MATCH($C332,links!$D$2:$D$501,0))),""))</f>
        <v>SAMPLE-CMP-007</v>
      </c>
      <c r="H332" s="30" t="str">
        <f aca="false">IF($C332="","",IFERROR(IF(INDEX(links!$B$2:$B$501,MATCH($C332,links!$D$2:$D$501,0))="","",INDEX(links!$B$2:$B$501,MATCH($C332,links!$D$2:$D$501,0))),""))</f>
        <v>SAMPLE-O-009</v>
      </c>
      <c r="I332" s="30" t="str">
        <f aca="false">IF($C332="","",IFERROR(IF(INDEX(links!$C$2:$C$501,MATCH($C332,links!$D$2:$D$501,0))="","",INDEX(links!$C$2:$C$501,MATCH($C332,links!$D$2:$D$501,0))),""))</f>
        <v>qr</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t="n">
        <v>46468</v>
      </c>
      <c r="B333" s="38" t="n">
        <v>0.729166666666667</v>
      </c>
      <c r="C333" s="10" t="s">
        <v>1146</v>
      </c>
      <c r="D333" s="10" t="s">
        <v>1028</v>
      </c>
      <c r="E333" s="0" t="n">
        <v>1</v>
      </c>
      <c r="G333" s="30" t="str">
        <f aca="false">IF($C333="","",IFERROR(IF(INDEX(links!$A$2:$A$501,MATCH($C333,links!$D$2:$D$501,0))="","",INDEX(links!$A$2:$A$501,MATCH($C333,links!$D$2:$D$501,0))),""))</f>
        <v>SAMPLE-CMP-007</v>
      </c>
      <c r="H333" s="30" t="str">
        <f aca="false">IF($C333="","",IFERROR(IF(INDEX(links!$B$2:$B$501,MATCH($C333,links!$D$2:$D$501,0))="","",INDEX(links!$B$2:$B$501,MATCH($C333,links!$D$2:$D$501,0))),""))</f>
        <v>SAMPLE-O-009</v>
      </c>
      <c r="I333" s="30" t="str">
        <f aca="false">IF($C333="","",IFERROR(IF(INDEX(links!$C$2:$C$501,MATCH($C333,links!$D$2:$D$501,0))="","",INDEX(links!$C$2:$C$501,MATCH($C333,links!$D$2:$D$501,0))),""))</f>
        <v>post</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t="n">
        <v>46468</v>
      </c>
      <c r="B334" s="38" t="n">
        <v>0.729166666666667</v>
      </c>
      <c r="C334" s="10" t="s">
        <v>1147</v>
      </c>
      <c r="D334" s="10" t="s">
        <v>1028</v>
      </c>
      <c r="E334" s="0" t="n">
        <v>1</v>
      </c>
      <c r="G334" s="30" t="str">
        <f aca="false">IF($C334="","",IFERROR(IF(INDEX(links!$A$2:$A$501,MATCH($C334,links!$D$2:$D$501,0))="","",INDEX(links!$A$2:$A$501,MATCH($C334,links!$D$2:$D$501,0))),""))</f>
        <v>SAMPLE-CMP-007</v>
      </c>
      <c r="H334" s="30" t="str">
        <f aca="false">IF($C334="","",IFERROR(IF(INDEX(links!$B$2:$B$501,MATCH($C334,links!$D$2:$D$501,0))="","",INDEX(links!$B$2:$B$501,MATCH($C334,links!$D$2:$D$501,0))),""))</f>
        <v>SAMPLE-O-010</v>
      </c>
      <c r="I334" s="30" t="str">
        <f aca="false">IF($C334="","",IFERROR(IF(INDEX(links!$C$2:$C$501,MATCH($C334,links!$D$2:$D$501,0))="","",INDEX(links!$C$2:$C$501,MATCH($C334,links!$D$2:$D$501,0))),""))</f>
        <v>qr</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t="n">
        <v>46468</v>
      </c>
      <c r="B335" s="38" t="n">
        <v>0.729166666666667</v>
      </c>
      <c r="C335" s="10" t="s">
        <v>1148</v>
      </c>
      <c r="D335" s="10" t="s">
        <v>1028</v>
      </c>
      <c r="E335" s="0" t="n">
        <v>1</v>
      </c>
      <c r="G335" s="30" t="str">
        <f aca="false">IF($C335="","",IFERROR(IF(INDEX(links!$A$2:$A$501,MATCH($C335,links!$D$2:$D$501,0))="","",INDEX(links!$A$2:$A$501,MATCH($C335,links!$D$2:$D$501,0))),""))</f>
        <v>SAMPLE-CMP-007</v>
      </c>
      <c r="H335" s="30" t="str">
        <f aca="false">IF($C335="","",IFERROR(IF(INDEX(links!$B$2:$B$501,MATCH($C335,links!$D$2:$D$501,0))="","",INDEX(links!$B$2:$B$501,MATCH($C335,links!$D$2:$D$501,0))),""))</f>
        <v>SAMPLE-O-010</v>
      </c>
      <c r="I335" s="30" t="str">
        <f aca="false">IF($C335="","",IFERROR(IF(INDEX(links!$C$2:$C$501,MATCH($C335,links!$D$2:$D$501,0))="","",INDEX(links!$C$2:$C$501,MATCH($C335,links!$D$2:$D$501,0))),""))</f>
        <v>post</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t="n">
        <v>46468</v>
      </c>
      <c r="B336" s="38" t="n">
        <v>0.729166666666667</v>
      </c>
      <c r="C336" s="10" t="s">
        <v>1149</v>
      </c>
      <c r="D336" s="10" t="s">
        <v>1028</v>
      </c>
      <c r="E336" s="0" t="n">
        <v>1</v>
      </c>
      <c r="G336" s="30" t="str">
        <f aca="false">IF($C336="","",IFERROR(IF(INDEX(links!$A$2:$A$501,MATCH($C336,links!$D$2:$D$501,0))="","",INDEX(links!$A$2:$A$501,MATCH($C336,links!$D$2:$D$501,0))),""))</f>
        <v>SAMPLE-CMP-008</v>
      </c>
      <c r="H336" s="30" t="str">
        <f aca="false">IF($C336="","",IFERROR(IF(INDEX(links!$B$2:$B$501,MATCH($C336,links!$D$2:$D$501,0))="","",INDEX(links!$B$2:$B$501,MATCH($C336,links!$D$2:$D$501,0))),""))</f>
        <v>SAMPLE-O-001</v>
      </c>
      <c r="I336" s="30" t="str">
        <f aca="false">IF($C336="","",IFERROR(IF(INDEX(links!$C$2:$C$501,MATCH($C336,links!$D$2:$D$501,0))="","",INDEX(links!$C$2:$C$501,MATCH($C336,links!$D$2:$D$501,0))),""))</f>
        <v>qr</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t="n">
        <v>46468</v>
      </c>
      <c r="B337" s="38" t="n">
        <v>0.729166666666667</v>
      </c>
      <c r="C337" s="10" t="s">
        <v>1150</v>
      </c>
      <c r="D337" s="10" t="s">
        <v>1028</v>
      </c>
      <c r="E337" s="0" t="n">
        <v>1</v>
      </c>
      <c r="G337" s="30" t="str">
        <f aca="false">IF($C337="","",IFERROR(IF(INDEX(links!$A$2:$A$501,MATCH($C337,links!$D$2:$D$501,0))="","",INDEX(links!$A$2:$A$501,MATCH($C337,links!$D$2:$D$501,0))),""))</f>
        <v>SAMPLE-CMP-008</v>
      </c>
      <c r="H337" s="30" t="str">
        <f aca="false">IF($C337="","",IFERROR(IF(INDEX(links!$B$2:$B$501,MATCH($C337,links!$D$2:$D$501,0))="","",INDEX(links!$B$2:$B$501,MATCH($C337,links!$D$2:$D$501,0))),""))</f>
        <v>SAMPLE-O-001</v>
      </c>
      <c r="I337" s="30" t="str">
        <f aca="false">IF($C337="","",IFERROR(IF(INDEX(links!$C$2:$C$501,MATCH($C337,links!$D$2:$D$501,0))="","",INDEX(links!$C$2:$C$501,MATCH($C337,links!$D$2:$D$501,0))),""))</f>
        <v>post</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t="n">
        <v>46468</v>
      </c>
      <c r="B338" s="38" t="n">
        <v>0.729166666666667</v>
      </c>
      <c r="C338" s="10" t="s">
        <v>1151</v>
      </c>
      <c r="D338" s="10" t="s">
        <v>1028</v>
      </c>
      <c r="E338" s="0" t="n">
        <v>1</v>
      </c>
      <c r="G338" s="30" t="str">
        <f aca="false">IF($C338="","",IFERROR(IF(INDEX(links!$A$2:$A$501,MATCH($C338,links!$D$2:$D$501,0))="","",INDEX(links!$A$2:$A$501,MATCH($C338,links!$D$2:$D$501,0))),""))</f>
        <v>SAMPLE-CMP-008</v>
      </c>
      <c r="H338" s="30" t="str">
        <f aca="false">IF($C338="","",IFERROR(IF(INDEX(links!$B$2:$B$501,MATCH($C338,links!$D$2:$D$501,0))="","",INDEX(links!$B$2:$B$501,MATCH($C338,links!$D$2:$D$501,0))),""))</f>
        <v>SAMPLE-O-002</v>
      </c>
      <c r="I338" s="30" t="str">
        <f aca="false">IF($C338="","",IFERROR(IF(INDEX(links!$C$2:$C$501,MATCH($C338,links!$D$2:$D$501,0))="","",INDEX(links!$C$2:$C$501,MATCH($C338,links!$D$2:$D$501,0))),""))</f>
        <v>qr</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t="n">
        <v>46468</v>
      </c>
      <c r="B339" s="38" t="n">
        <v>0.729166666666667</v>
      </c>
      <c r="C339" s="10" t="s">
        <v>1152</v>
      </c>
      <c r="D339" s="10" t="s">
        <v>1028</v>
      </c>
      <c r="E339" s="0" t="n">
        <v>1</v>
      </c>
      <c r="G339" s="30" t="str">
        <f aca="false">IF($C339="","",IFERROR(IF(INDEX(links!$A$2:$A$501,MATCH($C339,links!$D$2:$D$501,0))="","",INDEX(links!$A$2:$A$501,MATCH($C339,links!$D$2:$D$501,0))),""))</f>
        <v>SAMPLE-CMP-008</v>
      </c>
      <c r="H339" s="30" t="str">
        <f aca="false">IF($C339="","",IFERROR(IF(INDEX(links!$B$2:$B$501,MATCH($C339,links!$D$2:$D$501,0))="","",INDEX(links!$B$2:$B$501,MATCH($C339,links!$D$2:$D$501,0))),""))</f>
        <v>SAMPLE-O-002</v>
      </c>
      <c r="I339" s="30" t="str">
        <f aca="false">IF($C339="","",IFERROR(IF(INDEX(links!$C$2:$C$501,MATCH($C339,links!$D$2:$D$501,0))="","",INDEX(links!$C$2:$C$501,MATCH($C339,links!$D$2:$D$501,0))),""))</f>
        <v>post</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t="n">
        <v>46468</v>
      </c>
      <c r="B340" s="38" t="n">
        <v>0.729166666666667</v>
      </c>
      <c r="C340" s="10" t="s">
        <v>1153</v>
      </c>
      <c r="D340" s="10" t="s">
        <v>1028</v>
      </c>
      <c r="E340" s="0" t="n">
        <v>1</v>
      </c>
      <c r="G340" s="30" t="str">
        <f aca="false">IF($C340="","",IFERROR(IF(INDEX(links!$A$2:$A$501,MATCH($C340,links!$D$2:$D$501,0))="","",INDEX(links!$A$2:$A$501,MATCH($C340,links!$D$2:$D$501,0))),""))</f>
        <v>SAMPLE-CMP-008</v>
      </c>
      <c r="H340" s="30" t="str">
        <f aca="false">IF($C340="","",IFERROR(IF(INDEX(links!$B$2:$B$501,MATCH($C340,links!$D$2:$D$501,0))="","",INDEX(links!$B$2:$B$501,MATCH($C340,links!$D$2:$D$501,0))),""))</f>
        <v>SAMPLE-O-003</v>
      </c>
      <c r="I340" s="30" t="str">
        <f aca="false">IF($C340="","",IFERROR(IF(INDEX(links!$C$2:$C$501,MATCH($C340,links!$D$2:$D$501,0))="","",INDEX(links!$C$2:$C$501,MATCH($C340,links!$D$2:$D$501,0))),""))</f>
        <v>qr</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t="n">
        <v>46468</v>
      </c>
      <c r="B341" s="38" t="n">
        <v>0.729166666666667</v>
      </c>
      <c r="C341" s="10" t="s">
        <v>1154</v>
      </c>
      <c r="D341" s="10" t="s">
        <v>1028</v>
      </c>
      <c r="E341" s="0" t="n">
        <v>1</v>
      </c>
      <c r="G341" s="30" t="str">
        <f aca="false">IF($C341="","",IFERROR(IF(INDEX(links!$A$2:$A$501,MATCH($C341,links!$D$2:$D$501,0))="","",INDEX(links!$A$2:$A$501,MATCH($C341,links!$D$2:$D$501,0))),""))</f>
        <v>SAMPLE-CMP-008</v>
      </c>
      <c r="H341" s="30" t="str">
        <f aca="false">IF($C341="","",IFERROR(IF(INDEX(links!$B$2:$B$501,MATCH($C341,links!$D$2:$D$501,0))="","",INDEX(links!$B$2:$B$501,MATCH($C341,links!$D$2:$D$501,0))),""))</f>
        <v>SAMPLE-O-003</v>
      </c>
      <c r="I341" s="30" t="str">
        <f aca="false">IF($C341="","",IFERROR(IF(INDEX(links!$C$2:$C$501,MATCH($C341,links!$D$2:$D$501,0))="","",INDEX(links!$C$2:$C$501,MATCH($C341,links!$D$2:$D$501,0))),""))</f>
        <v>post</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t="n">
        <v>46468</v>
      </c>
      <c r="B342" s="38" t="n">
        <v>0.729166666666667</v>
      </c>
      <c r="C342" s="10" t="s">
        <v>1155</v>
      </c>
      <c r="D342" s="10" t="s">
        <v>1028</v>
      </c>
      <c r="E342" s="0" t="n">
        <v>1</v>
      </c>
      <c r="G342" s="30" t="str">
        <f aca="false">IF($C342="","",IFERROR(IF(INDEX(links!$A$2:$A$501,MATCH($C342,links!$D$2:$D$501,0))="","",INDEX(links!$A$2:$A$501,MATCH($C342,links!$D$2:$D$501,0))),""))</f>
        <v>SAMPLE-CMP-008</v>
      </c>
      <c r="H342" s="30" t="str">
        <f aca="false">IF($C342="","",IFERROR(IF(INDEX(links!$B$2:$B$501,MATCH($C342,links!$D$2:$D$501,0))="","",INDEX(links!$B$2:$B$501,MATCH($C342,links!$D$2:$D$501,0))),""))</f>
        <v>SAMPLE-O-004</v>
      </c>
      <c r="I342" s="30" t="str">
        <f aca="false">IF($C342="","",IFERROR(IF(INDEX(links!$C$2:$C$501,MATCH($C342,links!$D$2:$D$501,0))="","",INDEX(links!$C$2:$C$501,MATCH($C342,links!$D$2:$D$501,0))),""))</f>
        <v>qr</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t="n">
        <v>46468</v>
      </c>
      <c r="B343" s="38" t="n">
        <v>0.729166666666667</v>
      </c>
      <c r="C343" s="10" t="s">
        <v>1156</v>
      </c>
      <c r="D343" s="10" t="s">
        <v>1028</v>
      </c>
      <c r="E343" s="0" t="n">
        <v>1</v>
      </c>
      <c r="G343" s="30" t="str">
        <f aca="false">IF($C343="","",IFERROR(IF(INDEX(links!$A$2:$A$501,MATCH($C343,links!$D$2:$D$501,0))="","",INDEX(links!$A$2:$A$501,MATCH($C343,links!$D$2:$D$501,0))),""))</f>
        <v>SAMPLE-CMP-008</v>
      </c>
      <c r="H343" s="30" t="str">
        <f aca="false">IF($C343="","",IFERROR(IF(INDEX(links!$B$2:$B$501,MATCH($C343,links!$D$2:$D$501,0))="","",INDEX(links!$B$2:$B$501,MATCH($C343,links!$D$2:$D$501,0))),""))</f>
        <v>SAMPLE-O-004</v>
      </c>
      <c r="I343" s="30" t="str">
        <f aca="false">IF($C343="","",IFERROR(IF(INDEX(links!$C$2:$C$501,MATCH($C343,links!$D$2:$D$501,0))="","",INDEX(links!$C$2:$C$501,MATCH($C343,links!$D$2:$D$501,0))),""))</f>
        <v>post</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t="n">
        <v>46468</v>
      </c>
      <c r="B344" s="38" t="n">
        <v>0.729166666666667</v>
      </c>
      <c r="C344" s="10" t="s">
        <v>1157</v>
      </c>
      <c r="D344" s="10" t="s">
        <v>1028</v>
      </c>
      <c r="E344" s="0" t="n">
        <v>1</v>
      </c>
      <c r="G344" s="30" t="str">
        <f aca="false">IF($C344="","",IFERROR(IF(INDEX(links!$A$2:$A$501,MATCH($C344,links!$D$2:$D$501,0))="","",INDEX(links!$A$2:$A$501,MATCH($C344,links!$D$2:$D$501,0))),""))</f>
        <v>SAMPLE-CMP-008</v>
      </c>
      <c r="H344" s="30" t="str">
        <f aca="false">IF($C344="","",IFERROR(IF(INDEX(links!$B$2:$B$501,MATCH($C344,links!$D$2:$D$501,0))="","",INDEX(links!$B$2:$B$501,MATCH($C344,links!$D$2:$D$501,0))),""))</f>
        <v>SAMPLE-O-005</v>
      </c>
      <c r="I344" s="30" t="str">
        <f aca="false">IF($C344="","",IFERROR(IF(INDEX(links!$C$2:$C$501,MATCH($C344,links!$D$2:$D$501,0))="","",INDEX(links!$C$2:$C$501,MATCH($C344,links!$D$2:$D$501,0))),""))</f>
        <v>qr</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t="n">
        <v>46468</v>
      </c>
      <c r="B345" s="38" t="n">
        <v>0.729166666666667</v>
      </c>
      <c r="C345" s="10" t="s">
        <v>1158</v>
      </c>
      <c r="D345" s="10" t="s">
        <v>1028</v>
      </c>
      <c r="E345" s="0" t="n">
        <v>1</v>
      </c>
      <c r="G345" s="30" t="str">
        <f aca="false">IF($C345="","",IFERROR(IF(INDEX(links!$A$2:$A$501,MATCH($C345,links!$D$2:$D$501,0))="","",INDEX(links!$A$2:$A$501,MATCH($C345,links!$D$2:$D$501,0))),""))</f>
        <v>SAMPLE-CMP-008</v>
      </c>
      <c r="H345" s="30" t="str">
        <f aca="false">IF($C345="","",IFERROR(IF(INDEX(links!$B$2:$B$501,MATCH($C345,links!$D$2:$D$501,0))="","",INDEX(links!$B$2:$B$501,MATCH($C345,links!$D$2:$D$501,0))),""))</f>
        <v>SAMPLE-O-005</v>
      </c>
      <c r="I345" s="30" t="str">
        <f aca="false">IF($C345="","",IFERROR(IF(INDEX(links!$C$2:$C$501,MATCH($C345,links!$D$2:$D$501,0))="","",INDEX(links!$C$2:$C$501,MATCH($C345,links!$D$2:$D$501,0))),""))</f>
        <v>post</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t="n">
        <v>46468</v>
      </c>
      <c r="B346" s="38" t="n">
        <v>0.729166666666667</v>
      </c>
      <c r="C346" s="10" t="s">
        <v>1159</v>
      </c>
      <c r="D346" s="10" t="s">
        <v>1028</v>
      </c>
      <c r="E346" s="0" t="n">
        <v>1</v>
      </c>
      <c r="G346" s="30" t="str">
        <f aca="false">IF($C346="","",IFERROR(IF(INDEX(links!$A$2:$A$501,MATCH($C346,links!$D$2:$D$501,0))="","",INDEX(links!$A$2:$A$501,MATCH($C346,links!$D$2:$D$501,0))),""))</f>
        <v>SAMPLE-CMP-008</v>
      </c>
      <c r="H346" s="30" t="str">
        <f aca="false">IF($C346="","",IFERROR(IF(INDEX(links!$B$2:$B$501,MATCH($C346,links!$D$2:$D$501,0))="","",INDEX(links!$B$2:$B$501,MATCH($C346,links!$D$2:$D$501,0))),""))</f>
        <v>SAMPLE-O-006</v>
      </c>
      <c r="I346" s="30" t="str">
        <f aca="false">IF($C346="","",IFERROR(IF(INDEX(links!$C$2:$C$501,MATCH($C346,links!$D$2:$D$501,0))="","",INDEX(links!$C$2:$C$501,MATCH($C346,links!$D$2:$D$501,0))),""))</f>
        <v>qr</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t="n">
        <v>46468</v>
      </c>
      <c r="B347" s="38" t="n">
        <v>0.729166666666667</v>
      </c>
      <c r="C347" s="10" t="s">
        <v>1160</v>
      </c>
      <c r="D347" s="10" t="s">
        <v>1028</v>
      </c>
      <c r="E347" s="0" t="n">
        <v>1</v>
      </c>
      <c r="G347" s="30" t="str">
        <f aca="false">IF($C347="","",IFERROR(IF(INDEX(links!$A$2:$A$501,MATCH($C347,links!$D$2:$D$501,0))="","",INDEX(links!$A$2:$A$501,MATCH($C347,links!$D$2:$D$501,0))),""))</f>
        <v>SAMPLE-CMP-008</v>
      </c>
      <c r="H347" s="30" t="str">
        <f aca="false">IF($C347="","",IFERROR(IF(INDEX(links!$B$2:$B$501,MATCH($C347,links!$D$2:$D$501,0))="","",INDEX(links!$B$2:$B$501,MATCH($C347,links!$D$2:$D$501,0))),""))</f>
        <v>SAMPLE-O-006</v>
      </c>
      <c r="I347" s="30" t="str">
        <f aca="false">IF($C347="","",IFERROR(IF(INDEX(links!$C$2:$C$501,MATCH($C347,links!$D$2:$D$501,0))="","",INDEX(links!$C$2:$C$501,MATCH($C347,links!$D$2:$D$501,0))),""))</f>
        <v>post</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t="n">
        <v>46468</v>
      </c>
      <c r="B348" s="38" t="n">
        <v>0.729166666666667</v>
      </c>
      <c r="C348" s="10" t="s">
        <v>1161</v>
      </c>
      <c r="D348" s="10" t="s">
        <v>1028</v>
      </c>
      <c r="E348" s="0" t="n">
        <v>1</v>
      </c>
      <c r="G348" s="30" t="str">
        <f aca="false">IF($C348="","",IFERROR(IF(INDEX(links!$A$2:$A$501,MATCH($C348,links!$D$2:$D$501,0))="","",INDEX(links!$A$2:$A$501,MATCH($C348,links!$D$2:$D$501,0))),""))</f>
        <v>SAMPLE-CMP-008</v>
      </c>
      <c r="H348" s="30" t="str">
        <f aca="false">IF($C348="","",IFERROR(IF(INDEX(links!$B$2:$B$501,MATCH($C348,links!$D$2:$D$501,0))="","",INDEX(links!$B$2:$B$501,MATCH($C348,links!$D$2:$D$501,0))),""))</f>
        <v>SAMPLE-O-007</v>
      </c>
      <c r="I348" s="30" t="str">
        <f aca="false">IF($C348="","",IFERROR(IF(INDEX(links!$C$2:$C$501,MATCH($C348,links!$D$2:$D$501,0))="","",INDEX(links!$C$2:$C$501,MATCH($C348,links!$D$2:$D$501,0))),""))</f>
        <v>qr</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t="n">
        <v>46468</v>
      </c>
      <c r="B349" s="38" t="n">
        <v>0.729166666666667</v>
      </c>
      <c r="C349" s="10" t="s">
        <v>1162</v>
      </c>
      <c r="D349" s="10" t="s">
        <v>1028</v>
      </c>
      <c r="E349" s="0" t="n">
        <v>1</v>
      </c>
      <c r="G349" s="30" t="str">
        <f aca="false">IF($C349="","",IFERROR(IF(INDEX(links!$A$2:$A$501,MATCH($C349,links!$D$2:$D$501,0))="","",INDEX(links!$A$2:$A$501,MATCH($C349,links!$D$2:$D$501,0))),""))</f>
        <v>SAMPLE-CMP-008</v>
      </c>
      <c r="H349" s="30" t="str">
        <f aca="false">IF($C349="","",IFERROR(IF(INDEX(links!$B$2:$B$501,MATCH($C349,links!$D$2:$D$501,0))="","",INDEX(links!$B$2:$B$501,MATCH($C349,links!$D$2:$D$501,0))),""))</f>
        <v>SAMPLE-O-007</v>
      </c>
      <c r="I349" s="30" t="str">
        <f aca="false">IF($C349="","",IFERROR(IF(INDEX(links!$C$2:$C$501,MATCH($C349,links!$D$2:$D$501,0))="","",INDEX(links!$C$2:$C$501,MATCH($C349,links!$D$2:$D$501,0))),""))</f>
        <v>post</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t="n">
        <v>46468</v>
      </c>
      <c r="B350" s="38" t="n">
        <v>0.729166666666667</v>
      </c>
      <c r="C350" s="10" t="s">
        <v>1163</v>
      </c>
      <c r="D350" s="10" t="s">
        <v>1028</v>
      </c>
      <c r="E350" s="0" t="n">
        <v>1</v>
      </c>
      <c r="G350" s="30" t="str">
        <f aca="false">IF($C350="","",IFERROR(IF(INDEX(links!$A$2:$A$501,MATCH($C350,links!$D$2:$D$501,0))="","",INDEX(links!$A$2:$A$501,MATCH($C350,links!$D$2:$D$501,0))),""))</f>
        <v>SAMPLE-CMP-008</v>
      </c>
      <c r="H350" s="30" t="str">
        <f aca="false">IF($C350="","",IFERROR(IF(INDEX(links!$B$2:$B$501,MATCH($C350,links!$D$2:$D$501,0))="","",INDEX(links!$B$2:$B$501,MATCH($C350,links!$D$2:$D$501,0))),""))</f>
        <v>SAMPLE-O-008</v>
      </c>
      <c r="I350" s="30" t="str">
        <f aca="false">IF($C350="","",IFERROR(IF(INDEX(links!$C$2:$C$501,MATCH($C350,links!$D$2:$D$501,0))="","",INDEX(links!$C$2:$C$501,MATCH($C350,links!$D$2:$D$501,0))),""))</f>
        <v>qr</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t="n">
        <v>46468</v>
      </c>
      <c r="B351" s="38" t="n">
        <v>0.729166666666667</v>
      </c>
      <c r="C351" s="10" t="s">
        <v>1164</v>
      </c>
      <c r="D351" s="10" t="s">
        <v>1028</v>
      </c>
      <c r="E351" s="0" t="n">
        <v>1</v>
      </c>
      <c r="G351" s="30" t="str">
        <f aca="false">IF($C351="","",IFERROR(IF(INDEX(links!$A$2:$A$501,MATCH($C351,links!$D$2:$D$501,0))="","",INDEX(links!$A$2:$A$501,MATCH($C351,links!$D$2:$D$501,0))),""))</f>
        <v>SAMPLE-CMP-008</v>
      </c>
      <c r="H351" s="30" t="str">
        <f aca="false">IF($C351="","",IFERROR(IF(INDEX(links!$B$2:$B$501,MATCH($C351,links!$D$2:$D$501,0))="","",INDEX(links!$B$2:$B$501,MATCH($C351,links!$D$2:$D$501,0))),""))</f>
        <v>SAMPLE-O-008</v>
      </c>
      <c r="I351" s="30" t="str">
        <f aca="false">IF($C351="","",IFERROR(IF(INDEX(links!$C$2:$C$501,MATCH($C351,links!$D$2:$D$501,0))="","",INDEX(links!$C$2:$C$501,MATCH($C351,links!$D$2:$D$501,0))),""))</f>
        <v>post</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t="n">
        <v>46468</v>
      </c>
      <c r="B352" s="38" t="n">
        <v>0.729166666666667</v>
      </c>
      <c r="C352" s="10" t="s">
        <v>1165</v>
      </c>
      <c r="D352" s="10" t="s">
        <v>1028</v>
      </c>
      <c r="E352" s="0" t="n">
        <v>1</v>
      </c>
      <c r="G352" s="30" t="str">
        <f aca="false">IF($C352="","",IFERROR(IF(INDEX(links!$A$2:$A$501,MATCH($C352,links!$D$2:$D$501,0))="","",INDEX(links!$A$2:$A$501,MATCH($C352,links!$D$2:$D$501,0))),""))</f>
        <v>SAMPLE-CMP-008</v>
      </c>
      <c r="H352" s="30" t="str">
        <f aca="false">IF($C352="","",IFERROR(IF(INDEX(links!$B$2:$B$501,MATCH($C352,links!$D$2:$D$501,0))="","",INDEX(links!$B$2:$B$501,MATCH($C352,links!$D$2:$D$501,0))),""))</f>
        <v>SAMPLE-O-009</v>
      </c>
      <c r="I352" s="30" t="str">
        <f aca="false">IF($C352="","",IFERROR(IF(INDEX(links!$C$2:$C$501,MATCH($C352,links!$D$2:$D$501,0))="","",INDEX(links!$C$2:$C$501,MATCH($C352,links!$D$2:$D$501,0))),""))</f>
        <v>qr</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t="n">
        <v>46468</v>
      </c>
      <c r="B353" s="38" t="n">
        <v>0.729166666666667</v>
      </c>
      <c r="C353" s="10" t="s">
        <v>1166</v>
      </c>
      <c r="D353" s="10" t="s">
        <v>1028</v>
      </c>
      <c r="E353" s="0" t="n">
        <v>1</v>
      </c>
      <c r="G353" s="30" t="str">
        <f aca="false">IF($C353="","",IFERROR(IF(INDEX(links!$A$2:$A$501,MATCH($C353,links!$D$2:$D$501,0))="","",INDEX(links!$A$2:$A$501,MATCH($C353,links!$D$2:$D$501,0))),""))</f>
        <v>SAMPLE-CMP-008</v>
      </c>
      <c r="H353" s="30" t="str">
        <f aca="false">IF($C353="","",IFERROR(IF(INDEX(links!$B$2:$B$501,MATCH($C353,links!$D$2:$D$501,0))="","",INDEX(links!$B$2:$B$501,MATCH($C353,links!$D$2:$D$501,0))),""))</f>
        <v>SAMPLE-O-009</v>
      </c>
      <c r="I353" s="30" t="str">
        <f aca="false">IF($C353="","",IFERROR(IF(INDEX(links!$C$2:$C$501,MATCH($C353,links!$D$2:$D$501,0))="","",INDEX(links!$C$2:$C$501,MATCH($C353,links!$D$2:$D$501,0))),""))</f>
        <v>post</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t="n">
        <v>46468</v>
      </c>
      <c r="B354" s="38" t="n">
        <v>0.729166666666667</v>
      </c>
      <c r="C354" s="10" t="s">
        <v>1167</v>
      </c>
      <c r="D354" s="10" t="s">
        <v>1028</v>
      </c>
      <c r="E354" s="0" t="n">
        <v>1</v>
      </c>
      <c r="G354" s="30" t="str">
        <f aca="false">IF($C354="","",IFERROR(IF(INDEX(links!$A$2:$A$501,MATCH($C354,links!$D$2:$D$501,0))="","",INDEX(links!$A$2:$A$501,MATCH($C354,links!$D$2:$D$501,0))),""))</f>
        <v>SAMPLE-CMP-008</v>
      </c>
      <c r="H354" s="30" t="str">
        <f aca="false">IF($C354="","",IFERROR(IF(INDEX(links!$B$2:$B$501,MATCH($C354,links!$D$2:$D$501,0))="","",INDEX(links!$B$2:$B$501,MATCH($C354,links!$D$2:$D$501,0))),""))</f>
        <v>SAMPLE-O-010</v>
      </c>
      <c r="I354" s="30" t="str">
        <f aca="false">IF($C354="","",IFERROR(IF(INDEX(links!$C$2:$C$501,MATCH($C354,links!$D$2:$D$501,0))="","",INDEX(links!$C$2:$C$501,MATCH($C354,links!$D$2:$D$501,0))),""))</f>
        <v>qr</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t="n">
        <v>46468</v>
      </c>
      <c r="B355" s="38" t="n">
        <v>0.729166666666667</v>
      </c>
      <c r="C355" s="10" t="s">
        <v>1168</v>
      </c>
      <c r="D355" s="10" t="s">
        <v>1028</v>
      </c>
      <c r="E355" s="0" t="n">
        <v>1</v>
      </c>
      <c r="G355" s="30" t="str">
        <f aca="false">IF($C355="","",IFERROR(IF(INDEX(links!$A$2:$A$501,MATCH($C355,links!$D$2:$D$501,0))="","",INDEX(links!$A$2:$A$501,MATCH($C355,links!$D$2:$D$501,0))),""))</f>
        <v>SAMPLE-CMP-008</v>
      </c>
      <c r="H355" s="30" t="str">
        <f aca="false">IF($C355="","",IFERROR(IF(INDEX(links!$B$2:$B$501,MATCH($C355,links!$D$2:$D$501,0))="","",INDEX(links!$B$2:$B$501,MATCH($C355,links!$D$2:$D$501,0))),""))</f>
        <v>SAMPLE-O-010</v>
      </c>
      <c r="I355" s="30" t="str">
        <f aca="false">IF($C355="","",IFERROR(IF(INDEX(links!$C$2:$C$501,MATCH($C355,links!$D$2:$D$501,0))="","",INDEX(links!$C$2:$C$501,MATCH($C355,links!$D$2:$D$501,0))),""))</f>
        <v>post</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358</v>
      </c>
      <c r="B1" s="28" t="s">
        <v>1169</v>
      </c>
      <c r="C1" s="28" t="s">
        <v>1170</v>
      </c>
      <c r="D1" s="28" t="s">
        <v>1171</v>
      </c>
      <c r="E1" s="28" t="s">
        <v>1172</v>
      </c>
      <c r="F1" s="28" t="s">
        <v>178</v>
      </c>
      <c r="G1" s="29" t="s">
        <v>1173</v>
      </c>
      <c r="H1" s="29" t="s">
        <v>1174</v>
      </c>
    </row>
    <row r="2" customFormat="false" ht="15" hidden="false" customHeight="false" outlineLevel="0" collapsed="false">
      <c r="A2" s="0" t="s">
        <v>472</v>
      </c>
      <c r="B2" s="11" t="n">
        <v>46408</v>
      </c>
      <c r="C2" s="0" t="n">
        <v>6</v>
      </c>
      <c r="D2" s="11" t="n">
        <v>46408</v>
      </c>
      <c r="E2" s="10" t="s">
        <v>1175</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498</v>
      </c>
      <c r="B3" s="11" t="n">
        <v>46408</v>
      </c>
      <c r="C3" s="0" t="n">
        <v>2</v>
      </c>
      <c r="D3" s="11" t="n">
        <v>46408</v>
      </c>
      <c r="E3" s="10" t="s">
        <v>1175</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472</v>
      </c>
      <c r="B4" s="11" t="n">
        <v>46429</v>
      </c>
      <c r="C4" s="0" t="n">
        <v>11</v>
      </c>
      <c r="D4" s="11" t="n">
        <v>46429</v>
      </c>
      <c r="E4" s="10" t="s">
        <v>1175</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498</v>
      </c>
      <c r="B5" s="11" t="n">
        <v>46430</v>
      </c>
      <c r="C5" s="0" t="n">
        <v>4</v>
      </c>
      <c r="D5" s="11" t="n">
        <v>46430</v>
      </c>
      <c r="E5" s="10" t="s">
        <v>1175</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516</v>
      </c>
      <c r="B6" s="11" t="n">
        <v>46436</v>
      </c>
      <c r="C6" s="0" t="n">
        <v>9</v>
      </c>
      <c r="D6" s="11" t="n">
        <v>46436</v>
      </c>
      <c r="E6" s="10" t="s">
        <v>1176</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532</v>
      </c>
      <c r="B7" s="11" t="n">
        <v>46436</v>
      </c>
      <c r="C7" s="0" t="n">
        <v>5</v>
      </c>
      <c r="D7" s="11" t="n">
        <v>46436</v>
      </c>
      <c r="E7" s="10" t="s">
        <v>1176</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549</v>
      </c>
      <c r="B8" s="11" t="n">
        <v>46436</v>
      </c>
      <c r="C8" s="0" t="n">
        <v>12</v>
      </c>
      <c r="D8" s="11" t="n">
        <v>46436</v>
      </c>
      <c r="E8" s="10" t="s">
        <v>1176</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A9" s="0" t="s">
        <v>516</v>
      </c>
      <c r="B9" s="11" t="n">
        <v>46457</v>
      </c>
      <c r="C9" s="0" t="n">
        <v>17</v>
      </c>
      <c r="D9" s="11" t="n">
        <v>46457</v>
      </c>
      <c r="E9" s="10" t="s">
        <v>1176</v>
      </c>
      <c r="G9" s="39" t="n">
        <f aca="false">IF(OR($A9="",$B9="",IFERROR(IF(INDEX(campaigns!$BG$2:$BG$51,MATCH($A9,campaigns!$A$2:$A$51,0))="","",INDEX(campaigns!$BG$2:$BG$51,MATCH($A9,campaigns!$A$2:$A$51,0))),"")=""),"",$B9-N(IFERROR(IF(INDEX(campaigns!$BG$2:$BG$51,MATCH($A9,campaigns!$A$2:$A$51,0))="","",INDEX(campaigns!$BG$2:$BG$51,MATCH($A9,campaigns!$A$2:$A$51,0))),"")))</f>
        <v>30</v>
      </c>
      <c r="H9" s="30" t="str">
        <f aca="false">IF($G9="","",IF($G9&gt;=30,"Y","N"))</f>
        <v>Y</v>
      </c>
    </row>
    <row r="10" customFormat="false" ht="15" hidden="false" customHeight="false" outlineLevel="0" collapsed="false">
      <c r="A10" s="0" t="s">
        <v>532</v>
      </c>
      <c r="B10" s="11" t="n">
        <v>46457</v>
      </c>
      <c r="C10" s="0" t="n">
        <v>8</v>
      </c>
      <c r="D10" s="11" t="n">
        <v>46457</v>
      </c>
      <c r="E10" s="10" t="s">
        <v>1176</v>
      </c>
      <c r="G10" s="39" t="n">
        <f aca="false">IF(OR($A10="",$B10="",IFERROR(IF(INDEX(campaigns!$BG$2:$BG$51,MATCH($A10,campaigns!$A$2:$A$51,0))="","",INDEX(campaigns!$BG$2:$BG$51,MATCH($A10,campaigns!$A$2:$A$51,0))),"")=""),"",$B10-N(IFERROR(IF(INDEX(campaigns!$BG$2:$BG$51,MATCH($A10,campaigns!$A$2:$A$51,0))="","",INDEX(campaigns!$BG$2:$BG$51,MATCH($A10,campaigns!$A$2:$A$51,0))),"")))</f>
        <v>30</v>
      </c>
      <c r="H10" s="30" t="str">
        <f aca="false">IF($G10="","",IF($G10&gt;=30,"Y","N"))</f>
        <v>Y</v>
      </c>
    </row>
    <row r="11" customFormat="false" ht="15" hidden="false" customHeight="false" outlineLevel="0" collapsed="false">
      <c r="A11" s="0" t="s">
        <v>549</v>
      </c>
      <c r="B11" s="11" t="n">
        <v>46457</v>
      </c>
      <c r="C11" s="0" t="n">
        <v>21</v>
      </c>
      <c r="D11" s="11" t="n">
        <v>46457</v>
      </c>
      <c r="E11" s="10" t="s">
        <v>1176</v>
      </c>
      <c r="G11" s="39" t="n">
        <f aca="false">IF(OR($A11="",$B11="",IFERROR(IF(INDEX(campaigns!$BG$2:$BG$51,MATCH($A11,campaigns!$A$2:$A$51,0))="","",INDEX(campaigns!$BG$2:$BG$51,MATCH($A11,campaigns!$A$2:$A$51,0))),"")=""),"",$B11-N(IFERROR(IF(INDEX(campaigns!$BG$2:$BG$51,MATCH($A11,campaigns!$A$2:$A$51,0))="","",INDEX(campaigns!$BG$2:$BG$51,MATCH($A11,campaigns!$A$2:$A$51,0))),"")))</f>
        <v>30</v>
      </c>
      <c r="H11" s="30" t="str">
        <f aca="false">IF($G11="","",IF($G11&gt;=30,"Y","N"))</f>
        <v>Y</v>
      </c>
    </row>
    <row r="12" customFormat="false" ht="15" hidden="false" customHeight="false" outlineLevel="0" collapsed="false">
      <c r="A12" s="0" t="s">
        <v>563</v>
      </c>
      <c r="B12" s="11" t="n">
        <v>46449</v>
      </c>
      <c r="C12" s="0" t="n">
        <v>7</v>
      </c>
      <c r="D12" s="11" t="n">
        <v>46449</v>
      </c>
      <c r="E12" s="10" t="s">
        <v>1175</v>
      </c>
      <c r="G12" s="39" t="n">
        <f aca="false">IF(OR($A12="",$B12="",IFERROR(IF(INDEX(campaigns!$BG$2:$BG$51,MATCH($A12,campaigns!$A$2:$A$51,0))="","",INDEX(campaigns!$BG$2:$BG$51,MATCH($A12,campaigns!$A$2:$A$51,0))),"")=""),"",$B12-N(IFERROR(IF(INDEX(campaigns!$BG$2:$BG$51,MATCH($A12,campaigns!$A$2:$A$51,0))="","",INDEX(campaigns!$BG$2:$BG$51,MATCH($A12,campaigns!$A$2:$A$51,0))),"")))</f>
        <v>8</v>
      </c>
      <c r="H12" s="30" t="str">
        <f aca="false">IF($G12="","",IF($G12&gt;=30,"Y","N"))</f>
        <v>N</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1177</v>
      </c>
      <c r="B1" s="28" t="s">
        <v>77</v>
      </c>
      <c r="C1" s="28" t="s">
        <v>766</v>
      </c>
      <c r="D1" s="28" t="s">
        <v>299</v>
      </c>
      <c r="E1" s="28" t="s">
        <v>358</v>
      </c>
      <c r="F1" s="28" t="s">
        <v>632</v>
      </c>
      <c r="G1" s="28" t="s">
        <v>1178</v>
      </c>
      <c r="H1" s="28" t="s">
        <v>1179</v>
      </c>
      <c r="I1" s="28" t="s">
        <v>1180</v>
      </c>
      <c r="J1" s="28" t="s">
        <v>1181</v>
      </c>
      <c r="K1" s="28" t="s">
        <v>1182</v>
      </c>
      <c r="L1" s="28" t="s">
        <v>1183</v>
      </c>
      <c r="M1" s="28" t="s">
        <v>178</v>
      </c>
      <c r="N1" s="29" t="s">
        <v>1184</v>
      </c>
      <c r="O1" s="29" t="s">
        <v>120</v>
      </c>
    </row>
    <row r="2" customFormat="false" ht="15" hidden="false" customHeight="false" outlineLevel="0" collapsed="false">
      <c r="A2" s="0" t="s">
        <v>1185</v>
      </c>
      <c r="B2" s="11" t="n">
        <v>46386</v>
      </c>
      <c r="C2" s="38" t="n">
        <v>0.479166666666667</v>
      </c>
      <c r="D2" s="10" t="s">
        <v>337</v>
      </c>
      <c r="E2" s="10" t="s">
        <v>498</v>
      </c>
      <c r="G2" s="10" t="s">
        <v>1186</v>
      </c>
      <c r="H2" s="10" t="s">
        <v>1187</v>
      </c>
      <c r="I2" s="10" t="s">
        <v>1188</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1189</v>
      </c>
      <c r="B3" s="11" t="n">
        <v>46399</v>
      </c>
      <c r="C3" s="38" t="n">
        <v>0.452777777777778</v>
      </c>
      <c r="D3" s="10" t="s">
        <v>337</v>
      </c>
      <c r="F3" s="10" t="s">
        <v>676</v>
      </c>
      <c r="G3" s="10" t="s">
        <v>1190</v>
      </c>
      <c r="H3" s="10" t="s">
        <v>1191</v>
      </c>
      <c r="I3" s="10" t="s">
        <v>1192</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1193</v>
      </c>
      <c r="B4" s="11" t="n">
        <v>46400</v>
      </c>
      <c r="C4" s="38" t="n">
        <v>0.708333333333333</v>
      </c>
      <c r="D4" s="10" t="s">
        <v>337</v>
      </c>
      <c r="E4" s="10" t="s">
        <v>472</v>
      </c>
      <c r="F4" s="10" t="s">
        <v>676</v>
      </c>
      <c r="G4" s="10" t="s">
        <v>1194</v>
      </c>
      <c r="H4" s="10" t="s">
        <v>1195</v>
      </c>
      <c r="I4" s="10" t="s">
        <v>1196</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1197</v>
      </c>
      <c r="B5" s="11" t="n">
        <v>46416</v>
      </c>
      <c r="C5" s="38" t="n">
        <v>0.604166666666667</v>
      </c>
      <c r="D5" s="10" t="s">
        <v>344</v>
      </c>
      <c r="E5" s="10" t="s">
        <v>516</v>
      </c>
      <c r="G5" s="10" t="s">
        <v>1198</v>
      </c>
      <c r="H5" s="10" t="s">
        <v>1199</v>
      </c>
      <c r="I5" s="10" t="s">
        <v>1200</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1201</v>
      </c>
      <c r="B6" s="11" t="n">
        <v>46395</v>
      </c>
      <c r="C6" s="38" t="n">
        <v>0.416666666666667</v>
      </c>
      <c r="D6" s="10" t="s">
        <v>344</v>
      </c>
      <c r="E6" s="10" t="s">
        <v>532</v>
      </c>
      <c r="F6" s="10" t="s">
        <v>682</v>
      </c>
      <c r="G6" s="10" t="s">
        <v>1202</v>
      </c>
      <c r="H6" s="10" t="s">
        <v>1203</v>
      </c>
      <c r="I6" s="10" t="s">
        <v>1204</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1205</v>
      </c>
      <c r="B7" s="11" t="n">
        <v>46427</v>
      </c>
      <c r="C7" s="38" t="n">
        <v>0.460416666666667</v>
      </c>
      <c r="D7" s="10" t="s">
        <v>344</v>
      </c>
      <c r="F7" s="10" t="s">
        <v>686</v>
      </c>
      <c r="G7" s="10" t="s">
        <v>1190</v>
      </c>
      <c r="H7" s="10" t="s">
        <v>1206</v>
      </c>
      <c r="I7" s="10" t="s">
        <v>1207</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1208</v>
      </c>
      <c r="B8" s="11" t="n">
        <v>46430</v>
      </c>
      <c r="C8" s="38" t="n">
        <v>0.604166666666667</v>
      </c>
      <c r="D8" s="10" t="s">
        <v>349</v>
      </c>
      <c r="E8" s="10" t="s">
        <v>563</v>
      </c>
      <c r="G8" s="10" t="s">
        <v>1198</v>
      </c>
      <c r="H8" s="10" t="s">
        <v>1209</v>
      </c>
      <c r="I8" s="10" t="s">
        <v>1210</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A9" s="0" t="s">
        <v>1211</v>
      </c>
      <c r="B9" s="11" t="n">
        <v>46441</v>
      </c>
      <c r="C9" s="38" t="n">
        <v>0.349305555555556</v>
      </c>
      <c r="D9" s="10" t="s">
        <v>349</v>
      </c>
      <c r="E9" s="10" t="s">
        <v>563</v>
      </c>
      <c r="F9" s="10" t="s">
        <v>680</v>
      </c>
      <c r="G9" s="10" t="s">
        <v>1212</v>
      </c>
      <c r="H9" s="10" t="s">
        <v>1213</v>
      </c>
      <c r="I9" s="10" t="s">
        <v>1214</v>
      </c>
      <c r="J9" s="11" t="n">
        <v>46442</v>
      </c>
      <c r="K9" s="11" t="n">
        <v>46441</v>
      </c>
      <c r="L9" s="11" t="n">
        <v>46442</v>
      </c>
      <c r="N9" s="30" t="n">
        <f aca="true">IF($B9="","",IF($L9="",IF(config!$B$37&lt;&gt;"",config!$B$37,TODAY())-$B9,$L9-$B9))</f>
        <v>1</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358</v>
      </c>
      <c r="D1" s="28" t="s">
        <v>123</v>
      </c>
      <c r="E1" s="28" t="s">
        <v>331</v>
      </c>
      <c r="F1" s="28" t="s">
        <v>178</v>
      </c>
      <c r="G1" s="29" t="s">
        <v>120</v>
      </c>
    </row>
    <row r="2" customFormat="false" ht="15" hidden="false" customHeight="false" outlineLevel="0" collapsed="false">
      <c r="A2" s="11" t="n">
        <v>46322</v>
      </c>
      <c r="D2" s="10" t="s">
        <v>127</v>
      </c>
      <c r="E2" s="12" t="n">
        <v>1.5</v>
      </c>
      <c r="F2" s="10" t="s">
        <v>1215</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1215</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1215</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1215</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1215</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1215</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1215</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1215</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1215</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1215</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472</v>
      </c>
      <c r="D12" s="10" t="s">
        <v>126</v>
      </c>
      <c r="E12" s="12" t="n">
        <v>2</v>
      </c>
      <c r="F12" s="10" t="s">
        <v>1216</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498</v>
      </c>
      <c r="D13" s="10" t="s">
        <v>126</v>
      </c>
      <c r="E13" s="12" t="n">
        <v>2</v>
      </c>
      <c r="F13" s="10" t="s">
        <v>1216</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472</v>
      </c>
      <c r="D14" s="10" t="s">
        <v>126</v>
      </c>
      <c r="E14" s="12" t="n">
        <v>2</v>
      </c>
      <c r="F14" s="10" t="s">
        <v>1216</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498</v>
      </c>
      <c r="D15" s="10" t="s">
        <v>126</v>
      </c>
      <c r="E15" s="12" t="n">
        <v>2</v>
      </c>
      <c r="F15" s="10" t="s">
        <v>1216</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472</v>
      </c>
      <c r="D16" s="10" t="s">
        <v>126</v>
      </c>
      <c r="E16" s="12" t="n">
        <v>2</v>
      </c>
      <c r="F16" s="10" t="s">
        <v>1216</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498</v>
      </c>
      <c r="D17" s="10" t="s">
        <v>126</v>
      </c>
      <c r="E17" s="12" t="n">
        <v>2</v>
      </c>
      <c r="F17" s="10" t="s">
        <v>1216</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472</v>
      </c>
      <c r="D18" s="10" t="s">
        <v>126</v>
      </c>
      <c r="E18" s="12" t="n">
        <v>2</v>
      </c>
      <c r="F18" s="10" t="s">
        <v>1216</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498</v>
      </c>
      <c r="D19" s="10" t="s">
        <v>126</v>
      </c>
      <c r="E19" s="12" t="n">
        <v>2</v>
      </c>
      <c r="F19" s="10" t="s">
        <v>1216</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472</v>
      </c>
      <c r="D20" s="10" t="s">
        <v>126</v>
      </c>
      <c r="E20" s="12" t="n">
        <v>2</v>
      </c>
      <c r="F20" s="10" t="s">
        <v>1216</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498</v>
      </c>
      <c r="D21" s="10" t="s">
        <v>126</v>
      </c>
      <c r="E21" s="12" t="n">
        <v>2</v>
      </c>
      <c r="F21" s="10" t="s">
        <v>1216</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1217</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1217</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1217</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1217</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1217</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1218</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1219</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1220</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1221</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1222</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1223</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472</v>
      </c>
      <c r="D33" s="10" t="s">
        <v>131</v>
      </c>
      <c r="E33" s="12" t="n">
        <v>1.5</v>
      </c>
      <c r="F33" s="10" t="s">
        <v>1224</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498</v>
      </c>
      <c r="D34" s="10" t="s">
        <v>131</v>
      </c>
      <c r="E34" s="12" t="n">
        <v>1.5</v>
      </c>
      <c r="F34" s="10" t="s">
        <v>1224</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472</v>
      </c>
      <c r="D35" s="10" t="s">
        <v>131</v>
      </c>
      <c r="E35" s="12" t="n">
        <v>0.5</v>
      </c>
      <c r="F35" s="10" t="s">
        <v>1225</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498</v>
      </c>
      <c r="D36" s="10" t="s">
        <v>131</v>
      </c>
      <c r="E36" s="12" t="n">
        <v>0.5</v>
      </c>
      <c r="F36" s="10" t="s">
        <v>1225</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1226</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1227</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516</v>
      </c>
      <c r="D39" s="10" t="s">
        <v>126</v>
      </c>
      <c r="E39" s="12" t="n">
        <v>2</v>
      </c>
      <c r="F39" s="10" t="s">
        <v>1228</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516</v>
      </c>
      <c r="D40" s="10" t="s">
        <v>126</v>
      </c>
      <c r="E40" s="12" t="n">
        <v>2</v>
      </c>
      <c r="F40" s="10" t="s">
        <v>1228</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516</v>
      </c>
      <c r="D41" s="10" t="s">
        <v>126</v>
      </c>
      <c r="E41" s="12" t="n">
        <v>2</v>
      </c>
      <c r="F41" s="10" t="s">
        <v>1228</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516</v>
      </c>
      <c r="D42" s="10" t="s">
        <v>131</v>
      </c>
      <c r="E42" s="12" t="n">
        <v>1.5</v>
      </c>
      <c r="F42" s="10" t="s">
        <v>1224</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516</v>
      </c>
      <c r="D43" s="10" t="s">
        <v>131</v>
      </c>
      <c r="E43" s="12" t="n">
        <v>0.5</v>
      </c>
      <c r="F43" s="10" t="s">
        <v>1229</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532</v>
      </c>
      <c r="D44" s="10" t="s">
        <v>126</v>
      </c>
      <c r="E44" s="12" t="n">
        <v>2</v>
      </c>
      <c r="F44" s="10" t="s">
        <v>1228</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532</v>
      </c>
      <c r="D45" s="10" t="s">
        <v>126</v>
      </c>
      <c r="E45" s="12" t="n">
        <v>2</v>
      </c>
      <c r="F45" s="10" t="s">
        <v>1228</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532</v>
      </c>
      <c r="D46" s="10" t="s">
        <v>126</v>
      </c>
      <c r="E46" s="12" t="n">
        <v>2</v>
      </c>
      <c r="F46" s="10" t="s">
        <v>1228</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532</v>
      </c>
      <c r="D47" s="10" t="s">
        <v>131</v>
      </c>
      <c r="E47" s="12" t="n">
        <v>1.5</v>
      </c>
      <c r="F47" s="10" t="s">
        <v>1224</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532</v>
      </c>
      <c r="D48" s="10" t="s">
        <v>131</v>
      </c>
      <c r="E48" s="12" t="n">
        <v>0.5</v>
      </c>
      <c r="F48" s="10" t="s">
        <v>1229</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549</v>
      </c>
      <c r="D49" s="10" t="s">
        <v>126</v>
      </c>
      <c r="E49" s="12" t="n">
        <v>2</v>
      </c>
      <c r="F49" s="10" t="s">
        <v>1228</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549</v>
      </c>
      <c r="D50" s="10" t="s">
        <v>126</v>
      </c>
      <c r="E50" s="12" t="n">
        <v>2</v>
      </c>
      <c r="F50" s="10" t="s">
        <v>1228</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549</v>
      </c>
      <c r="D51" s="10" t="s">
        <v>126</v>
      </c>
      <c r="E51" s="12" t="n">
        <v>2</v>
      </c>
      <c r="F51" s="10" t="s">
        <v>1228</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549</v>
      </c>
      <c r="D52" s="10" t="s">
        <v>131</v>
      </c>
      <c r="E52" s="12" t="n">
        <v>1.5</v>
      </c>
      <c r="F52" s="10" t="s">
        <v>1224</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549</v>
      </c>
      <c r="D53" s="10" t="s">
        <v>131</v>
      </c>
      <c r="E53" s="12" t="n">
        <v>0.5</v>
      </c>
      <c r="F53" s="10" t="s">
        <v>1229</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1230</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1230</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1230</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1230</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1230</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1231</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1231</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1232</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1233</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46412</v>
      </c>
      <c r="B70" s="10" t="s">
        <v>349</v>
      </c>
      <c r="C70" s="10" t="s">
        <v>563</v>
      </c>
      <c r="D70" s="10" t="s">
        <v>126</v>
      </c>
      <c r="E70" s="12" t="n">
        <v>2</v>
      </c>
      <c r="F70" s="10" t="s">
        <v>1228</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46407</v>
      </c>
      <c r="B71" s="10" t="s">
        <v>349</v>
      </c>
      <c r="C71" s="10" t="s">
        <v>563</v>
      </c>
      <c r="D71" s="10" t="s">
        <v>126</v>
      </c>
      <c r="E71" s="12" t="n">
        <v>2</v>
      </c>
      <c r="F71" s="10" t="s">
        <v>1228</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46401</v>
      </c>
      <c r="B72" s="10" t="s">
        <v>349</v>
      </c>
      <c r="C72" s="10" t="s">
        <v>563</v>
      </c>
      <c r="D72" s="10" t="s">
        <v>126</v>
      </c>
      <c r="E72" s="12" t="n">
        <v>2</v>
      </c>
      <c r="F72" s="10" t="s">
        <v>1228</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t="n">
        <v>46413</v>
      </c>
      <c r="B73" s="10" t="s">
        <v>349</v>
      </c>
      <c r="D73" s="10" t="s">
        <v>127</v>
      </c>
      <c r="E73" s="12" t="n">
        <v>1.5</v>
      </c>
      <c r="F73" s="10" t="s">
        <v>1234</v>
      </c>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t="n">
        <v>46430</v>
      </c>
      <c r="B74" s="10" t="s">
        <v>349</v>
      </c>
      <c r="D74" s="10" t="s">
        <v>128</v>
      </c>
      <c r="E74" s="12" t="n">
        <v>1.5</v>
      </c>
      <c r="F74" s="10" t="s">
        <v>1235</v>
      </c>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t="n">
        <v>46440</v>
      </c>
      <c r="B75" s="10" t="s">
        <v>349</v>
      </c>
      <c r="D75" s="10" t="s">
        <v>128</v>
      </c>
      <c r="E75" s="12" t="n">
        <v>1.5</v>
      </c>
      <c r="F75" s="10" t="s">
        <v>1220</v>
      </c>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t="n">
        <v>46441</v>
      </c>
      <c r="B76" s="10" t="s">
        <v>349</v>
      </c>
      <c r="D76" s="10" t="s">
        <v>129</v>
      </c>
      <c r="E76" s="12" t="n">
        <v>4</v>
      </c>
      <c r="F76" s="10" t="s">
        <v>1236</v>
      </c>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t="n">
        <v>46443</v>
      </c>
      <c r="B77" s="10" t="s">
        <v>349</v>
      </c>
      <c r="D77" s="10" t="s">
        <v>130</v>
      </c>
      <c r="E77" s="12" t="n">
        <v>1.5</v>
      </c>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t="n">
        <v>46447</v>
      </c>
      <c r="B78" s="10" t="s">
        <v>349</v>
      </c>
      <c r="D78" s="10" t="s">
        <v>130</v>
      </c>
      <c r="E78" s="12" t="n">
        <v>1.5</v>
      </c>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t="n">
        <v>46450</v>
      </c>
      <c r="B79" s="10" t="s">
        <v>349</v>
      </c>
      <c r="C79" s="10" t="s">
        <v>563</v>
      </c>
      <c r="D79" s="10" t="s">
        <v>131</v>
      </c>
      <c r="E79" s="12" t="n">
        <v>1.5</v>
      </c>
      <c r="F79" s="10" t="s">
        <v>1224</v>
      </c>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t="n">
        <v>46455</v>
      </c>
      <c r="B80" s="10" t="s">
        <v>349</v>
      </c>
      <c r="C80" s="10" t="s">
        <v>563</v>
      </c>
      <c r="D80" s="10" t="s">
        <v>131</v>
      </c>
      <c r="E80" s="12" t="n">
        <v>0.5</v>
      </c>
      <c r="F80" s="10" t="s">
        <v>1237</v>
      </c>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t="n">
        <v>46442</v>
      </c>
      <c r="B81" s="10" t="s">
        <v>349</v>
      </c>
      <c r="D81" s="10" t="s">
        <v>132</v>
      </c>
      <c r="E81" s="12" t="n">
        <v>1</v>
      </c>
      <c r="F81" s="10" t="s">
        <v>1238</v>
      </c>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t="n">
        <v>46440</v>
      </c>
      <c r="B82" s="10" t="s">
        <v>353</v>
      </c>
      <c r="C82" s="10" t="s">
        <v>576</v>
      </c>
      <c r="D82" s="10" t="s">
        <v>126</v>
      </c>
      <c r="E82" s="12" t="n">
        <v>2</v>
      </c>
      <c r="F82" s="10" t="s">
        <v>1239</v>
      </c>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t="n">
        <v>46440</v>
      </c>
      <c r="B83" s="10" t="s">
        <v>353</v>
      </c>
      <c r="C83" s="10" t="s">
        <v>579</v>
      </c>
      <c r="D83" s="10" t="s">
        <v>126</v>
      </c>
      <c r="E83" s="12" t="n">
        <v>2</v>
      </c>
      <c r="F83" s="10" t="s">
        <v>1239</v>
      </c>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t="n">
        <v>46443</v>
      </c>
      <c r="B84" s="10" t="s">
        <v>353</v>
      </c>
      <c r="D84" s="10" t="s">
        <v>127</v>
      </c>
      <c r="E84" s="12" t="n">
        <v>1.5</v>
      </c>
      <c r="F84" s="10" t="s">
        <v>1234</v>
      </c>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t="n">
        <v>46462</v>
      </c>
      <c r="B85" s="10" t="s">
        <v>353</v>
      </c>
      <c r="D85" s="10" t="s">
        <v>128</v>
      </c>
      <c r="E85" s="12" t="n">
        <v>1</v>
      </c>
      <c r="F85" s="10" t="s">
        <v>1240</v>
      </c>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t="n">
        <v>46464</v>
      </c>
      <c r="B86" s="10" t="s">
        <v>353</v>
      </c>
      <c r="D86" s="10" t="s">
        <v>128</v>
      </c>
      <c r="E86" s="12" t="n">
        <v>1.5</v>
      </c>
      <c r="F86" s="10" t="s">
        <v>1241</v>
      </c>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358</v>
      </c>
      <c r="D1" s="28" t="s">
        <v>1242</v>
      </c>
      <c r="E1" s="28" t="s">
        <v>1243</v>
      </c>
      <c r="F1" s="28" t="s">
        <v>1244</v>
      </c>
      <c r="G1" s="28" t="s">
        <v>1245</v>
      </c>
      <c r="H1" s="28" t="s">
        <v>178</v>
      </c>
      <c r="I1" s="29" t="s">
        <v>120</v>
      </c>
    </row>
    <row r="2" customFormat="false" ht="15" hidden="false" customHeight="false" outlineLevel="0" collapsed="false">
      <c r="A2" s="11" t="n">
        <v>46394</v>
      </c>
      <c r="B2" s="10" t="s">
        <v>337</v>
      </c>
      <c r="C2" s="10" t="s">
        <v>472</v>
      </c>
      <c r="D2" s="10" t="s">
        <v>1246</v>
      </c>
      <c r="E2" s="12" t="n">
        <v>40</v>
      </c>
      <c r="F2" s="10" t="s">
        <v>1247</v>
      </c>
      <c r="H2" s="10" t="s">
        <v>1248</v>
      </c>
      <c r="I2" s="30" t="str">
        <f aca="false">IF($A2="","",IF(COUNTIF(drops!$A$2:$A$21,$B2)=0,"drop_id not on drops; ","")&amp;IF(N($E2)&lt;=0,"amount?; ","")&amp;IF($D2="","cost type?; ",""))</f>
        <v/>
      </c>
    </row>
    <row r="3" customFormat="false" ht="15" hidden="false" customHeight="false" outlineLevel="0" collapsed="false">
      <c r="A3" s="11" t="n">
        <v>46394</v>
      </c>
      <c r="B3" s="10" t="s">
        <v>337</v>
      </c>
      <c r="C3" s="10" t="s">
        <v>498</v>
      </c>
      <c r="D3" s="10" t="s">
        <v>1246</v>
      </c>
      <c r="E3" s="12" t="n">
        <v>40</v>
      </c>
      <c r="F3" s="10" t="s">
        <v>1247</v>
      </c>
      <c r="H3" s="10" t="s">
        <v>1248</v>
      </c>
      <c r="I3" s="30" t="str">
        <f aca="false">IF($A3="","",IF(COUNTIF(drops!$A$2:$A$21,$B3)=0,"drop_id not on drops; ","")&amp;IF(N($E3)&lt;=0,"amount?; ","")&amp;IF($D3="","cost type?; ",""))</f>
        <v/>
      </c>
    </row>
    <row r="4" customFormat="false" ht="15" hidden="false" customHeight="false" outlineLevel="0" collapsed="false">
      <c r="A4" s="11" t="n">
        <v>46399</v>
      </c>
      <c r="B4" s="10" t="s">
        <v>337</v>
      </c>
      <c r="D4" s="10" t="s">
        <v>1249</v>
      </c>
      <c r="E4" s="12" t="n">
        <v>34</v>
      </c>
      <c r="F4" s="10" t="s">
        <v>1250</v>
      </c>
      <c r="H4" s="10" t="s">
        <v>1251</v>
      </c>
      <c r="I4" s="30" t="str">
        <f aca="false">IF($A4="","",IF(COUNTIF(drops!$A$2:$A$21,$B4)=0,"drop_id not on drops; ","")&amp;IF(N($E4)&lt;=0,"amount?; ","")&amp;IF($D4="","cost type?; ",""))</f>
        <v/>
      </c>
    </row>
    <row r="5" customFormat="false" ht="15" hidden="false" customHeight="false" outlineLevel="0" collapsed="false">
      <c r="A5" s="11" t="n">
        <v>46399</v>
      </c>
      <c r="B5" s="10" t="s">
        <v>337</v>
      </c>
      <c r="D5" s="10" t="s">
        <v>1249</v>
      </c>
      <c r="E5" s="12" t="n">
        <v>29</v>
      </c>
      <c r="F5" s="10" t="s">
        <v>1250</v>
      </c>
      <c r="H5" s="10" t="s">
        <v>1252</v>
      </c>
      <c r="I5" s="30" t="str">
        <f aca="false">IF($A5="","",IF(COUNTIF(drops!$A$2:$A$21,$B5)=0,"drop_id not on drops; ","")&amp;IF(N($E5)&lt;=0,"amount?; ","")&amp;IF($D5="","cost type?; ",""))</f>
        <v/>
      </c>
    </row>
    <row r="6" customFormat="false" ht="15" hidden="false" customHeight="false" outlineLevel="0" collapsed="false">
      <c r="A6" s="11" t="n">
        <v>46394</v>
      </c>
      <c r="B6" s="10" t="s">
        <v>337</v>
      </c>
      <c r="D6" s="10" t="s">
        <v>1253</v>
      </c>
      <c r="E6" s="12" t="n">
        <v>9</v>
      </c>
      <c r="F6" s="10" t="s">
        <v>1254</v>
      </c>
      <c r="H6" s="10" t="s">
        <v>1255</v>
      </c>
      <c r="I6" s="30" t="str">
        <f aca="false">IF($A6="","",IF(COUNTIF(drops!$A$2:$A$21,$B6)=0,"drop_id not on drops; ","")&amp;IF(N($E6)&lt;=0,"amount?; ","")&amp;IF($D6="","cost type?; ",""))</f>
        <v/>
      </c>
    </row>
    <row r="7" customFormat="false" ht="15" hidden="false" customHeight="false" outlineLevel="0" collapsed="false">
      <c r="A7" s="11" t="n">
        <v>46422</v>
      </c>
      <c r="B7" s="10" t="s">
        <v>344</v>
      </c>
      <c r="C7" s="10" t="s">
        <v>516</v>
      </c>
      <c r="D7" s="10" t="s">
        <v>1246</v>
      </c>
      <c r="E7" s="12" t="n">
        <v>80</v>
      </c>
      <c r="F7" s="10" t="s">
        <v>1247</v>
      </c>
      <c r="I7" s="30" t="str">
        <f aca="false">IF($A7="","",IF(COUNTIF(drops!$A$2:$A$21,$B7)=0,"drop_id not on drops; ","")&amp;IF(N($E7)&lt;=0,"amount?; ","")&amp;IF($D7="","cost type?; ",""))</f>
        <v/>
      </c>
    </row>
    <row r="8" customFormat="false" ht="15" hidden="false" customHeight="false" outlineLevel="0" collapsed="false">
      <c r="A8" s="11" t="n">
        <v>46422</v>
      </c>
      <c r="B8" s="10" t="s">
        <v>344</v>
      </c>
      <c r="C8" s="10" t="s">
        <v>532</v>
      </c>
      <c r="D8" s="10" t="s">
        <v>1246</v>
      </c>
      <c r="E8" s="12" t="n">
        <v>72</v>
      </c>
      <c r="F8" s="10" t="s">
        <v>1247</v>
      </c>
      <c r="I8" s="30" t="str">
        <f aca="false">IF($A8="","",IF(COUNTIF(drops!$A$2:$A$21,$B8)=0,"drop_id not on drops; ","")&amp;IF(N($E8)&lt;=0,"amount?; ","")&amp;IF($D8="","cost type?; ",""))</f>
        <v/>
      </c>
    </row>
    <row r="9" customFormat="false" ht="15" hidden="false" customHeight="false" outlineLevel="0" collapsed="false">
      <c r="A9" s="11" t="n">
        <v>46422</v>
      </c>
      <c r="B9" s="10" t="s">
        <v>344</v>
      </c>
      <c r="C9" s="10" t="s">
        <v>549</v>
      </c>
      <c r="D9" s="10" t="s">
        <v>1246</v>
      </c>
      <c r="E9" s="12" t="n">
        <v>80</v>
      </c>
      <c r="F9" s="10" t="s">
        <v>1247</v>
      </c>
      <c r="I9" s="30" t="str">
        <f aca="false">IF($A9="","",IF(COUNTIF(drops!$A$2:$A$21,$B9)=0,"drop_id not on drops; ","")&amp;IF(N($E9)&lt;=0,"amount?; ","")&amp;IF($D9="","cost type?; ",""))</f>
        <v/>
      </c>
    </row>
    <row r="10" customFormat="false" ht="15" hidden="false" customHeight="false" outlineLevel="0" collapsed="false">
      <c r="A10" s="11" t="n">
        <v>46427</v>
      </c>
      <c r="B10" s="10" t="s">
        <v>344</v>
      </c>
      <c r="D10" s="10" t="s">
        <v>1249</v>
      </c>
      <c r="E10" s="12" t="n">
        <v>320</v>
      </c>
      <c r="F10" s="10" t="s">
        <v>1256</v>
      </c>
      <c r="H10" s="10" t="s">
        <v>1257</v>
      </c>
      <c r="I10" s="30" t="str">
        <f aca="false">IF($A10="","",IF(COUNTIF(drops!$A$2:$A$21,$B10)=0,"drop_id not on drops; ","")&amp;IF(N($E10)&lt;=0,"amount?; ","")&amp;IF($D10="","cost type?; ",""))</f>
        <v/>
      </c>
    </row>
    <row r="11" customFormat="false" ht="15" hidden="false" customHeight="false" outlineLevel="0" collapsed="false">
      <c r="A11" s="11" t="n">
        <v>46427</v>
      </c>
      <c r="B11" s="10" t="s">
        <v>344</v>
      </c>
      <c r="D11" s="10" t="s">
        <v>1249</v>
      </c>
      <c r="E11" s="12" t="n">
        <v>38</v>
      </c>
      <c r="F11" s="10" t="s">
        <v>1250</v>
      </c>
      <c r="H11" s="10" t="s">
        <v>1258</v>
      </c>
      <c r="I11" s="30" t="str">
        <f aca="false">IF($A11="","",IF(COUNTIF(drops!$A$2:$A$21,$B11)=0,"drop_id not on drops; ","")&amp;IF(N($E11)&lt;=0,"amount?; ","")&amp;IF($D11="","cost type?; ",""))</f>
        <v/>
      </c>
    </row>
    <row r="12" customFormat="false" ht="15" hidden="false" customHeight="false" outlineLevel="0" collapsed="false">
      <c r="A12" s="11" t="n">
        <v>46436</v>
      </c>
      <c r="B12" s="10" t="s">
        <v>349</v>
      </c>
      <c r="C12" s="10" t="s">
        <v>563</v>
      </c>
      <c r="D12" s="10" t="s">
        <v>1246</v>
      </c>
      <c r="E12" s="12" t="n">
        <v>80</v>
      </c>
      <c r="F12" s="10" t="s">
        <v>1247</v>
      </c>
      <c r="I12" s="30" t="str">
        <f aca="false">IF($A12="","",IF(COUNTIF(drops!$A$2:$A$21,$B12)=0,"drop_id not on drops; ","")&amp;IF(N($E12)&lt;=0,"amount?; ","")&amp;IF($D12="","cost type?; ",""))</f>
        <v/>
      </c>
    </row>
    <row r="13" customFormat="false" ht="15" hidden="false" customHeight="false" outlineLevel="0" collapsed="false">
      <c r="A13" s="11" t="n">
        <v>46441</v>
      </c>
      <c r="B13" s="10" t="s">
        <v>349</v>
      </c>
      <c r="D13" s="10" t="s">
        <v>1249</v>
      </c>
      <c r="E13" s="12" t="n">
        <v>300</v>
      </c>
      <c r="F13" s="10" t="s">
        <v>1256</v>
      </c>
      <c r="H13" s="10" t="s">
        <v>1259</v>
      </c>
      <c r="I13" s="30" t="str">
        <f aca="false">IF($A13="","",IF(COUNTIF(drops!$A$2:$A$21,$B13)=0,"drop_id not on drops; ","")&amp;IF(N($E13)&lt;=0,"amount?; ","")&amp;IF($D13="","cost type?; ",""))</f>
        <v/>
      </c>
    </row>
    <row r="14" customFormat="false" ht="15" hidden="false" customHeight="false" outlineLevel="0" collapsed="false">
      <c r="A14" s="11" t="n">
        <v>46464</v>
      </c>
      <c r="B14" s="10" t="s">
        <v>353</v>
      </c>
      <c r="C14" s="10" t="s">
        <v>576</v>
      </c>
      <c r="D14" s="10" t="s">
        <v>1246</v>
      </c>
      <c r="E14" s="12" t="n">
        <v>80</v>
      </c>
      <c r="F14" s="10" t="s">
        <v>1247</v>
      </c>
      <c r="I14" s="30" t="str">
        <f aca="false">IF($A14="","",IF(COUNTIF(drops!$A$2:$A$21,$B14)=0,"drop_id not on drops; ","")&amp;IF(N($E14)&lt;=0,"amount?; ","")&amp;IF($D14="","cost type?; ",""))</f>
        <v/>
      </c>
    </row>
    <row r="15" customFormat="false" ht="15" hidden="false" customHeight="false" outlineLevel="0" collapsed="false">
      <c r="A15" s="11" t="n">
        <v>46464</v>
      </c>
      <c r="B15" s="10" t="s">
        <v>353</v>
      </c>
      <c r="C15" s="10" t="s">
        <v>579</v>
      </c>
      <c r="D15" s="10" t="s">
        <v>1246</v>
      </c>
      <c r="E15" s="12" t="n">
        <v>80</v>
      </c>
      <c r="F15" s="10" t="s">
        <v>1247</v>
      </c>
      <c r="I15" s="30" t="str">
        <f aca="false">IF($A15="","",IF(COUNTIF(drops!$A$2:$A$21,$B15)=0,"drop_id not on drops; ","")&amp;IF(N($E15)&lt;=0,"amount?; ","")&amp;IF($D15="","cost type?; ",""))</f>
        <v/>
      </c>
    </row>
    <row r="16" customFormat="false" ht="15" hidden="false" customHeight="false" outlineLevel="0" collapsed="false">
      <c r="A16" s="11" t="n">
        <v>46464</v>
      </c>
      <c r="B16" s="10" t="s">
        <v>353</v>
      </c>
      <c r="D16" s="10" t="s">
        <v>1253</v>
      </c>
      <c r="E16" s="12" t="n">
        <v>45</v>
      </c>
      <c r="F16" s="10" t="s">
        <v>1260</v>
      </c>
      <c r="H16" s="10" t="s">
        <v>1261</v>
      </c>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1262</v>
      </c>
      <c r="B1" s="28" t="s">
        <v>358</v>
      </c>
      <c r="C1" s="28" t="s">
        <v>1263</v>
      </c>
      <c r="D1" s="28" t="s">
        <v>1264</v>
      </c>
      <c r="E1" s="28" t="s">
        <v>1243</v>
      </c>
      <c r="F1" s="28" t="s">
        <v>1265</v>
      </c>
      <c r="G1" s="28" t="s">
        <v>1266</v>
      </c>
      <c r="H1" s="28" t="s">
        <v>1267</v>
      </c>
      <c r="I1" s="28" t="s">
        <v>1268</v>
      </c>
      <c r="J1" s="28" t="s">
        <v>1269</v>
      </c>
      <c r="K1" s="28" t="s">
        <v>1270</v>
      </c>
      <c r="L1" s="28" t="s">
        <v>460</v>
      </c>
      <c r="M1" s="28" t="s">
        <v>178</v>
      </c>
      <c r="N1" s="29" t="s">
        <v>411</v>
      </c>
      <c r="O1" s="29" t="s">
        <v>1271</v>
      </c>
      <c r="P1" s="29" t="s">
        <v>1272</v>
      </c>
      <c r="Q1" s="29" t="s">
        <v>79</v>
      </c>
      <c r="R1" s="29" t="s">
        <v>1273</v>
      </c>
      <c r="S1" s="29" t="s">
        <v>120</v>
      </c>
    </row>
    <row r="2" customFormat="false" ht="15" hidden="false" customHeight="false" outlineLevel="0" collapsed="false">
      <c r="A2" s="0" t="s">
        <v>1274</v>
      </c>
      <c r="B2" s="0" t="s">
        <v>472</v>
      </c>
      <c r="C2" s="10" t="s">
        <v>1275</v>
      </c>
      <c r="D2" s="11" t="n">
        <v>46363</v>
      </c>
      <c r="E2" s="12" t="n">
        <v>600</v>
      </c>
      <c r="F2" s="12" t="n">
        <v>0</v>
      </c>
      <c r="G2" s="10" t="s">
        <v>614</v>
      </c>
      <c r="H2" s="11" t="n">
        <v>46366</v>
      </c>
      <c r="I2" s="12" t="n">
        <v>600</v>
      </c>
      <c r="J2" s="10" t="s">
        <v>1276</v>
      </c>
      <c r="K2" s="10" t="s">
        <v>1277</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1278</v>
      </c>
      <c r="B3" s="0" t="s">
        <v>498</v>
      </c>
      <c r="C3" s="10" t="s">
        <v>1275</v>
      </c>
      <c r="D3" s="11" t="n">
        <v>46364</v>
      </c>
      <c r="E3" s="12" t="n">
        <v>600</v>
      </c>
      <c r="F3" s="12" t="n">
        <v>0</v>
      </c>
      <c r="G3" s="10" t="s">
        <v>619</v>
      </c>
      <c r="H3" s="11" t="n">
        <v>46367</v>
      </c>
      <c r="I3" s="12" t="n">
        <v>600</v>
      </c>
      <c r="J3" s="10" t="s">
        <v>1276</v>
      </c>
      <c r="K3" s="10" t="s">
        <v>1279</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1280</v>
      </c>
      <c r="B4" s="0" t="s">
        <v>472</v>
      </c>
      <c r="C4" s="10" t="s">
        <v>1281</v>
      </c>
      <c r="D4" s="11" t="n">
        <v>46400</v>
      </c>
      <c r="E4" s="12" t="n">
        <v>-120</v>
      </c>
      <c r="F4" s="12" t="n">
        <v>0</v>
      </c>
      <c r="G4" s="10" t="s">
        <v>614</v>
      </c>
      <c r="H4" s="11" t="n">
        <v>46402</v>
      </c>
      <c r="I4" s="12" t="n">
        <v>-120</v>
      </c>
      <c r="J4" s="10" t="s">
        <v>1276</v>
      </c>
      <c r="K4" s="10" t="s">
        <v>1282</v>
      </c>
      <c r="L4" s="12" t="n">
        <v>0</v>
      </c>
      <c r="M4" s="10" t="s">
        <v>1283</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1284</v>
      </c>
      <c r="B5" s="0" t="s">
        <v>516</v>
      </c>
      <c r="C5" s="10" t="s">
        <v>1285</v>
      </c>
      <c r="D5" s="11" t="n">
        <v>46391</v>
      </c>
      <c r="E5" s="12" t="n">
        <v>750</v>
      </c>
      <c r="F5" s="12" t="n">
        <v>0</v>
      </c>
      <c r="G5" s="10" t="s">
        <v>1286</v>
      </c>
      <c r="H5" s="11" t="n">
        <v>46394</v>
      </c>
      <c r="I5" s="12" t="n">
        <v>750</v>
      </c>
      <c r="J5" s="10" t="s">
        <v>1276</v>
      </c>
      <c r="K5" s="10" t="s">
        <v>1287</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1288</v>
      </c>
      <c r="B6" s="0" t="s">
        <v>516</v>
      </c>
      <c r="C6" s="10" t="s">
        <v>1289</v>
      </c>
      <c r="D6" s="11" t="n">
        <v>46428</v>
      </c>
      <c r="E6" s="12" t="n">
        <v>750</v>
      </c>
      <c r="F6" s="12" t="n">
        <v>0</v>
      </c>
      <c r="G6" s="10" t="s">
        <v>1286</v>
      </c>
      <c r="H6" s="11" t="n">
        <v>46434</v>
      </c>
      <c r="I6" s="12" t="n">
        <v>750</v>
      </c>
      <c r="J6" s="10" t="s">
        <v>1276</v>
      </c>
      <c r="K6" s="10" t="s">
        <v>1290</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1291</v>
      </c>
      <c r="B7" s="0" t="s">
        <v>532</v>
      </c>
      <c r="C7" s="10" t="s">
        <v>1285</v>
      </c>
      <c r="D7" s="11" t="n">
        <v>46393</v>
      </c>
      <c r="E7" s="12" t="n">
        <v>750</v>
      </c>
      <c r="F7" s="12" t="n">
        <v>0</v>
      </c>
      <c r="G7" s="10" t="s">
        <v>1286</v>
      </c>
      <c r="H7" s="11" t="n">
        <v>46398</v>
      </c>
      <c r="I7" s="12" t="n">
        <v>750</v>
      </c>
      <c r="J7" s="10" t="s">
        <v>1276</v>
      </c>
      <c r="K7" s="10" t="s">
        <v>1292</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1293</v>
      </c>
      <c r="B8" s="0" t="s">
        <v>532</v>
      </c>
      <c r="C8" s="10" t="s">
        <v>1289</v>
      </c>
      <c r="D8" s="11" t="n">
        <v>46428</v>
      </c>
      <c r="E8" s="12" t="n">
        <v>750</v>
      </c>
      <c r="F8" s="12" t="n">
        <v>0</v>
      </c>
      <c r="G8" s="10" t="s">
        <v>1286</v>
      </c>
      <c r="H8" s="11" t="n">
        <v>46435</v>
      </c>
      <c r="I8" s="12" t="n">
        <v>600</v>
      </c>
      <c r="J8" s="10" t="s">
        <v>1276</v>
      </c>
      <c r="K8" s="10" t="s">
        <v>1294</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1295</v>
      </c>
      <c r="B9" s="0" t="s">
        <v>532</v>
      </c>
      <c r="C9" s="10" t="s">
        <v>1281</v>
      </c>
      <c r="D9" s="11" t="n">
        <v>46428</v>
      </c>
      <c r="E9" s="12" t="n">
        <v>-150</v>
      </c>
      <c r="F9" s="12" t="n">
        <v>0</v>
      </c>
      <c r="G9" s="10" t="s">
        <v>1286</v>
      </c>
      <c r="H9" s="11"/>
      <c r="I9" s="12"/>
      <c r="J9" s="10"/>
      <c r="L9" s="12"/>
      <c r="M9" s="10" t="s">
        <v>1296</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1297</v>
      </c>
      <c r="B10" s="0" t="s">
        <v>549</v>
      </c>
      <c r="C10" s="10" t="s">
        <v>1285</v>
      </c>
      <c r="D10" s="11" t="n">
        <v>46395</v>
      </c>
      <c r="E10" s="12" t="n">
        <v>750</v>
      </c>
      <c r="F10" s="12" t="n">
        <v>0</v>
      </c>
      <c r="G10" s="10" t="s">
        <v>1286</v>
      </c>
      <c r="H10" s="11" t="n">
        <v>46399</v>
      </c>
      <c r="I10" s="12" t="n">
        <v>750</v>
      </c>
      <c r="J10" s="10" t="s">
        <v>1276</v>
      </c>
      <c r="K10" s="10" t="s">
        <v>1298</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1299</v>
      </c>
      <c r="B11" s="0" t="s">
        <v>549</v>
      </c>
      <c r="C11" s="10" t="s">
        <v>1289</v>
      </c>
      <c r="D11" s="11" t="n">
        <v>46428</v>
      </c>
      <c r="E11" s="12" t="n">
        <v>750</v>
      </c>
      <c r="F11" s="12" t="n">
        <v>0</v>
      </c>
      <c r="G11" s="10" t="s">
        <v>1286</v>
      </c>
      <c r="H11" s="11" t="n">
        <v>46430</v>
      </c>
      <c r="I11" s="12" t="n">
        <v>750</v>
      </c>
      <c r="J11" s="10" t="s">
        <v>1276</v>
      </c>
      <c r="K11" s="10" t="s">
        <v>1300</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1301</v>
      </c>
      <c r="B12" s="0" t="s">
        <v>563</v>
      </c>
      <c r="C12" s="10" t="s">
        <v>1285</v>
      </c>
      <c r="D12" s="11" t="n">
        <v>46412</v>
      </c>
      <c r="E12" s="12" t="n">
        <v>750</v>
      </c>
      <c r="F12" s="12" t="n">
        <v>0</v>
      </c>
      <c r="G12" s="10" t="s">
        <v>631</v>
      </c>
      <c r="H12" s="11" t="n">
        <v>46415</v>
      </c>
      <c r="I12" s="12" t="n">
        <v>750</v>
      </c>
      <c r="J12" s="10" t="s">
        <v>1276</v>
      </c>
      <c r="K12" s="10" t="s">
        <v>1302</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A13" s="0" t="s">
        <v>1303</v>
      </c>
      <c r="B13" s="0" t="s">
        <v>563</v>
      </c>
      <c r="C13" s="10" t="s">
        <v>1289</v>
      </c>
      <c r="D13" s="11" t="n">
        <v>46442</v>
      </c>
      <c r="E13" s="12" t="n">
        <v>750</v>
      </c>
      <c r="F13" s="12" t="n">
        <v>0</v>
      </c>
      <c r="G13" s="10" t="s">
        <v>631</v>
      </c>
      <c r="H13" s="11" t="n">
        <v>46444</v>
      </c>
      <c r="I13" s="12" t="n">
        <v>600</v>
      </c>
      <c r="J13" s="10" t="s">
        <v>1276</v>
      </c>
      <c r="K13" s="10" t="s">
        <v>1304</v>
      </c>
      <c r="L13" s="12" t="n">
        <v>0</v>
      </c>
      <c r="N13" s="30" t="str">
        <f aca="false">IF($B13="","",IFERROR(IF(INDEX(campaigns!$BE$2:$BE$51,MATCH($B13,campaigns!$A$2:$A$51,0))="","",INDEX(campaigns!$BE$2:$BE$51,MATCH($B13,campaigns!$A$2:$A$51,0))),""))</f>
        <v>SAMPLE Saltmarsh</v>
      </c>
      <c r="O13" s="31" t="n">
        <f aca="false">IF(OR($A13="",$D13=""),"",IF($C13="founding_full",WORKDAY($D13,config!$B$27,calendar!$A$2:$A$80),$D13))</f>
        <v>46442</v>
      </c>
      <c r="P13" s="32" t="n">
        <f aca="false">IF($A13="","",N($E13)+N($F13))</f>
        <v>750</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paid (less credit)</v>
      </c>
      <c r="R13" s="30" t="str">
        <f aca="false">IF($A13="","",IF(OR($C13="founding_full",$C13="standard_deposit"),"Y","N"))</f>
        <v>N</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A14" s="0" t="s">
        <v>1305</v>
      </c>
      <c r="B14" s="0" t="s">
        <v>563</v>
      </c>
      <c r="C14" s="10" t="s">
        <v>1281</v>
      </c>
      <c r="D14" s="11" t="n">
        <v>46442</v>
      </c>
      <c r="E14" s="12" t="n">
        <v>-150</v>
      </c>
      <c r="F14" s="12" t="n">
        <v>0</v>
      </c>
      <c r="G14" s="10" t="s">
        <v>631</v>
      </c>
      <c r="H14" s="11"/>
      <c r="I14" s="12"/>
      <c r="J14" s="10"/>
      <c r="L14" s="12"/>
      <c r="M14" s="10" t="s">
        <v>1306</v>
      </c>
      <c r="N14" s="30" t="str">
        <f aca="false">IF($B14="","",IFERROR(IF(INDEX(campaigns!$BE$2:$BE$51,MATCH($B14,campaigns!$A$2:$A$51,0))="","",INDEX(campaigns!$BE$2:$BE$51,MATCH($B14,campaigns!$A$2:$A$51,0))),""))</f>
        <v>SAMPLE Saltmarsh</v>
      </c>
      <c r="O14" s="31" t="n">
        <f aca="false">IF(OR($A14="",$D14=""),"",IF($C14="founding_full",WORKDAY($D14,config!$B$27,calendar!$A$2:$A$80),$D14))</f>
        <v>46442</v>
      </c>
      <c r="P14" s="32" t="n">
        <f aca="false">IF($A14="","",N($E14)+N($F14))</f>
        <v>-150</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credit applied</v>
      </c>
      <c r="R14" s="30" t="str">
        <f aca="false">IF($A14="","",IF(OR($C14="founding_full",$C14="standard_deposit"),"Y","N"))</f>
        <v>N</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A15" s="0" t="s">
        <v>1307</v>
      </c>
      <c r="B15" s="0" t="s">
        <v>576</v>
      </c>
      <c r="C15" s="10" t="s">
        <v>1275</v>
      </c>
      <c r="D15" s="11" t="n">
        <v>46442</v>
      </c>
      <c r="E15" s="12" t="n">
        <v>1200</v>
      </c>
      <c r="F15" s="12" t="n">
        <v>0</v>
      </c>
      <c r="G15" s="10" t="s">
        <v>614</v>
      </c>
      <c r="H15" s="11" t="n">
        <v>46447</v>
      </c>
      <c r="I15" s="12" t="n">
        <v>1200</v>
      </c>
      <c r="J15" s="10" t="s">
        <v>1276</v>
      </c>
      <c r="K15" s="10" t="s">
        <v>1308</v>
      </c>
      <c r="L15" s="12" t="n">
        <v>0</v>
      </c>
      <c r="N15" s="30" t="str">
        <f aca="false">IF($B15="","",IFERROR(IF(INDEX(campaigns!$BE$2:$BE$51,MATCH($B15,campaigns!$A$2:$A$51,0))="","",INDEX(campaigns!$BE$2:$BE$51,MATCH($B15,campaigns!$A$2:$A$51,0))),""))</f>
        <v>SAMPLE Brightside</v>
      </c>
      <c r="O15" s="31" t="n">
        <f aca="false">IF(OR($A15="",$D15=""),"",IF($C15="founding_full",WORKDAY($D15,config!$B$27,calendar!$A$2:$A$80),$D15))</f>
        <v>46449</v>
      </c>
      <c r="P15" s="32" t="n">
        <f aca="false">IF($A15="","",N($E15)+N($F15))</f>
        <v>1200</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paid</v>
      </c>
      <c r="R15" s="30" t="str">
        <f aca="false">IF($A15="","",IF(OR($C15="founding_full",$C15="standard_deposit"),"Y","N"))</f>
        <v>Y</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A16" s="0" t="s">
        <v>1309</v>
      </c>
      <c r="B16" s="0" t="s">
        <v>579</v>
      </c>
      <c r="C16" s="10" t="s">
        <v>1285</v>
      </c>
      <c r="D16" s="11" t="n">
        <v>46442</v>
      </c>
      <c r="E16" s="12" t="n">
        <v>750</v>
      </c>
      <c r="F16" s="12" t="n">
        <v>0</v>
      </c>
      <c r="G16" s="10" t="s">
        <v>622</v>
      </c>
      <c r="H16" s="11" t="n">
        <v>46444</v>
      </c>
      <c r="I16" s="12" t="n">
        <v>750</v>
      </c>
      <c r="J16" s="10" t="s">
        <v>1276</v>
      </c>
      <c r="K16" s="10" t="s">
        <v>1310</v>
      </c>
      <c r="L16" s="12" t="n">
        <v>0</v>
      </c>
      <c r="N16" s="30" t="str">
        <f aca="false">IF($B16="","",IFERROR(IF(INDEX(campaigns!$BE$2:$BE$51,MATCH($B16,campaigns!$A$2:$A$51,0))="","",INDEX(campaigns!$BE$2:$BE$51,MATCH($B16,campaigns!$A$2:$A$51,0))),""))</f>
        <v>SAMPLE Tallgrass</v>
      </c>
      <c r="O16" s="31" t="n">
        <f aca="false">IF(OR($A16="",$D16=""),"",IF($C16="founding_full",WORKDAY($D16,config!$B$27,calendar!$A$2:$A$80),$D16))</f>
        <v>46442</v>
      </c>
      <c r="P16" s="32" t="n">
        <f aca="false">IF($A16="","",N($E16)+N($F16))</f>
        <v>750</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paid</v>
      </c>
      <c r="R16" s="30" t="str">
        <f aca="false">IF($A16="","",IF(OR($C16="founding_full",$C16="standard_deposit"),"Y","N"))</f>
        <v>Y</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1311</v>
      </c>
      <c r="B1" s="40" t="s">
        <v>1312</v>
      </c>
      <c r="C1" s="40" t="s">
        <v>138</v>
      </c>
      <c r="D1" s="40" t="s">
        <v>591</v>
      </c>
      <c r="E1" s="40" t="s">
        <v>592</v>
      </c>
      <c r="F1" s="40" t="s">
        <v>593</v>
      </c>
      <c r="G1" s="40" t="s">
        <v>594</v>
      </c>
      <c r="H1" s="40" t="s">
        <v>644</v>
      </c>
      <c r="I1" s="40" t="s">
        <v>645</v>
      </c>
      <c r="J1" s="40" t="s">
        <v>646</v>
      </c>
      <c r="K1" s="40" t="s">
        <v>647</v>
      </c>
      <c r="L1" s="40" t="s">
        <v>648</v>
      </c>
      <c r="M1" s="40" t="s">
        <v>649</v>
      </c>
      <c r="N1" s="40" t="s">
        <v>650</v>
      </c>
      <c r="O1" s="40" t="s">
        <v>651</v>
      </c>
      <c r="P1" s="40" t="s">
        <v>652</v>
      </c>
      <c r="Q1" s="40" t="s">
        <v>653</v>
      </c>
      <c r="R1" s="40" t="s">
        <v>654</v>
      </c>
      <c r="S1" s="40" t="s">
        <v>655</v>
      </c>
      <c r="T1" s="40" t="s">
        <v>305</v>
      </c>
      <c r="U1" s="40" t="s">
        <v>807</v>
      </c>
    </row>
    <row r="2" customFormat="false" ht="15" hidden="false" customHeight="false" outlineLevel="0" collapsed="false">
      <c r="A2" s="0" t="s">
        <v>1313</v>
      </c>
      <c r="B2" s="0" t="s">
        <v>1314</v>
      </c>
      <c r="C2" s="0" t="s">
        <v>1315</v>
      </c>
      <c r="D2" s="0" t="s">
        <v>1316</v>
      </c>
      <c r="E2" s="0" t="s">
        <v>1317</v>
      </c>
      <c r="F2" s="0" t="s">
        <v>1318</v>
      </c>
      <c r="G2" s="0" t="s">
        <v>1319</v>
      </c>
      <c r="H2" s="0" t="s">
        <v>1320</v>
      </c>
      <c r="I2" s="0" t="s">
        <v>1321</v>
      </c>
      <c r="J2" s="0" t="n">
        <v>52</v>
      </c>
      <c r="K2" s="0" t="s">
        <v>1316</v>
      </c>
      <c r="L2" s="0" t="s">
        <v>1317</v>
      </c>
      <c r="M2" s="0" t="s">
        <v>486</v>
      </c>
      <c r="N2" s="0" t="s">
        <v>1322</v>
      </c>
      <c r="O2" s="0" t="s">
        <v>1323</v>
      </c>
      <c r="P2" s="0" t="s">
        <v>146</v>
      </c>
      <c r="Q2" s="0" t="s">
        <v>1324</v>
      </c>
      <c r="R2" s="0" t="s">
        <v>1325</v>
      </c>
      <c r="T2" s="0" t="s">
        <v>1326</v>
      </c>
      <c r="U2" s="0" t="s">
        <v>589</v>
      </c>
    </row>
    <row r="3" customFormat="false" ht="15" hidden="false" customHeight="false" outlineLevel="0" collapsed="false">
      <c r="A3" s="0" t="s">
        <v>1327</v>
      </c>
      <c r="B3" s="0" t="s">
        <v>1314</v>
      </c>
      <c r="C3" s="0" t="s">
        <v>1328</v>
      </c>
      <c r="D3" s="0" t="s">
        <v>1329</v>
      </c>
      <c r="E3" s="0" t="s">
        <v>1317</v>
      </c>
      <c r="F3" s="0" t="s">
        <v>1330</v>
      </c>
      <c r="G3" s="0" t="s">
        <v>1331</v>
      </c>
      <c r="H3" s="0" t="s">
        <v>1332</v>
      </c>
      <c r="I3" s="0" t="s">
        <v>1333</v>
      </c>
      <c r="J3" s="0" t="n">
        <v>95</v>
      </c>
      <c r="K3" s="0" t="s">
        <v>1329</v>
      </c>
      <c r="L3" s="0" t="s">
        <v>1317</v>
      </c>
      <c r="M3" s="0" t="s">
        <v>486</v>
      </c>
      <c r="N3" s="0" t="s">
        <v>1322</v>
      </c>
      <c r="O3" s="0" t="s">
        <v>1334</v>
      </c>
      <c r="P3" s="0" t="s">
        <v>1335</v>
      </c>
      <c r="Q3" s="0" t="s">
        <v>1324</v>
      </c>
      <c r="R3" s="0" t="s">
        <v>1336</v>
      </c>
      <c r="T3" s="0" t="s">
        <v>1326</v>
      </c>
      <c r="U3" s="0" t="s">
        <v>589</v>
      </c>
    </row>
    <row r="4" customFormat="false" ht="15" hidden="false" customHeight="false" outlineLevel="0" collapsed="false">
      <c r="A4" s="0" t="s">
        <v>1337</v>
      </c>
      <c r="B4" s="0" t="s">
        <v>1314</v>
      </c>
      <c r="C4" s="0" t="s">
        <v>1338</v>
      </c>
      <c r="D4" s="0" t="s">
        <v>1339</v>
      </c>
      <c r="E4" s="0" t="s">
        <v>1317</v>
      </c>
      <c r="F4" s="0" t="s">
        <v>1340</v>
      </c>
      <c r="G4" s="0" t="s">
        <v>1341</v>
      </c>
      <c r="H4" s="0" t="s">
        <v>1342</v>
      </c>
      <c r="I4" s="0" t="s">
        <v>1343</v>
      </c>
      <c r="J4" s="0" t="n">
        <v>190</v>
      </c>
      <c r="K4" s="0" t="s">
        <v>1339</v>
      </c>
      <c r="L4" s="0" t="s">
        <v>1317</v>
      </c>
      <c r="M4" s="0" t="s">
        <v>486</v>
      </c>
      <c r="N4" s="0" t="s">
        <v>748</v>
      </c>
      <c r="O4" s="0" t="s">
        <v>1344</v>
      </c>
      <c r="P4" s="0" t="s">
        <v>496</v>
      </c>
      <c r="Q4" s="0" t="s">
        <v>1324</v>
      </c>
      <c r="R4" s="0" t="s">
        <v>1345</v>
      </c>
      <c r="T4" s="0" t="s">
        <v>1326</v>
      </c>
      <c r="U4" s="0" t="s">
        <v>589</v>
      </c>
    </row>
    <row r="5" customFormat="false" ht="15" hidden="false" customHeight="false" outlineLevel="0" collapsed="false">
      <c r="A5" s="0" t="s">
        <v>1346</v>
      </c>
      <c r="B5" s="0" t="s">
        <v>1314</v>
      </c>
      <c r="C5" s="0" t="s">
        <v>1347</v>
      </c>
      <c r="D5" s="0" t="s">
        <v>1348</v>
      </c>
      <c r="E5" s="0" t="s">
        <v>1317</v>
      </c>
      <c r="F5" s="0" t="s">
        <v>1349</v>
      </c>
      <c r="G5" s="0" t="s">
        <v>1350</v>
      </c>
      <c r="H5" s="0" t="s">
        <v>1351</v>
      </c>
      <c r="I5" s="0" t="s">
        <v>1352</v>
      </c>
      <c r="J5" s="0" t="n">
        <v>65</v>
      </c>
      <c r="K5" s="0" t="s">
        <v>1348</v>
      </c>
      <c r="L5" s="0" t="s">
        <v>1317</v>
      </c>
      <c r="M5" s="0" t="s">
        <v>486</v>
      </c>
      <c r="N5" s="0" t="s">
        <v>1322</v>
      </c>
      <c r="O5" s="0" t="s">
        <v>1323</v>
      </c>
      <c r="P5" s="0" t="s">
        <v>146</v>
      </c>
      <c r="Q5" s="0" t="s">
        <v>1324</v>
      </c>
      <c r="R5" s="0" t="s">
        <v>1353</v>
      </c>
      <c r="T5" s="0" t="s">
        <v>1326</v>
      </c>
      <c r="U5" s="0" t="s">
        <v>589</v>
      </c>
    </row>
    <row r="6" customFormat="false" ht="15" hidden="false" customHeight="false" outlineLevel="0" collapsed="false">
      <c r="A6" s="0" t="s">
        <v>1354</v>
      </c>
      <c r="B6" s="0" t="s">
        <v>1314</v>
      </c>
      <c r="C6" s="0" t="s">
        <v>1355</v>
      </c>
      <c r="D6" s="0" t="s">
        <v>1356</v>
      </c>
      <c r="E6" s="0" t="s">
        <v>1317</v>
      </c>
      <c r="F6" s="0" t="s">
        <v>1357</v>
      </c>
      <c r="G6" s="0" t="s">
        <v>1358</v>
      </c>
      <c r="H6" s="0" t="s">
        <v>1359</v>
      </c>
      <c r="I6" s="0" t="s">
        <v>1360</v>
      </c>
      <c r="J6" s="0" t="n">
        <v>140</v>
      </c>
      <c r="K6" s="0" t="s">
        <v>1356</v>
      </c>
      <c r="L6" s="0" t="s">
        <v>1317</v>
      </c>
      <c r="M6" s="0" t="s">
        <v>486</v>
      </c>
      <c r="N6" s="0" t="s">
        <v>748</v>
      </c>
      <c r="O6" s="0" t="s">
        <v>1334</v>
      </c>
      <c r="P6" s="0" t="s">
        <v>146</v>
      </c>
      <c r="Q6" s="0" t="s">
        <v>1324</v>
      </c>
      <c r="R6" s="0" t="s">
        <v>1361</v>
      </c>
      <c r="S6" s="0" t="s">
        <v>1362</v>
      </c>
      <c r="T6" s="0" t="s">
        <v>1326</v>
      </c>
      <c r="U6" s="0" t="s">
        <v>589</v>
      </c>
    </row>
    <row r="7" customFormat="false" ht="15" hidden="false" customHeight="false" outlineLevel="0" collapsed="false">
      <c r="A7" s="0" t="s">
        <v>1363</v>
      </c>
      <c r="B7" s="0" t="s">
        <v>1314</v>
      </c>
      <c r="C7" s="0" t="s">
        <v>1364</v>
      </c>
      <c r="D7" s="0" t="s">
        <v>1365</v>
      </c>
      <c r="E7" s="0" t="s">
        <v>1317</v>
      </c>
      <c r="F7" s="0" t="s">
        <v>1366</v>
      </c>
      <c r="G7" s="0" t="s">
        <v>1367</v>
      </c>
      <c r="H7" s="0" t="s">
        <v>1368</v>
      </c>
      <c r="I7" s="0" t="s">
        <v>1369</v>
      </c>
      <c r="J7" s="0" t="n">
        <v>220</v>
      </c>
      <c r="K7" s="0" t="s">
        <v>1365</v>
      </c>
      <c r="L7" s="0" t="s">
        <v>1317</v>
      </c>
      <c r="M7" s="0" t="s">
        <v>486</v>
      </c>
      <c r="N7" s="0" t="s">
        <v>748</v>
      </c>
      <c r="O7" s="0" t="s">
        <v>1344</v>
      </c>
      <c r="P7" s="0" t="s">
        <v>146</v>
      </c>
      <c r="Q7" s="0" t="s">
        <v>1324</v>
      </c>
      <c r="R7" s="0" t="s">
        <v>1370</v>
      </c>
      <c r="T7" s="0" t="s">
        <v>1326</v>
      </c>
      <c r="U7" s="0" t="s">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1311</v>
      </c>
      <c r="B1" s="40" t="s">
        <v>1312</v>
      </c>
      <c r="C1" s="40" t="s">
        <v>411</v>
      </c>
      <c r="D1" s="40" t="s">
        <v>589</v>
      </c>
      <c r="E1" s="40" t="s">
        <v>591</v>
      </c>
      <c r="F1" s="40" t="s">
        <v>592</v>
      </c>
      <c r="G1" s="40" t="s">
        <v>593</v>
      </c>
      <c r="H1" s="40" t="s">
        <v>594</v>
      </c>
      <c r="I1" s="40" t="s">
        <v>365</v>
      </c>
      <c r="J1" s="40" t="s">
        <v>412</v>
      </c>
      <c r="K1" s="40" t="s">
        <v>590</v>
      </c>
      <c r="L1" s="40" t="s">
        <v>596</v>
      </c>
      <c r="M1" s="40" t="s">
        <v>595</v>
      </c>
      <c r="N1" s="40" t="s">
        <v>597</v>
      </c>
      <c r="O1" s="40" t="s">
        <v>1371</v>
      </c>
      <c r="P1" s="40" t="s">
        <v>1372</v>
      </c>
      <c r="Q1" s="40" t="s">
        <v>598</v>
      </c>
      <c r="R1" s="40" t="s">
        <v>599</v>
      </c>
      <c r="S1" s="40" t="s">
        <v>600</v>
      </c>
      <c r="T1" s="40" t="s">
        <v>601</v>
      </c>
      <c r="U1" s="40" t="s">
        <v>602</v>
      </c>
      <c r="V1" s="40" t="s">
        <v>603</v>
      </c>
      <c r="W1" s="40" t="s">
        <v>604</v>
      </c>
      <c r="X1" s="40" t="s">
        <v>605</v>
      </c>
      <c r="Y1" s="40" t="s">
        <v>606</v>
      </c>
      <c r="Z1" s="40" t="s">
        <v>305</v>
      </c>
      <c r="AA1" s="40" t="s">
        <v>807</v>
      </c>
    </row>
    <row r="2" customFormat="false" ht="15" hidden="false" customHeight="false" outlineLevel="0" collapsed="false">
      <c r="A2" s="0" t="s">
        <v>611</v>
      </c>
      <c r="B2" s="0" t="s">
        <v>1373</v>
      </c>
      <c r="C2" s="0" t="s">
        <v>1374</v>
      </c>
      <c r="D2" s="0" t="s">
        <v>1375</v>
      </c>
      <c r="E2" s="0" t="s">
        <v>1376</v>
      </c>
      <c r="F2" s="0" t="s">
        <v>1377</v>
      </c>
      <c r="G2" s="0" t="s">
        <v>1378</v>
      </c>
      <c r="H2" s="0" t="s">
        <v>1379</v>
      </c>
      <c r="I2" s="0" t="s">
        <v>476</v>
      </c>
      <c r="J2" s="0" t="s">
        <v>1380</v>
      </c>
      <c r="K2" s="0" t="s">
        <v>1381</v>
      </c>
      <c r="L2" s="0" t="s">
        <v>481</v>
      </c>
      <c r="M2" s="0" t="s">
        <v>1382</v>
      </c>
      <c r="N2" s="0" t="s">
        <v>486</v>
      </c>
      <c r="O2" s="0" t="s">
        <v>1383</v>
      </c>
      <c r="P2" s="0" t="s">
        <v>486</v>
      </c>
      <c r="Q2" s="0" t="s">
        <v>1384</v>
      </c>
      <c r="R2" s="0" t="s">
        <v>486</v>
      </c>
      <c r="S2" s="0" t="s">
        <v>486</v>
      </c>
      <c r="T2" s="0" t="s">
        <v>486</v>
      </c>
      <c r="U2" s="0" t="s">
        <v>486</v>
      </c>
      <c r="V2" s="0" t="s">
        <v>486</v>
      </c>
      <c r="W2" s="0" t="s">
        <v>486</v>
      </c>
      <c r="X2" s="0" t="s">
        <v>1385</v>
      </c>
      <c r="Y2" s="0" t="s">
        <v>486</v>
      </c>
      <c r="AA2" s="0" t="s">
        <v>589</v>
      </c>
    </row>
    <row r="3" customFormat="false" ht="15" hidden="false" customHeight="false" outlineLevel="0" collapsed="false">
      <c r="A3" s="0" t="s">
        <v>620</v>
      </c>
      <c r="B3" s="0" t="s">
        <v>1386</v>
      </c>
      <c r="C3" s="0" t="s">
        <v>1387</v>
      </c>
      <c r="D3" s="0" t="s">
        <v>1388</v>
      </c>
      <c r="E3" s="0" t="s">
        <v>1389</v>
      </c>
      <c r="F3" s="0" t="s">
        <v>1377</v>
      </c>
      <c r="G3" s="0" t="s">
        <v>1390</v>
      </c>
      <c r="H3" s="0" t="s">
        <v>1391</v>
      </c>
      <c r="I3" s="0" t="s">
        <v>519</v>
      </c>
      <c r="J3" s="0" t="s">
        <v>1392</v>
      </c>
      <c r="K3" s="0" t="s">
        <v>1393</v>
      </c>
      <c r="L3" s="0" t="s">
        <v>481</v>
      </c>
      <c r="M3" s="0" t="s">
        <v>1394</v>
      </c>
      <c r="N3" s="0" t="s">
        <v>486</v>
      </c>
      <c r="O3" s="0" t="s">
        <v>1383</v>
      </c>
      <c r="P3" s="0" t="s">
        <v>486</v>
      </c>
      <c r="Q3" s="0" t="s">
        <v>1395</v>
      </c>
      <c r="R3" s="0" t="s">
        <v>486</v>
      </c>
      <c r="S3" s="0" t="s">
        <v>486</v>
      </c>
      <c r="T3" s="0" t="s">
        <v>486</v>
      </c>
      <c r="U3" s="0" t="s">
        <v>486</v>
      </c>
      <c r="V3" s="0" t="s">
        <v>486</v>
      </c>
      <c r="W3" s="0" t="s">
        <v>486</v>
      </c>
      <c r="X3" s="0" t="s">
        <v>1385</v>
      </c>
      <c r="Y3" s="0" t="s">
        <v>486</v>
      </c>
      <c r="AA3" s="0" t="s">
        <v>589</v>
      </c>
    </row>
    <row r="4" customFormat="false" ht="15" hidden="false" customHeight="false" outlineLevel="0" collapsed="false">
      <c r="A4" s="0" t="s">
        <v>623</v>
      </c>
      <c r="B4" s="0" t="s">
        <v>1386</v>
      </c>
      <c r="C4" s="0" t="s">
        <v>1396</v>
      </c>
      <c r="D4" s="0" t="s">
        <v>1397</v>
      </c>
      <c r="E4" s="0" t="s">
        <v>1398</v>
      </c>
      <c r="F4" s="0" t="s">
        <v>1377</v>
      </c>
      <c r="G4" s="0" t="s">
        <v>1399</v>
      </c>
      <c r="H4" s="0" t="s">
        <v>1400</v>
      </c>
      <c r="I4" s="0" t="s">
        <v>534</v>
      </c>
      <c r="J4" s="0" t="s">
        <v>1401</v>
      </c>
      <c r="K4" s="0" t="s">
        <v>1402</v>
      </c>
      <c r="L4" s="0" t="s">
        <v>481</v>
      </c>
      <c r="M4" s="0" t="s">
        <v>1403</v>
      </c>
      <c r="N4" s="0" t="s">
        <v>486</v>
      </c>
      <c r="O4" s="0" t="s">
        <v>1383</v>
      </c>
      <c r="P4" s="0" t="s">
        <v>486</v>
      </c>
      <c r="Q4" s="0" t="s">
        <v>1404</v>
      </c>
      <c r="R4" s="0" t="s">
        <v>486</v>
      </c>
      <c r="S4" s="0" t="s">
        <v>486</v>
      </c>
      <c r="T4" s="0" t="s">
        <v>486</v>
      </c>
      <c r="U4" s="0" t="s">
        <v>486</v>
      </c>
      <c r="V4" s="0" t="s">
        <v>486</v>
      </c>
      <c r="W4" s="0" t="s">
        <v>486</v>
      </c>
      <c r="X4" s="0" t="s">
        <v>1385</v>
      </c>
      <c r="Y4" s="0" t="s">
        <v>486</v>
      </c>
      <c r="AA4" s="0" t="s">
        <v>589</v>
      </c>
    </row>
    <row r="5" customFormat="false" ht="15" hidden="false" customHeight="false" outlineLevel="0" collapsed="false">
      <c r="A5" s="0" t="s">
        <v>626</v>
      </c>
      <c r="B5" s="0" t="s">
        <v>1386</v>
      </c>
      <c r="C5" s="0" t="s">
        <v>1405</v>
      </c>
      <c r="D5" s="0" t="s">
        <v>1406</v>
      </c>
      <c r="E5" s="0" t="s">
        <v>1407</v>
      </c>
      <c r="F5" s="0" t="s">
        <v>1377</v>
      </c>
      <c r="G5" s="0" t="s">
        <v>1408</v>
      </c>
      <c r="H5" s="0" t="s">
        <v>1409</v>
      </c>
      <c r="I5" s="0" t="s">
        <v>551</v>
      </c>
      <c r="J5" s="0" t="s">
        <v>1380</v>
      </c>
      <c r="K5" s="0" t="s">
        <v>1410</v>
      </c>
      <c r="L5" s="0" t="s">
        <v>481</v>
      </c>
      <c r="M5" s="0" t="s">
        <v>1411</v>
      </c>
      <c r="N5" s="0" t="s">
        <v>486</v>
      </c>
      <c r="O5" s="0" t="s">
        <v>1383</v>
      </c>
      <c r="P5" s="0" t="s">
        <v>486</v>
      </c>
      <c r="Q5" s="0" t="s">
        <v>1412</v>
      </c>
      <c r="R5" s="0" t="s">
        <v>486</v>
      </c>
      <c r="S5" s="0" t="s">
        <v>486</v>
      </c>
      <c r="T5" s="0" t="s">
        <v>486</v>
      </c>
      <c r="U5" s="0" t="s">
        <v>486</v>
      </c>
      <c r="V5" s="0" t="s">
        <v>486</v>
      </c>
      <c r="W5" s="0" t="s">
        <v>486</v>
      </c>
      <c r="X5" s="0" t="s">
        <v>1385</v>
      </c>
      <c r="Y5" s="0" t="s">
        <v>486</v>
      </c>
      <c r="AA5" s="0" t="s">
        <v>589</v>
      </c>
    </row>
    <row r="6" customFormat="false" ht="15" hidden="false" customHeight="false" outlineLevel="0" collapsed="false">
      <c r="A6" s="0" t="s">
        <v>629</v>
      </c>
      <c r="B6" s="0" t="s">
        <v>1386</v>
      </c>
      <c r="C6" s="0" t="s">
        <v>1413</v>
      </c>
      <c r="D6" s="0" t="s">
        <v>1414</v>
      </c>
      <c r="E6" s="0" t="s">
        <v>1415</v>
      </c>
      <c r="F6" s="0" t="s">
        <v>1377</v>
      </c>
      <c r="G6" s="0" t="s">
        <v>1416</v>
      </c>
      <c r="H6" s="0" t="s">
        <v>1417</v>
      </c>
      <c r="I6" s="0" t="s">
        <v>565</v>
      </c>
      <c r="J6" s="0" t="s">
        <v>1380</v>
      </c>
      <c r="K6" s="0" t="s">
        <v>1418</v>
      </c>
      <c r="L6" s="0" t="s">
        <v>481</v>
      </c>
      <c r="M6" s="0" t="s">
        <v>1419</v>
      </c>
      <c r="N6" s="0" t="s">
        <v>486</v>
      </c>
      <c r="O6" s="0" t="s">
        <v>1383</v>
      </c>
      <c r="P6" s="0" t="s">
        <v>486</v>
      </c>
      <c r="Q6" s="0" t="s">
        <v>1420</v>
      </c>
      <c r="R6" s="0" t="s">
        <v>486</v>
      </c>
      <c r="S6" s="0" t="s">
        <v>486</v>
      </c>
      <c r="T6" s="0" t="s">
        <v>486</v>
      </c>
      <c r="U6" s="0" t="s">
        <v>486</v>
      </c>
      <c r="V6" s="0" t="s">
        <v>486</v>
      </c>
      <c r="W6" s="0" t="s">
        <v>486</v>
      </c>
      <c r="X6" s="0" t="s">
        <v>1385</v>
      </c>
      <c r="Y6" s="0" t="s">
        <v>486</v>
      </c>
      <c r="AA6" s="0" t="s">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1421</v>
      </c>
      <c r="B1" s="41" t="s">
        <v>1422</v>
      </c>
      <c r="C1" s="41" t="s">
        <v>1423</v>
      </c>
      <c r="D1" s="41" t="s">
        <v>1424</v>
      </c>
      <c r="E1" s="41" t="s">
        <v>1425</v>
      </c>
      <c r="F1" s="41" t="s">
        <v>1426</v>
      </c>
      <c r="G1" s="41" t="s">
        <v>1427</v>
      </c>
      <c r="H1" s="41" t="s">
        <v>1428</v>
      </c>
      <c r="I1" s="41" t="s">
        <v>1429</v>
      </c>
      <c r="J1" s="41" t="s">
        <v>1430</v>
      </c>
      <c r="K1" s="41" t="s">
        <v>1431</v>
      </c>
      <c r="L1" s="41" t="s">
        <v>1432</v>
      </c>
      <c r="M1" s="41" t="s">
        <v>1433</v>
      </c>
      <c r="N1" s="41" t="s">
        <v>1434</v>
      </c>
      <c r="O1" s="41" t="s">
        <v>1435</v>
      </c>
      <c r="P1" s="41" t="s">
        <v>1436</v>
      </c>
      <c r="Q1" s="41" t="s">
        <v>1437</v>
      </c>
      <c r="R1" s="41" t="s">
        <v>1438</v>
      </c>
      <c r="S1" s="41" t="s">
        <v>1439</v>
      </c>
      <c r="U1" s="23" t="s">
        <v>1440</v>
      </c>
    </row>
    <row r="2" customFormat="false" ht="15" hidden="false" customHeight="false" outlineLevel="0" collapsed="false">
      <c r="A2" s="42" t="n">
        <v>46338.5847222222</v>
      </c>
      <c r="B2" s="10" t="s">
        <v>1441</v>
      </c>
      <c r="C2" s="10" t="s">
        <v>1442</v>
      </c>
      <c r="D2" s="10" t="s">
        <v>1317</v>
      </c>
      <c r="E2" s="10" t="s">
        <v>1443</v>
      </c>
      <c r="F2" s="10" t="s">
        <v>1444</v>
      </c>
      <c r="G2" s="10" t="s">
        <v>1445</v>
      </c>
      <c r="H2" s="10" t="s">
        <v>1446</v>
      </c>
      <c r="I2" s="0" t="n">
        <v>48</v>
      </c>
      <c r="J2" s="10" t="s">
        <v>1447</v>
      </c>
      <c r="M2" s="10" t="s">
        <v>1448</v>
      </c>
      <c r="N2" s="10" t="s">
        <v>1334</v>
      </c>
      <c r="O2" s="10" t="s">
        <v>1449</v>
      </c>
      <c r="P2" s="10" t="s">
        <v>1450</v>
      </c>
      <c r="Q2" s="10" t="s">
        <v>1451</v>
      </c>
      <c r="S2" s="10" t="s">
        <v>1326</v>
      </c>
    </row>
    <row r="3" customFormat="false" ht="15" hidden="false" customHeight="false" outlineLevel="0" collapsed="false">
      <c r="A3" s="42" t="n">
        <v>46351.5861111111</v>
      </c>
      <c r="B3" s="10" t="s">
        <v>1452</v>
      </c>
      <c r="C3" s="10" t="s">
        <v>1453</v>
      </c>
      <c r="D3" s="10" t="s">
        <v>1317</v>
      </c>
      <c r="E3" s="10" t="s">
        <v>1454</v>
      </c>
      <c r="F3" s="10" t="s">
        <v>1455</v>
      </c>
      <c r="G3" s="10" t="s">
        <v>1456</v>
      </c>
      <c r="H3" s="10" t="s">
        <v>1457</v>
      </c>
      <c r="I3" s="0" t="n">
        <v>110</v>
      </c>
      <c r="J3" s="10" t="s">
        <v>1447</v>
      </c>
      <c r="M3" s="10" t="s">
        <v>1458</v>
      </c>
      <c r="N3" s="10" t="s">
        <v>1344</v>
      </c>
      <c r="O3" s="10" t="s">
        <v>1449</v>
      </c>
      <c r="P3" s="10" t="s">
        <v>1450</v>
      </c>
      <c r="Q3" s="10" t="s">
        <v>1459</v>
      </c>
      <c r="S3" s="10" t="s">
        <v>1326</v>
      </c>
    </row>
    <row r="4" customFormat="false" ht="15" hidden="false" customHeight="false" outlineLevel="0" collapsed="false">
      <c r="A4" s="42" t="n">
        <v>46388.5888888889</v>
      </c>
      <c r="B4" s="10" t="s">
        <v>1460</v>
      </c>
      <c r="C4" s="10" t="s">
        <v>1461</v>
      </c>
      <c r="D4" s="10" t="s">
        <v>1317</v>
      </c>
      <c r="E4" s="10" t="s">
        <v>1462</v>
      </c>
      <c r="F4" s="10" t="s">
        <v>1463</v>
      </c>
      <c r="G4" s="10" t="s">
        <v>1464</v>
      </c>
      <c r="H4" s="10" t="s">
        <v>1465</v>
      </c>
      <c r="I4" s="0" t="n">
        <v>80</v>
      </c>
      <c r="J4" s="10" t="s">
        <v>1447</v>
      </c>
      <c r="M4" s="10" t="s">
        <v>1448</v>
      </c>
      <c r="N4" s="10" t="s">
        <v>1334</v>
      </c>
      <c r="O4" s="10" t="s">
        <v>1466</v>
      </c>
      <c r="P4" s="10" t="s">
        <v>1450</v>
      </c>
      <c r="Q4" s="10" t="s">
        <v>1467</v>
      </c>
      <c r="S4" s="10" t="s">
        <v>1326</v>
      </c>
    </row>
    <row r="5" customFormat="false" ht="15" hidden="false" customHeight="false" outlineLevel="0" collapsed="false">
      <c r="A5" s="42" t="n">
        <v>46394.5902777778</v>
      </c>
      <c r="B5" s="10" t="s">
        <v>1468</v>
      </c>
      <c r="C5" s="10" t="s">
        <v>1469</v>
      </c>
      <c r="D5" s="10" t="s">
        <v>1317</v>
      </c>
      <c r="E5" s="10" t="s">
        <v>1470</v>
      </c>
      <c r="F5" s="10" t="s">
        <v>1471</v>
      </c>
      <c r="G5" s="10" t="s">
        <v>1472</v>
      </c>
      <c r="H5" s="10" t="s">
        <v>1321</v>
      </c>
      <c r="I5" s="0" t="n">
        <v>45</v>
      </c>
      <c r="J5" s="10" t="s">
        <v>1447</v>
      </c>
      <c r="M5" s="10" t="s">
        <v>1473</v>
      </c>
      <c r="N5" s="10" t="s">
        <v>1323</v>
      </c>
      <c r="O5" s="10" t="s">
        <v>1449</v>
      </c>
      <c r="P5" s="10" t="s">
        <v>1450</v>
      </c>
      <c r="Q5" s="10" t="s">
        <v>1474</v>
      </c>
      <c r="S5" s="10" t="s">
        <v>1326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1421</v>
      </c>
      <c r="B1" s="41" t="s">
        <v>1475</v>
      </c>
      <c r="C1" s="41" t="s">
        <v>1476</v>
      </c>
      <c r="D1" s="41" t="s">
        <v>1477</v>
      </c>
      <c r="E1" s="41" t="s">
        <v>1478</v>
      </c>
      <c r="F1" s="41" t="s">
        <v>1479</v>
      </c>
      <c r="G1" s="41" t="s">
        <v>1423</v>
      </c>
      <c r="H1" s="41" t="s">
        <v>1480</v>
      </c>
      <c r="I1" s="41" t="s">
        <v>1425</v>
      </c>
      <c r="J1" s="41" t="s">
        <v>1426</v>
      </c>
      <c r="K1" s="41" t="s">
        <v>1481</v>
      </c>
      <c r="L1" s="41" t="s">
        <v>1482</v>
      </c>
      <c r="M1" s="41" t="s">
        <v>1483</v>
      </c>
      <c r="N1" s="41" t="s">
        <v>1484</v>
      </c>
      <c r="O1" s="41" t="s">
        <v>1485</v>
      </c>
      <c r="P1" s="41" t="s">
        <v>1486</v>
      </c>
      <c r="Q1" s="41" t="s">
        <v>1487</v>
      </c>
      <c r="R1" s="41" t="s">
        <v>1488</v>
      </c>
      <c r="S1" s="41" t="s">
        <v>1489</v>
      </c>
      <c r="T1" s="41" t="s">
        <v>1490</v>
      </c>
      <c r="U1" s="41" t="s">
        <v>1491</v>
      </c>
      <c r="V1" s="41" t="s">
        <v>1492</v>
      </c>
      <c r="W1" s="41" t="s">
        <v>1493</v>
      </c>
      <c r="X1" s="41" t="s">
        <v>1494</v>
      </c>
      <c r="Y1" s="41" t="s">
        <v>1495</v>
      </c>
      <c r="AA1" s="23" t="s">
        <v>1496</v>
      </c>
    </row>
    <row r="2" customFormat="false" ht="15" hidden="false" customHeight="false" outlineLevel="0" collapsed="false">
      <c r="A2" s="42" t="n">
        <v>46345.5868055556</v>
      </c>
      <c r="B2" s="10" t="s">
        <v>1497</v>
      </c>
      <c r="C2" s="10" t="s">
        <v>1498</v>
      </c>
      <c r="D2" s="10" t="s">
        <v>500</v>
      </c>
      <c r="E2" s="10" t="s">
        <v>1499</v>
      </c>
      <c r="F2" s="10" t="s">
        <v>1500</v>
      </c>
      <c r="G2" s="10" t="s">
        <v>1501</v>
      </c>
      <c r="H2" s="10" t="s">
        <v>1377</v>
      </c>
      <c r="I2" s="10" t="s">
        <v>1502</v>
      </c>
      <c r="J2" s="10" t="s">
        <v>1503</v>
      </c>
      <c r="K2" s="10" t="s">
        <v>1504</v>
      </c>
      <c r="M2" s="10" t="s">
        <v>481</v>
      </c>
      <c r="N2" s="10" t="s">
        <v>1505</v>
      </c>
      <c r="O2" s="10" t="s">
        <v>1466</v>
      </c>
      <c r="P2" s="10" t="s">
        <v>1383</v>
      </c>
      <c r="Q2" s="10" t="s">
        <v>1466</v>
      </c>
      <c r="R2" s="10" t="s">
        <v>1466</v>
      </c>
      <c r="S2" s="10" t="s">
        <v>1466</v>
      </c>
      <c r="T2" s="10" t="s">
        <v>1466</v>
      </c>
      <c r="U2" s="10" t="s">
        <v>1466</v>
      </c>
      <c r="V2" s="10" t="s">
        <v>1466</v>
      </c>
      <c r="W2" s="10" t="s">
        <v>1385</v>
      </c>
      <c r="X2" s="10" t="s">
        <v>1506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1311</v>
      </c>
      <c r="B1" s="29" t="s">
        <v>1312</v>
      </c>
      <c r="C1" s="29" t="s">
        <v>138</v>
      </c>
      <c r="D1" s="29" t="s">
        <v>591</v>
      </c>
      <c r="E1" s="29" t="s">
        <v>592</v>
      </c>
      <c r="F1" s="29" t="s">
        <v>593</v>
      </c>
      <c r="G1" s="29" t="s">
        <v>594</v>
      </c>
      <c r="H1" s="29" t="s">
        <v>644</v>
      </c>
      <c r="I1" s="29" t="s">
        <v>645</v>
      </c>
      <c r="J1" s="29" t="s">
        <v>646</v>
      </c>
      <c r="K1" s="29" t="s">
        <v>647</v>
      </c>
      <c r="L1" s="29" t="s">
        <v>648</v>
      </c>
      <c r="M1" s="29" t="s">
        <v>649</v>
      </c>
      <c r="N1" s="29" t="s">
        <v>650</v>
      </c>
      <c r="O1" s="29" t="s">
        <v>651</v>
      </c>
      <c r="P1" s="29" t="s">
        <v>652</v>
      </c>
      <c r="Q1" s="29" t="s">
        <v>653</v>
      </c>
      <c r="R1" s="29" t="s">
        <v>654</v>
      </c>
      <c r="S1" s="29" t="s">
        <v>655</v>
      </c>
      <c r="T1" s="29" t="s">
        <v>305</v>
      </c>
      <c r="U1" s="29" t="s">
        <v>807</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1311</v>
      </c>
      <c r="B1" s="29" t="s">
        <v>1312</v>
      </c>
      <c r="C1" s="29" t="s">
        <v>411</v>
      </c>
      <c r="D1" s="29" t="s">
        <v>589</v>
      </c>
      <c r="E1" s="29" t="s">
        <v>591</v>
      </c>
      <c r="F1" s="29" t="s">
        <v>592</v>
      </c>
      <c r="G1" s="29" t="s">
        <v>593</v>
      </c>
      <c r="H1" s="29" t="s">
        <v>594</v>
      </c>
      <c r="I1" s="29" t="s">
        <v>365</v>
      </c>
      <c r="J1" s="29" t="s">
        <v>412</v>
      </c>
      <c r="K1" s="29" t="s">
        <v>590</v>
      </c>
      <c r="L1" s="29" t="s">
        <v>596</v>
      </c>
      <c r="M1" s="29" t="s">
        <v>595</v>
      </c>
      <c r="N1" s="29" t="s">
        <v>597</v>
      </c>
      <c r="O1" s="29" t="s">
        <v>1371</v>
      </c>
      <c r="P1" s="29" t="s">
        <v>1372</v>
      </c>
      <c r="Q1" s="29" t="s">
        <v>598</v>
      </c>
      <c r="R1" s="29" t="s">
        <v>599</v>
      </c>
      <c r="S1" s="29" t="s">
        <v>600</v>
      </c>
      <c r="T1" s="29" t="s">
        <v>601</v>
      </c>
      <c r="U1" s="29" t="s">
        <v>602</v>
      </c>
      <c r="V1" s="29" t="s">
        <v>603</v>
      </c>
      <c r="W1" s="29" t="s">
        <v>604</v>
      </c>
      <c r="X1" s="29" t="s">
        <v>605</v>
      </c>
      <c r="Y1" s="29" t="s">
        <v>606</v>
      </c>
      <c r="Z1" s="29" t="s">
        <v>305</v>
      </c>
      <c r="AA1" s="29" t="s">
        <v>807</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1311</v>
      </c>
      <c r="B1" s="40" t="s">
        <v>1312</v>
      </c>
      <c r="C1" s="40" t="s">
        <v>138</v>
      </c>
      <c r="D1" s="40" t="s">
        <v>591</v>
      </c>
      <c r="E1" s="40" t="s">
        <v>592</v>
      </c>
      <c r="F1" s="40" t="s">
        <v>593</v>
      </c>
      <c r="G1" s="40" t="s">
        <v>594</v>
      </c>
      <c r="H1" s="40" t="s">
        <v>644</v>
      </c>
      <c r="I1" s="40" t="s">
        <v>645</v>
      </c>
      <c r="J1" s="40" t="s">
        <v>646</v>
      </c>
      <c r="K1" s="40" t="s">
        <v>647</v>
      </c>
      <c r="L1" s="40" t="s">
        <v>648</v>
      </c>
      <c r="M1" s="40" t="s">
        <v>649</v>
      </c>
      <c r="N1" s="40" t="s">
        <v>650</v>
      </c>
      <c r="O1" s="40" t="s">
        <v>651</v>
      </c>
      <c r="P1" s="40" t="s">
        <v>652</v>
      </c>
      <c r="Q1" s="40" t="s">
        <v>653</v>
      </c>
      <c r="R1" s="40" t="s">
        <v>654</v>
      </c>
      <c r="S1" s="40" t="s">
        <v>655</v>
      </c>
      <c r="T1" s="40" t="s">
        <v>305</v>
      </c>
      <c r="U1" s="40" t="s">
        <v>807</v>
      </c>
      <c r="V1" s="40" t="s">
        <v>632</v>
      </c>
      <c r="W1" s="40" t="s">
        <v>658</v>
      </c>
      <c r="X1" s="40" t="s">
        <v>363</v>
      </c>
      <c r="Y1" s="40" t="s">
        <v>1507</v>
      </c>
      <c r="Z1" s="40" t="s">
        <v>656</v>
      </c>
      <c r="AA1" s="40" t="s">
        <v>1508</v>
      </c>
      <c r="AB1" s="40" t="s">
        <v>1509</v>
      </c>
      <c r="AC1" s="40" t="s">
        <v>1510</v>
      </c>
      <c r="AD1" s="40" t="s">
        <v>659</v>
      </c>
      <c r="AE1" s="40" t="s">
        <v>1511</v>
      </c>
      <c r="AF1" s="40" t="s">
        <v>1512</v>
      </c>
      <c r="AG1" s="40" t="s">
        <v>657</v>
      </c>
      <c r="AH1" s="40" t="s">
        <v>364</v>
      </c>
      <c r="AI1" s="40" t="s">
        <v>633</v>
      </c>
      <c r="AJ1" s="40" t="s">
        <v>666</v>
      </c>
      <c r="AK1" s="40" t="s">
        <v>667</v>
      </c>
    </row>
    <row r="2" customFormat="false" ht="15" hidden="false" customHeight="false" outlineLevel="0" collapsed="false">
      <c r="A2" s="0" t="s">
        <v>1313</v>
      </c>
      <c r="B2" s="0" t="s">
        <v>1314</v>
      </c>
      <c r="C2" s="0" t="s">
        <v>1315</v>
      </c>
      <c r="D2" s="0" t="s">
        <v>1316</v>
      </c>
      <c r="E2" s="0" t="s">
        <v>1317</v>
      </c>
      <c r="F2" s="0" t="s">
        <v>1318</v>
      </c>
      <c r="G2" s="0" t="s">
        <v>1319</v>
      </c>
      <c r="H2" s="0" t="s">
        <v>1320</v>
      </c>
      <c r="I2" s="0" t="s">
        <v>1321</v>
      </c>
      <c r="J2" s="0" t="n">
        <v>52</v>
      </c>
      <c r="K2" s="0" t="s">
        <v>1316</v>
      </c>
      <c r="L2" s="0" t="s">
        <v>1317</v>
      </c>
      <c r="M2" s="0" t="s">
        <v>486</v>
      </c>
      <c r="N2" s="0" t="s">
        <v>1322</v>
      </c>
      <c r="O2" s="0" t="s">
        <v>1323</v>
      </c>
      <c r="P2" s="0" t="s">
        <v>146</v>
      </c>
      <c r="Q2" s="0" t="s">
        <v>1324</v>
      </c>
      <c r="R2" s="0" t="s">
        <v>1325</v>
      </c>
      <c r="T2" s="0" t="s">
        <v>1326</v>
      </c>
      <c r="U2" s="0" t="s">
        <v>589</v>
      </c>
      <c r="V2" s="0" t="s">
        <v>668</v>
      </c>
      <c r="W2" s="0" t="s">
        <v>1513</v>
      </c>
      <c r="X2" s="11" t="n">
        <v>46342</v>
      </c>
      <c r="Y2" s="10" t="s">
        <v>1514</v>
      </c>
      <c r="Z2" s="10" t="s">
        <v>486</v>
      </c>
      <c r="AA2" s="10" t="s">
        <v>1515</v>
      </c>
      <c r="AB2" s="11" t="n">
        <v>46336</v>
      </c>
      <c r="AD2" s="10" t="s">
        <v>1516</v>
      </c>
      <c r="AE2" s="10" t="s">
        <v>1319</v>
      </c>
      <c r="AF2" s="10" t="s">
        <v>1318</v>
      </c>
      <c r="AG2" s="10" t="s">
        <v>507</v>
      </c>
      <c r="AH2" s="10" t="s">
        <v>475</v>
      </c>
    </row>
    <row r="3" customFormat="false" ht="15" hidden="false" customHeight="false" outlineLevel="0" collapsed="false">
      <c r="A3" s="0" t="s">
        <v>1517</v>
      </c>
      <c r="B3" s="0" t="s">
        <v>254</v>
      </c>
      <c r="C3" s="0" t="s">
        <v>1441</v>
      </c>
      <c r="D3" s="0" t="s">
        <v>1442</v>
      </c>
      <c r="E3" s="0" t="s">
        <v>1317</v>
      </c>
      <c r="F3" s="0" t="s">
        <v>1443</v>
      </c>
      <c r="G3" s="0" t="s">
        <v>1444</v>
      </c>
      <c r="H3" s="0" t="s">
        <v>1445</v>
      </c>
      <c r="I3" s="0" t="s">
        <v>1446</v>
      </c>
      <c r="J3" s="0" t="n">
        <v>48</v>
      </c>
      <c r="K3" s="0" t="s">
        <v>1442</v>
      </c>
      <c r="L3" s="0" t="s">
        <v>1317</v>
      </c>
      <c r="M3" s="0" t="s">
        <v>486</v>
      </c>
      <c r="N3" s="0" t="s">
        <v>748</v>
      </c>
      <c r="O3" s="0" t="s">
        <v>1334</v>
      </c>
      <c r="P3" s="0" t="s">
        <v>146</v>
      </c>
      <c r="Q3" s="0" t="s">
        <v>1518</v>
      </c>
      <c r="R3" s="0" t="s">
        <v>1519</v>
      </c>
      <c r="T3" s="0" t="s">
        <v>1326</v>
      </c>
      <c r="U3" s="0" t="s">
        <v>338</v>
      </c>
      <c r="V3" s="0" t="s">
        <v>671</v>
      </c>
      <c r="W3" s="0" t="s">
        <v>1520</v>
      </c>
      <c r="X3" s="11" t="n">
        <v>46344</v>
      </c>
      <c r="Y3" s="10" t="s">
        <v>1521</v>
      </c>
      <c r="Z3" s="10" t="s">
        <v>507</v>
      </c>
      <c r="AA3" s="10" t="s">
        <v>1515</v>
      </c>
      <c r="AB3" s="11" t="n">
        <v>46338</v>
      </c>
      <c r="AD3" s="10" t="s">
        <v>1522</v>
      </c>
      <c r="AE3" s="10" t="s">
        <v>1444</v>
      </c>
      <c r="AF3" s="10" t="s">
        <v>1443</v>
      </c>
      <c r="AG3" s="10" t="s">
        <v>507</v>
      </c>
      <c r="AH3" s="10" t="s">
        <v>475</v>
      </c>
    </row>
    <row r="4" customFormat="false" ht="15" hidden="false" customHeight="false" outlineLevel="0" collapsed="false">
      <c r="A4" s="0" t="s">
        <v>1327</v>
      </c>
      <c r="B4" s="0" t="s">
        <v>1314</v>
      </c>
      <c r="C4" s="0" t="s">
        <v>1328</v>
      </c>
      <c r="D4" s="0" t="s">
        <v>1329</v>
      </c>
      <c r="E4" s="0" t="s">
        <v>1317</v>
      </c>
      <c r="F4" s="0" t="s">
        <v>1330</v>
      </c>
      <c r="G4" s="0" t="s">
        <v>1331</v>
      </c>
      <c r="H4" s="0" t="s">
        <v>1332</v>
      </c>
      <c r="I4" s="0" t="s">
        <v>1333</v>
      </c>
      <c r="J4" s="0" t="n">
        <v>95</v>
      </c>
      <c r="K4" s="0" t="s">
        <v>1329</v>
      </c>
      <c r="L4" s="0" t="s">
        <v>1317</v>
      </c>
      <c r="M4" s="0" t="s">
        <v>486</v>
      </c>
      <c r="N4" s="0" t="s">
        <v>1322</v>
      </c>
      <c r="O4" s="0" t="s">
        <v>1334</v>
      </c>
      <c r="P4" s="0" t="s">
        <v>1335</v>
      </c>
      <c r="Q4" s="0" t="s">
        <v>1324</v>
      </c>
      <c r="R4" s="0" t="s">
        <v>1336</v>
      </c>
      <c r="T4" s="0" t="s">
        <v>1326</v>
      </c>
      <c r="U4" s="0" t="s">
        <v>589</v>
      </c>
      <c r="V4" s="0" t="s">
        <v>673</v>
      </c>
      <c r="W4" s="0" t="s">
        <v>1523</v>
      </c>
      <c r="X4" s="11" t="n">
        <v>46350</v>
      </c>
      <c r="Y4" s="10" t="s">
        <v>1524</v>
      </c>
      <c r="Z4" s="10" t="s">
        <v>486</v>
      </c>
      <c r="AA4" s="10" t="s">
        <v>1525</v>
      </c>
      <c r="AB4" s="11" t="n">
        <v>46344</v>
      </c>
      <c r="AC4" s="0" t="n">
        <v>200</v>
      </c>
      <c r="AD4" s="10" t="s">
        <v>1526</v>
      </c>
      <c r="AE4" s="10" t="s">
        <v>1331</v>
      </c>
      <c r="AF4" s="10" t="s">
        <v>1330</v>
      </c>
      <c r="AG4" s="10" t="s">
        <v>507</v>
      </c>
      <c r="AH4" s="10" t="s">
        <v>475</v>
      </c>
    </row>
    <row r="5" customFormat="false" ht="15" hidden="false" customHeight="false" outlineLevel="0" collapsed="false">
      <c r="A5" s="0" t="s">
        <v>1527</v>
      </c>
      <c r="B5" s="0" t="s">
        <v>254</v>
      </c>
      <c r="C5" s="0" t="s">
        <v>1452</v>
      </c>
      <c r="D5" s="0" t="s">
        <v>1453</v>
      </c>
      <c r="E5" s="0" t="s">
        <v>1317</v>
      </c>
      <c r="F5" s="0" t="s">
        <v>1454</v>
      </c>
      <c r="G5" s="0" t="s">
        <v>1455</v>
      </c>
      <c r="H5" s="0" t="s">
        <v>1456</v>
      </c>
      <c r="I5" s="0" t="s">
        <v>1457</v>
      </c>
      <c r="J5" s="0" t="n">
        <v>110</v>
      </c>
      <c r="K5" s="0" t="s">
        <v>1453</v>
      </c>
      <c r="L5" s="0" t="s">
        <v>1317</v>
      </c>
      <c r="M5" s="0" t="s">
        <v>486</v>
      </c>
      <c r="N5" s="0" t="s">
        <v>1528</v>
      </c>
      <c r="O5" s="0" t="s">
        <v>1344</v>
      </c>
      <c r="P5" s="0" t="s">
        <v>146</v>
      </c>
      <c r="Q5" s="0" t="s">
        <v>1518</v>
      </c>
      <c r="R5" s="0" t="s">
        <v>1529</v>
      </c>
      <c r="T5" s="0" t="s">
        <v>1326</v>
      </c>
      <c r="U5" s="0" t="s">
        <v>338</v>
      </c>
      <c r="V5" s="0" t="s">
        <v>676</v>
      </c>
      <c r="W5" s="0" t="s">
        <v>1530</v>
      </c>
      <c r="X5" s="11" t="n">
        <v>46357</v>
      </c>
      <c r="Y5" s="10" t="s">
        <v>1531</v>
      </c>
      <c r="Z5" s="10" t="s">
        <v>507</v>
      </c>
      <c r="AA5" s="10" t="s">
        <v>1515</v>
      </c>
      <c r="AB5" s="11" t="n">
        <v>46351</v>
      </c>
      <c r="AD5" s="10" t="s">
        <v>1532</v>
      </c>
      <c r="AE5" s="10" t="s">
        <v>1455</v>
      </c>
      <c r="AF5" s="10" t="s">
        <v>1454</v>
      </c>
      <c r="AG5" s="10" t="s">
        <v>507</v>
      </c>
      <c r="AH5" s="10" t="s">
        <v>475</v>
      </c>
    </row>
    <row r="6" customFormat="false" ht="15" hidden="false" customHeight="false" outlineLevel="0" collapsed="false">
      <c r="A6" s="0" t="s">
        <v>1337</v>
      </c>
      <c r="B6" s="0" t="s">
        <v>1314</v>
      </c>
      <c r="C6" s="0" t="s">
        <v>1338</v>
      </c>
      <c r="D6" s="0" t="s">
        <v>1339</v>
      </c>
      <c r="E6" s="0" t="s">
        <v>1317</v>
      </c>
      <c r="F6" s="0" t="s">
        <v>1340</v>
      </c>
      <c r="G6" s="0" t="s">
        <v>1341</v>
      </c>
      <c r="H6" s="0" t="s">
        <v>1342</v>
      </c>
      <c r="I6" s="0" t="s">
        <v>1343</v>
      </c>
      <c r="J6" s="0" t="n">
        <v>190</v>
      </c>
      <c r="K6" s="0" t="s">
        <v>1339</v>
      </c>
      <c r="L6" s="0" t="s">
        <v>1317</v>
      </c>
      <c r="M6" s="0" t="s">
        <v>486</v>
      </c>
      <c r="N6" s="0" t="s">
        <v>748</v>
      </c>
      <c r="O6" s="0" t="s">
        <v>1344</v>
      </c>
      <c r="P6" s="0" t="s">
        <v>496</v>
      </c>
      <c r="Q6" s="0" t="s">
        <v>1324</v>
      </c>
      <c r="R6" s="0" t="s">
        <v>1345</v>
      </c>
      <c r="T6" s="0" t="s">
        <v>1326</v>
      </c>
      <c r="U6" s="0" t="s">
        <v>589</v>
      </c>
      <c r="V6" s="0" t="s">
        <v>678</v>
      </c>
      <c r="W6" s="0" t="s">
        <v>1533</v>
      </c>
      <c r="X6" s="11" t="n">
        <v>46359</v>
      </c>
      <c r="Y6" s="10" t="s">
        <v>1534</v>
      </c>
      <c r="Z6" s="10" t="s">
        <v>507</v>
      </c>
      <c r="AA6" s="10" t="s">
        <v>1515</v>
      </c>
      <c r="AB6" s="11" t="n">
        <v>46353</v>
      </c>
      <c r="AD6" s="10" t="s">
        <v>1535</v>
      </c>
      <c r="AE6" s="10" t="s">
        <v>1341</v>
      </c>
      <c r="AF6" s="10" t="s">
        <v>1340</v>
      </c>
      <c r="AG6" s="10" t="s">
        <v>507</v>
      </c>
      <c r="AH6" s="10" t="s">
        <v>475</v>
      </c>
    </row>
    <row r="7" customFormat="false" ht="15" hidden="false" customHeight="false" outlineLevel="0" collapsed="false">
      <c r="A7" s="0" t="s">
        <v>1346</v>
      </c>
      <c r="B7" s="0" t="s">
        <v>1314</v>
      </c>
      <c r="C7" s="0" t="s">
        <v>1347</v>
      </c>
      <c r="D7" s="0" t="s">
        <v>1348</v>
      </c>
      <c r="E7" s="0" t="s">
        <v>1317</v>
      </c>
      <c r="F7" s="0" t="s">
        <v>1349</v>
      </c>
      <c r="G7" s="0" t="s">
        <v>1350</v>
      </c>
      <c r="H7" s="0" t="s">
        <v>1351</v>
      </c>
      <c r="I7" s="0" t="s">
        <v>1352</v>
      </c>
      <c r="J7" s="0" t="n">
        <v>65</v>
      </c>
      <c r="K7" s="0" t="s">
        <v>1348</v>
      </c>
      <c r="L7" s="0" t="s">
        <v>1317</v>
      </c>
      <c r="M7" s="0" t="s">
        <v>486</v>
      </c>
      <c r="N7" s="0" t="s">
        <v>1322</v>
      </c>
      <c r="O7" s="0" t="s">
        <v>1323</v>
      </c>
      <c r="P7" s="0" t="s">
        <v>146</v>
      </c>
      <c r="Q7" s="0" t="s">
        <v>1324</v>
      </c>
      <c r="R7" s="0" t="s">
        <v>1353</v>
      </c>
      <c r="T7" s="0" t="s">
        <v>1326</v>
      </c>
      <c r="U7" s="0" t="s">
        <v>589</v>
      </c>
      <c r="V7" s="0" t="s">
        <v>680</v>
      </c>
      <c r="W7" s="0" t="s">
        <v>1536</v>
      </c>
      <c r="X7" s="11" t="n">
        <v>46392</v>
      </c>
      <c r="Y7" s="10" t="s">
        <v>1537</v>
      </c>
      <c r="Z7" s="10" t="s">
        <v>507</v>
      </c>
      <c r="AA7" s="10" t="s">
        <v>1515</v>
      </c>
      <c r="AB7" s="11" t="n">
        <v>46386</v>
      </c>
      <c r="AD7" s="10" t="s">
        <v>1516</v>
      </c>
      <c r="AE7" s="10" t="s">
        <v>1350</v>
      </c>
      <c r="AF7" s="10" t="s">
        <v>1349</v>
      </c>
      <c r="AG7" s="10" t="s">
        <v>507</v>
      </c>
      <c r="AH7" s="10" t="s">
        <v>475</v>
      </c>
    </row>
    <row r="8" customFormat="false" ht="15" hidden="false" customHeight="false" outlineLevel="0" collapsed="false">
      <c r="A8" s="0" t="s">
        <v>1354</v>
      </c>
      <c r="B8" s="0" t="s">
        <v>1314</v>
      </c>
      <c r="C8" s="0" t="s">
        <v>1355</v>
      </c>
      <c r="D8" s="0" t="s">
        <v>1356</v>
      </c>
      <c r="E8" s="0" t="s">
        <v>1317</v>
      </c>
      <c r="F8" s="0" t="s">
        <v>1357</v>
      </c>
      <c r="G8" s="0" t="s">
        <v>1358</v>
      </c>
      <c r="H8" s="0" t="s">
        <v>1359</v>
      </c>
      <c r="I8" s="0" t="s">
        <v>1360</v>
      </c>
      <c r="J8" s="0" t="n">
        <v>140</v>
      </c>
      <c r="K8" s="0" t="s">
        <v>1356</v>
      </c>
      <c r="L8" s="0" t="s">
        <v>1317</v>
      </c>
      <c r="M8" s="0" t="s">
        <v>486</v>
      </c>
      <c r="N8" s="0" t="s">
        <v>748</v>
      </c>
      <c r="O8" s="0" t="s">
        <v>1334</v>
      </c>
      <c r="P8" s="0" t="s">
        <v>146</v>
      </c>
      <c r="Q8" s="0" t="s">
        <v>1324</v>
      </c>
      <c r="R8" s="0" t="s">
        <v>1361</v>
      </c>
      <c r="S8" s="0" t="s">
        <v>1362</v>
      </c>
      <c r="T8" s="0" t="s">
        <v>1326</v>
      </c>
      <c r="U8" s="0" t="s">
        <v>589</v>
      </c>
      <c r="V8" s="0" t="s">
        <v>682</v>
      </c>
      <c r="W8" s="0" t="s">
        <v>1538</v>
      </c>
      <c r="X8" s="11" t="n">
        <v>46393</v>
      </c>
      <c r="Y8" s="10" t="s">
        <v>1539</v>
      </c>
      <c r="Z8" s="10" t="s">
        <v>507</v>
      </c>
      <c r="AA8" s="10" t="s">
        <v>1515</v>
      </c>
      <c r="AB8" s="11" t="n">
        <v>46387</v>
      </c>
      <c r="AD8" s="10" t="s">
        <v>1540</v>
      </c>
      <c r="AE8" s="10" t="s">
        <v>1358</v>
      </c>
      <c r="AF8" s="10" t="s">
        <v>1357</v>
      </c>
      <c r="AG8" s="10" t="s">
        <v>507</v>
      </c>
      <c r="AH8" s="10" t="s">
        <v>475</v>
      </c>
    </row>
    <row r="9" customFormat="false" ht="15" hidden="false" customHeight="false" outlineLevel="0" collapsed="false">
      <c r="A9" s="0" t="s">
        <v>1541</v>
      </c>
      <c r="B9" s="0" t="s">
        <v>254</v>
      </c>
      <c r="C9" s="0" t="s">
        <v>1460</v>
      </c>
      <c r="D9" s="0" t="s">
        <v>1461</v>
      </c>
      <c r="E9" s="0" t="s">
        <v>1317</v>
      </c>
      <c r="F9" s="0" t="s">
        <v>1462</v>
      </c>
      <c r="G9" s="0" t="s">
        <v>1463</v>
      </c>
      <c r="H9" s="0" t="s">
        <v>1464</v>
      </c>
      <c r="I9" s="0" t="s">
        <v>1465</v>
      </c>
      <c r="J9" s="0" t="n">
        <v>80</v>
      </c>
      <c r="K9" s="0" t="s">
        <v>1461</v>
      </c>
      <c r="L9" s="0" t="s">
        <v>1317</v>
      </c>
      <c r="M9" s="0" t="s">
        <v>486</v>
      </c>
      <c r="N9" s="0" t="s">
        <v>748</v>
      </c>
      <c r="O9" s="0" t="s">
        <v>1334</v>
      </c>
      <c r="P9" s="0" t="s">
        <v>496</v>
      </c>
      <c r="Q9" s="0" t="s">
        <v>1518</v>
      </c>
      <c r="R9" s="0" t="s">
        <v>1542</v>
      </c>
      <c r="T9" s="0" t="s">
        <v>1326</v>
      </c>
      <c r="U9" s="0" t="s">
        <v>338</v>
      </c>
      <c r="V9" s="0" t="s">
        <v>684</v>
      </c>
      <c r="W9" s="0" t="s">
        <v>1543</v>
      </c>
      <c r="X9" s="11" t="n">
        <v>46394</v>
      </c>
      <c r="Y9" s="10" t="s">
        <v>1544</v>
      </c>
      <c r="Z9" s="10" t="s">
        <v>507</v>
      </c>
      <c r="AA9" s="10" t="s">
        <v>1515</v>
      </c>
      <c r="AB9" s="11" t="n">
        <v>46388</v>
      </c>
      <c r="AD9" s="10" t="s">
        <v>1545</v>
      </c>
      <c r="AE9" s="10" t="s">
        <v>1463</v>
      </c>
      <c r="AF9" s="10" t="s">
        <v>1462</v>
      </c>
      <c r="AG9" s="10" t="s">
        <v>507</v>
      </c>
      <c r="AH9" s="10" t="s">
        <v>475</v>
      </c>
    </row>
    <row r="10" customFormat="false" ht="15" hidden="false" customHeight="false" outlineLevel="0" collapsed="false">
      <c r="A10" s="0" t="s">
        <v>1363</v>
      </c>
      <c r="B10" s="0" t="s">
        <v>1314</v>
      </c>
      <c r="C10" s="0" t="s">
        <v>1364</v>
      </c>
      <c r="D10" s="0" t="s">
        <v>1365</v>
      </c>
      <c r="E10" s="0" t="s">
        <v>1317</v>
      </c>
      <c r="F10" s="0" t="s">
        <v>1366</v>
      </c>
      <c r="G10" s="0" t="s">
        <v>1367</v>
      </c>
      <c r="H10" s="0" t="s">
        <v>1368</v>
      </c>
      <c r="I10" s="0" t="s">
        <v>1369</v>
      </c>
      <c r="J10" s="0" t="n">
        <v>220</v>
      </c>
      <c r="K10" s="0" t="s">
        <v>1365</v>
      </c>
      <c r="L10" s="0" t="s">
        <v>1317</v>
      </c>
      <c r="M10" s="0" t="s">
        <v>486</v>
      </c>
      <c r="N10" s="0" t="s">
        <v>748</v>
      </c>
      <c r="O10" s="0" t="s">
        <v>1344</v>
      </c>
      <c r="P10" s="0" t="s">
        <v>146</v>
      </c>
      <c r="Q10" s="0" t="s">
        <v>1324</v>
      </c>
      <c r="R10" s="0" t="s">
        <v>1370</v>
      </c>
      <c r="T10" s="0" t="s">
        <v>1326</v>
      </c>
      <c r="U10" s="0" t="s">
        <v>589</v>
      </c>
      <c r="V10" s="0" t="s">
        <v>686</v>
      </c>
      <c r="W10" s="0" t="s">
        <v>1546</v>
      </c>
      <c r="X10" s="11" t="n">
        <v>46395</v>
      </c>
      <c r="Y10" s="10" t="s">
        <v>1547</v>
      </c>
      <c r="Z10" s="10" t="s">
        <v>507</v>
      </c>
      <c r="AA10" s="10" t="s">
        <v>1515</v>
      </c>
      <c r="AB10" s="11" t="n">
        <v>46389</v>
      </c>
      <c r="AD10" s="10" t="s">
        <v>1548</v>
      </c>
      <c r="AE10" s="10" t="s">
        <v>1367</v>
      </c>
      <c r="AF10" s="10" t="s">
        <v>1366</v>
      </c>
      <c r="AG10" s="10" t="s">
        <v>507</v>
      </c>
      <c r="AH10" s="10" t="s">
        <v>475</v>
      </c>
    </row>
    <row r="11" customFormat="false" ht="15" hidden="false" customHeight="false" outlineLevel="0" collapsed="false">
      <c r="A11" s="0" t="s">
        <v>1549</v>
      </c>
      <c r="B11" s="0" t="s">
        <v>254</v>
      </c>
      <c r="C11" s="0" t="s">
        <v>1468</v>
      </c>
      <c r="D11" s="0" t="s">
        <v>1469</v>
      </c>
      <c r="E11" s="0" t="s">
        <v>1317</v>
      </c>
      <c r="F11" s="0" t="s">
        <v>1470</v>
      </c>
      <c r="G11" s="0" t="s">
        <v>1471</v>
      </c>
      <c r="H11" s="0" t="s">
        <v>1472</v>
      </c>
      <c r="I11" s="0" t="s">
        <v>1321</v>
      </c>
      <c r="J11" s="0" t="n">
        <v>45</v>
      </c>
      <c r="K11" s="0" t="s">
        <v>1469</v>
      </c>
      <c r="L11" s="0" t="s">
        <v>1317</v>
      </c>
      <c r="M11" s="0" t="s">
        <v>486</v>
      </c>
      <c r="N11" s="0" t="s">
        <v>1322</v>
      </c>
      <c r="O11" s="0" t="s">
        <v>1323</v>
      </c>
      <c r="P11" s="0" t="s">
        <v>146</v>
      </c>
      <c r="Q11" s="0" t="s">
        <v>1518</v>
      </c>
      <c r="R11" s="0" t="s">
        <v>1550</v>
      </c>
      <c r="T11" s="0" t="s">
        <v>1326</v>
      </c>
      <c r="U11" s="0" t="s">
        <v>338</v>
      </c>
      <c r="V11" s="0" t="s">
        <v>688</v>
      </c>
      <c r="W11" s="0" t="s">
        <v>1551</v>
      </c>
      <c r="X11" s="11" t="n">
        <v>46400</v>
      </c>
      <c r="Y11" s="10" t="s">
        <v>1552</v>
      </c>
      <c r="Z11" s="10" t="s">
        <v>507</v>
      </c>
      <c r="AA11" s="10" t="s">
        <v>1515</v>
      </c>
      <c r="AB11" s="11" t="n">
        <v>46394</v>
      </c>
      <c r="AD11" s="10" t="s">
        <v>1553</v>
      </c>
      <c r="AE11" s="10" t="s">
        <v>1471</v>
      </c>
      <c r="AF11" s="10" t="s">
        <v>1470</v>
      </c>
      <c r="AG11" s="10" t="s">
        <v>507</v>
      </c>
      <c r="AH11" s="10"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1311</v>
      </c>
      <c r="B1" s="40" t="s">
        <v>1312</v>
      </c>
      <c r="C1" s="40" t="s">
        <v>411</v>
      </c>
      <c r="D1" s="40" t="s">
        <v>589</v>
      </c>
      <c r="E1" s="40" t="s">
        <v>591</v>
      </c>
      <c r="F1" s="40" t="s">
        <v>592</v>
      </c>
      <c r="G1" s="40" t="s">
        <v>593</v>
      </c>
      <c r="H1" s="40" t="s">
        <v>594</v>
      </c>
      <c r="I1" s="40" t="s">
        <v>365</v>
      </c>
      <c r="J1" s="40" t="s">
        <v>412</v>
      </c>
      <c r="K1" s="40" t="s">
        <v>590</v>
      </c>
      <c r="L1" s="40" t="s">
        <v>596</v>
      </c>
      <c r="M1" s="40" t="s">
        <v>595</v>
      </c>
      <c r="N1" s="40" t="s">
        <v>597</v>
      </c>
      <c r="O1" s="40" t="s">
        <v>1371</v>
      </c>
      <c r="P1" s="40" t="s">
        <v>1372</v>
      </c>
      <c r="Q1" s="40" t="s">
        <v>598</v>
      </c>
      <c r="R1" s="40" t="s">
        <v>599</v>
      </c>
      <c r="S1" s="40" t="s">
        <v>600</v>
      </c>
      <c r="T1" s="40" t="s">
        <v>601</v>
      </c>
      <c r="U1" s="40" t="s">
        <v>602</v>
      </c>
      <c r="V1" s="40" t="s">
        <v>603</v>
      </c>
      <c r="W1" s="40" t="s">
        <v>604</v>
      </c>
      <c r="X1" s="40" t="s">
        <v>605</v>
      </c>
      <c r="Y1" s="40" t="s">
        <v>606</v>
      </c>
      <c r="Z1" s="40" t="s">
        <v>305</v>
      </c>
      <c r="AA1" s="40" t="s">
        <v>807</v>
      </c>
      <c r="AB1" s="40" t="s">
        <v>359</v>
      </c>
      <c r="AC1" s="40" t="s">
        <v>658</v>
      </c>
      <c r="AD1" s="40" t="s">
        <v>100</v>
      </c>
      <c r="AE1" s="40" t="s">
        <v>414</v>
      </c>
      <c r="AF1" s="40" t="s">
        <v>1554</v>
      </c>
      <c r="AG1" s="40" t="s">
        <v>415</v>
      </c>
      <c r="AH1" s="40" t="s">
        <v>363</v>
      </c>
      <c r="AI1" s="40" t="s">
        <v>1262</v>
      </c>
      <c r="AJ1" s="40" t="s">
        <v>1555</v>
      </c>
      <c r="AK1" s="40" t="s">
        <v>1556</v>
      </c>
      <c r="AL1" s="40" t="s">
        <v>383</v>
      </c>
      <c r="AM1" s="40" t="s">
        <v>384</v>
      </c>
      <c r="AN1" s="40" t="s">
        <v>385</v>
      </c>
      <c r="AO1" s="40" t="s">
        <v>367</v>
      </c>
      <c r="AP1" s="40" t="s">
        <v>369</v>
      </c>
      <c r="AQ1" s="40" t="s">
        <v>376</v>
      </c>
      <c r="AR1" s="40" t="s">
        <v>377</v>
      </c>
      <c r="AS1" s="40" t="s">
        <v>379</v>
      </c>
      <c r="AT1" s="40" t="s">
        <v>380</v>
      </c>
      <c r="AU1" s="40" t="s">
        <v>1557</v>
      </c>
      <c r="AV1" s="40" t="s">
        <v>358</v>
      </c>
      <c r="AW1" s="40" t="s">
        <v>381</v>
      </c>
      <c r="AX1" s="40" t="s">
        <v>382</v>
      </c>
      <c r="AY1" s="40" t="s">
        <v>583</v>
      </c>
      <c r="AZ1" s="40" t="s">
        <v>584</v>
      </c>
      <c r="BA1" s="40" t="s">
        <v>585</v>
      </c>
      <c r="BB1" s="40" t="s">
        <v>364</v>
      </c>
      <c r="BC1" s="40" t="s">
        <v>588</v>
      </c>
      <c r="BD1" s="40" t="s">
        <v>370</v>
      </c>
      <c r="BE1" s="40" t="s">
        <v>368</v>
      </c>
      <c r="BF1" s="40" t="s">
        <v>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358</v>
      </c>
      <c r="B1" s="28" t="s">
        <v>632</v>
      </c>
      <c r="C1" s="28" t="s">
        <v>436</v>
      </c>
      <c r="D1" s="28" t="s">
        <v>716</v>
      </c>
      <c r="E1" s="28" t="s">
        <v>440</v>
      </c>
      <c r="F1" s="28" t="s">
        <v>441</v>
      </c>
      <c r="G1" s="28" t="s">
        <v>442</v>
      </c>
      <c r="H1" s="28" t="s">
        <v>717</v>
      </c>
      <c r="I1" s="28" t="s">
        <v>718</v>
      </c>
      <c r="J1" s="28" t="s">
        <v>719</v>
      </c>
      <c r="K1" s="28" t="s">
        <v>720</v>
      </c>
      <c r="L1" s="28" t="s">
        <v>721</v>
      </c>
      <c r="M1" s="28" t="s">
        <v>147</v>
      </c>
      <c r="N1" s="28" t="s">
        <v>1558</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1421</v>
      </c>
      <c r="B1" s="41" t="s">
        <v>1559</v>
      </c>
      <c r="C1" s="41" t="s">
        <v>1560</v>
      </c>
      <c r="D1" s="41" t="s">
        <v>1561</v>
      </c>
      <c r="E1" s="41" t="s">
        <v>1562</v>
      </c>
      <c r="F1" s="41" t="s">
        <v>1563</v>
      </c>
      <c r="G1" s="41" t="s">
        <v>1564</v>
      </c>
      <c r="I1" s="23" t="s">
        <v>1565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1421</v>
      </c>
      <c r="B1" s="41" t="s">
        <v>1559</v>
      </c>
      <c r="C1" s="41" t="s">
        <v>1566</v>
      </c>
      <c r="D1" s="41" t="s">
        <v>1561</v>
      </c>
      <c r="E1" s="41" t="s">
        <v>1562</v>
      </c>
      <c r="F1" s="41" t="s">
        <v>1563</v>
      </c>
      <c r="G1" s="41" t="s">
        <v>1567</v>
      </c>
    </row>
    <row r="2" customFormat="false" ht="15" hidden="false" customHeight="false" outlineLevel="0" collapsed="false">
      <c r="A2" s="42" t="n">
        <v>46394.675</v>
      </c>
      <c r="B2" s="10" t="s">
        <v>1568</v>
      </c>
      <c r="C2" s="10" t="s">
        <v>1466</v>
      </c>
      <c r="D2" s="0" t="n">
        <v>5</v>
      </c>
      <c r="E2" s="10" t="s">
        <v>1466</v>
      </c>
      <c r="G2" s="10" t="s">
        <v>1569</v>
      </c>
    </row>
    <row r="3" customFormat="false" ht="15" hidden="false" customHeight="false" outlineLevel="0" collapsed="false">
      <c r="A3" s="42" t="n">
        <v>46399.3756944445</v>
      </c>
      <c r="B3" s="10" t="s">
        <v>1570</v>
      </c>
      <c r="C3" s="10" t="s">
        <v>1449</v>
      </c>
      <c r="F3" s="10" t="s">
        <v>1571</v>
      </c>
      <c r="G3" s="10" t="s">
        <v>491</v>
      </c>
    </row>
    <row r="4" customFormat="false" ht="15" hidden="false" customHeight="false" outlineLevel="0" collapsed="false">
      <c r="A4" s="42" t="n">
        <v>46399.3861111111</v>
      </c>
      <c r="B4" s="10" t="s">
        <v>1572</v>
      </c>
      <c r="C4" s="10" t="s">
        <v>1466</v>
      </c>
      <c r="D4" s="0" t="n">
        <v>4</v>
      </c>
      <c r="E4" s="10" t="s">
        <v>1466</v>
      </c>
      <c r="G4" s="10" t="s">
        <v>491</v>
      </c>
    </row>
    <row r="5" customFormat="false" ht="15" hidden="false" customHeight="false" outlineLevel="0" collapsed="false">
      <c r="A5" s="42" t="n">
        <v>46399.4027777778</v>
      </c>
      <c r="B5" s="10" t="s">
        <v>1568</v>
      </c>
      <c r="C5" s="10" t="s">
        <v>1466</v>
      </c>
      <c r="D5" s="0" t="n">
        <v>3</v>
      </c>
      <c r="E5" s="10" t="s">
        <v>1573</v>
      </c>
      <c r="G5" s="10" t="s">
        <v>492</v>
      </c>
    </row>
    <row r="6" customFormat="false" ht="15" hidden="false" customHeight="false" outlineLevel="0" collapsed="false">
      <c r="A6" s="42" t="n">
        <v>46399.4416666667</v>
      </c>
      <c r="B6" s="10" t="s">
        <v>1572</v>
      </c>
      <c r="C6" s="10" t="s">
        <v>1449</v>
      </c>
      <c r="F6" s="10" t="s">
        <v>1574</v>
      </c>
    </row>
    <row r="7" customFormat="false" ht="15" hidden="false" customHeight="false" outlineLevel="0" collapsed="false">
      <c r="A7" s="42" t="n">
        <v>46399.4569444444</v>
      </c>
      <c r="B7" s="10" t="s">
        <v>1575</v>
      </c>
      <c r="C7" s="10" t="s">
        <v>1466</v>
      </c>
      <c r="D7" s="0" t="n">
        <v>5</v>
      </c>
      <c r="E7" s="10" t="s">
        <v>1466</v>
      </c>
      <c r="G7" s="10" t="s">
        <v>1576</v>
      </c>
    </row>
    <row r="8" customFormat="false" ht="15" hidden="false" customHeight="false" outlineLevel="0" collapsed="false">
      <c r="A8" s="42" t="n">
        <v>46399.5097222222</v>
      </c>
      <c r="B8" s="10" t="s">
        <v>1577</v>
      </c>
      <c r="C8" s="10" t="s">
        <v>1466</v>
      </c>
      <c r="D8" s="0" t="n">
        <v>4</v>
      </c>
      <c r="E8" s="10" t="s">
        <v>1466</v>
      </c>
    </row>
    <row r="9" customFormat="false" ht="15" hidden="false" customHeight="false" outlineLevel="0" collapsed="false">
      <c r="A9" s="42" t="n">
        <v>46399.5375</v>
      </c>
      <c r="B9" s="10" t="s">
        <v>1575</v>
      </c>
      <c r="C9" s="10" t="s">
        <v>1466</v>
      </c>
      <c r="D9" s="0" t="n">
        <v>5</v>
      </c>
      <c r="E9" s="10" t="s">
        <v>1466</v>
      </c>
      <c r="G9" s="10" t="s">
        <v>1576</v>
      </c>
    </row>
    <row r="10" customFormat="false" ht="15" hidden="false" customHeight="false" outlineLevel="0" collapsed="false">
      <c r="A10" s="42" t="n">
        <v>46399.5513888889</v>
      </c>
      <c r="B10" s="10" t="s">
        <v>1575</v>
      </c>
      <c r="C10" s="10" t="s">
        <v>1466</v>
      </c>
      <c r="D10" s="0" t="n">
        <v>4</v>
      </c>
      <c r="E10" s="10" t="s">
        <v>1449</v>
      </c>
    </row>
    <row r="11" customFormat="false" ht="15" hidden="false" customHeight="false" outlineLevel="0" collapsed="false">
      <c r="A11" s="42" t="n">
        <v>46399.5520833333</v>
      </c>
      <c r="B11" s="10" t="s">
        <v>1572</v>
      </c>
      <c r="C11" s="10" t="s">
        <v>1449</v>
      </c>
      <c r="F11" s="10" t="s">
        <v>1578</v>
      </c>
      <c r="G11" s="10" t="s">
        <v>510</v>
      </c>
    </row>
    <row r="12" customFormat="false" ht="15" hidden="false" customHeight="false" outlineLevel="0" collapsed="false">
      <c r="A12" s="42" t="n">
        <v>46400.3770833333</v>
      </c>
      <c r="B12" s="10" t="s">
        <v>1570</v>
      </c>
      <c r="C12" s="10" t="s">
        <v>1466</v>
      </c>
      <c r="D12" s="0" t="n">
        <v>4</v>
      </c>
      <c r="E12" s="10" t="s">
        <v>1466</v>
      </c>
      <c r="G12" s="10" t="s">
        <v>1579</v>
      </c>
    </row>
    <row r="13" customFormat="false" ht="15" hidden="false" customHeight="false" outlineLevel="0" collapsed="false">
      <c r="A13" s="42" t="n">
        <v>46400.4</v>
      </c>
      <c r="B13" s="10" t="s">
        <v>1575</v>
      </c>
      <c r="C13" s="10" t="s">
        <v>1449</v>
      </c>
      <c r="F13" s="10" t="s">
        <v>1578</v>
      </c>
      <c r="G13" s="10" t="s">
        <v>491</v>
      </c>
    </row>
    <row r="14" customFormat="false" ht="15" hidden="false" customHeight="false" outlineLevel="0" collapsed="false">
      <c r="A14" s="42" t="n">
        <v>46400.4284722222</v>
      </c>
      <c r="B14" s="10" t="s">
        <v>1568</v>
      </c>
      <c r="C14" s="10" t="s">
        <v>1466</v>
      </c>
      <c r="D14" s="0" t="n">
        <v>3</v>
      </c>
      <c r="E14" s="10" t="s">
        <v>1573</v>
      </c>
      <c r="G14" s="10" t="s">
        <v>1580</v>
      </c>
    </row>
    <row r="15" customFormat="false" ht="15" hidden="false" customHeight="false" outlineLevel="0" collapsed="false">
      <c r="A15" s="42" t="n">
        <v>46400.4416666667</v>
      </c>
      <c r="B15" s="10" t="s">
        <v>1577</v>
      </c>
      <c r="C15" s="10" t="s">
        <v>1466</v>
      </c>
      <c r="D15" s="0" t="n">
        <v>4</v>
      </c>
      <c r="E15" s="10" t="s">
        <v>1573</v>
      </c>
    </row>
    <row r="16" customFormat="false" ht="15" hidden="false" customHeight="false" outlineLevel="0" collapsed="false">
      <c r="A16" s="42" t="n">
        <v>46400.4652777778</v>
      </c>
      <c r="B16" s="10" t="s">
        <v>1572</v>
      </c>
      <c r="C16" s="10" t="s">
        <v>1449</v>
      </c>
      <c r="F16" s="10" t="s">
        <v>1574</v>
      </c>
      <c r="G16" s="10" t="s">
        <v>1576</v>
      </c>
    </row>
    <row r="17" customFormat="false" ht="15" hidden="false" customHeight="false" outlineLevel="0" collapsed="false">
      <c r="A17" s="42" t="n">
        <v>46400.4986111111</v>
      </c>
      <c r="B17" s="10" t="s">
        <v>1568</v>
      </c>
      <c r="C17" s="10" t="s">
        <v>1449</v>
      </c>
      <c r="F17" s="10" t="s">
        <v>1574</v>
      </c>
    </row>
    <row r="18" customFormat="false" ht="15" hidden="false" customHeight="false" outlineLevel="0" collapsed="false">
      <c r="A18" s="42" t="n">
        <v>46400.5402777778</v>
      </c>
      <c r="B18" s="10" t="s">
        <v>1575</v>
      </c>
      <c r="C18" s="10" t="s">
        <v>1466</v>
      </c>
      <c r="D18" s="0" t="n">
        <v>5</v>
      </c>
      <c r="E18" s="10" t="s">
        <v>1573</v>
      </c>
    </row>
    <row r="19" customFormat="false" ht="15" hidden="false" customHeight="false" outlineLevel="0" collapsed="false">
      <c r="A19" s="42" t="n">
        <v>46400.5486111111</v>
      </c>
      <c r="B19" s="10" t="s">
        <v>1568</v>
      </c>
      <c r="C19" s="10" t="s">
        <v>1466</v>
      </c>
      <c r="D19" s="0" t="n">
        <v>4</v>
      </c>
      <c r="E19" s="10" t="s">
        <v>1466</v>
      </c>
    </row>
    <row r="20" customFormat="false" ht="15" hidden="false" customHeight="false" outlineLevel="0" collapsed="false">
      <c r="A20" s="42" t="n">
        <v>46400.5541666667</v>
      </c>
      <c r="B20" s="10" t="s">
        <v>1577</v>
      </c>
      <c r="C20" s="10" t="s">
        <v>1466</v>
      </c>
      <c r="D20" s="0" t="n">
        <v>4</v>
      </c>
      <c r="E20" s="10" t="s">
        <v>1573</v>
      </c>
    </row>
    <row r="21" customFormat="false" ht="15" hidden="false" customHeight="false" outlineLevel="0" collapsed="false">
      <c r="A21" s="42" t="n">
        <v>46400.5569444444</v>
      </c>
      <c r="B21" s="10" t="s">
        <v>1577</v>
      </c>
      <c r="C21" s="10" t="s">
        <v>1466</v>
      </c>
      <c r="D21" s="0" t="n">
        <v>5</v>
      </c>
      <c r="E21" s="10" t="s">
        <v>1466</v>
      </c>
      <c r="G21" s="10" t="s">
        <v>511</v>
      </c>
    </row>
    <row r="22" customFormat="false" ht="15" hidden="false" customHeight="false" outlineLevel="0" collapsed="false">
      <c r="A22" s="42" t="n">
        <v>46400.5625</v>
      </c>
      <c r="B22" s="10" t="s">
        <v>1577</v>
      </c>
      <c r="C22" s="10" t="s">
        <v>1466</v>
      </c>
      <c r="D22" s="0" t="n">
        <v>4</v>
      </c>
      <c r="E22" s="10" t="s">
        <v>1449</v>
      </c>
      <c r="G22" s="10" t="s">
        <v>491</v>
      </c>
    </row>
    <row r="23" customFormat="false" ht="15" hidden="false" customHeight="false" outlineLevel="0" collapsed="false">
      <c r="A23" s="42" t="n">
        <v>46400.5791666667</v>
      </c>
      <c r="B23" s="10" t="s">
        <v>1568</v>
      </c>
      <c r="C23" s="10" t="s">
        <v>1466</v>
      </c>
      <c r="D23" s="0" t="n">
        <v>5</v>
      </c>
      <c r="E23" s="10" t="s">
        <v>1449</v>
      </c>
      <c r="G23" s="10" t="s">
        <v>510</v>
      </c>
    </row>
    <row r="24" customFormat="false" ht="15" hidden="false" customHeight="false" outlineLevel="0" collapsed="false">
      <c r="A24" s="42" t="n">
        <v>46400.5909722222</v>
      </c>
      <c r="B24" s="10" t="s">
        <v>1575</v>
      </c>
      <c r="C24" s="10" t="s">
        <v>1466</v>
      </c>
      <c r="D24" s="0" t="n">
        <v>5</v>
      </c>
      <c r="E24" s="10" t="s">
        <v>1466</v>
      </c>
    </row>
    <row r="25" customFormat="false" ht="15" hidden="false" customHeight="false" outlineLevel="0" collapsed="false">
      <c r="A25" s="42" t="n">
        <v>46400.6270833333</v>
      </c>
      <c r="B25" s="10" t="s">
        <v>1568</v>
      </c>
      <c r="C25" s="10" t="s">
        <v>1466</v>
      </c>
      <c r="D25" s="0" t="n">
        <v>4</v>
      </c>
      <c r="E25" s="10" t="s">
        <v>1449</v>
      </c>
      <c r="G25" s="10" t="s">
        <v>1576</v>
      </c>
    </row>
    <row r="26" customFormat="false" ht="15" hidden="false" customHeight="false" outlineLevel="0" collapsed="false">
      <c r="A26" s="42" t="n">
        <v>46400.6458333333</v>
      </c>
      <c r="B26" s="10" t="s">
        <v>1568</v>
      </c>
      <c r="C26" s="10" t="s">
        <v>1466</v>
      </c>
      <c r="D26" s="0" t="n">
        <v>4</v>
      </c>
      <c r="E26" s="10" t="s">
        <v>1466</v>
      </c>
    </row>
    <row r="27" customFormat="false" ht="15" hidden="false" customHeight="false" outlineLevel="0" collapsed="false">
      <c r="A27" s="42" t="n">
        <v>46401.54375</v>
      </c>
      <c r="B27" s="10" t="s">
        <v>1581</v>
      </c>
      <c r="C27" s="10" t="s">
        <v>1449</v>
      </c>
      <c r="F27" s="10" t="s">
        <v>1578</v>
      </c>
    </row>
    <row r="28" customFormat="false" ht="15" hidden="false" customHeight="false" outlineLevel="0" collapsed="false">
      <c r="A28" s="42" t="n">
        <v>46401.5444444444</v>
      </c>
      <c r="B28" s="10" t="s">
        <v>1572</v>
      </c>
      <c r="C28" s="10" t="s">
        <v>1466</v>
      </c>
      <c r="D28" s="0" t="n">
        <v>4</v>
      </c>
      <c r="E28" s="10" t="s">
        <v>1466</v>
      </c>
      <c r="G28" s="10" t="s">
        <v>1576</v>
      </c>
    </row>
    <row r="29" customFormat="false" ht="15" hidden="false" customHeight="false" outlineLevel="0" collapsed="false">
      <c r="A29" s="42" t="n">
        <v>46401.6076388889</v>
      </c>
      <c r="B29" s="10" t="s">
        <v>1568</v>
      </c>
      <c r="C29" s="10" t="s">
        <v>1466</v>
      </c>
      <c r="D29" s="0" t="n">
        <v>4</v>
      </c>
      <c r="E29" s="10" t="s">
        <v>1449</v>
      </c>
    </row>
    <row r="30" customFormat="false" ht="15" hidden="false" customHeight="false" outlineLevel="0" collapsed="false">
      <c r="A30" s="42" t="n">
        <v>46401.6965277778</v>
      </c>
      <c r="B30" s="10" t="s">
        <v>1570</v>
      </c>
      <c r="C30" s="10" t="s">
        <v>1466</v>
      </c>
      <c r="D30" s="0" t="n">
        <v>4</v>
      </c>
      <c r="E30" s="10" t="s">
        <v>1573</v>
      </c>
      <c r="G30" s="10" t="s">
        <v>1576</v>
      </c>
    </row>
    <row r="31" customFormat="false" ht="15" hidden="false" customHeight="false" outlineLevel="0" collapsed="false">
      <c r="A31" s="42" t="n">
        <v>46401.70625</v>
      </c>
      <c r="B31" s="10" t="s">
        <v>1572</v>
      </c>
      <c r="C31" s="10" t="s">
        <v>1466</v>
      </c>
      <c r="D31" s="0" t="n">
        <v>5</v>
      </c>
      <c r="E31" s="10" t="s">
        <v>1449</v>
      </c>
    </row>
    <row r="32" customFormat="false" ht="15" hidden="false" customHeight="false" outlineLevel="0" collapsed="false">
      <c r="A32" s="42" t="n">
        <v>46402.4069444445</v>
      </c>
      <c r="B32" s="10" t="s">
        <v>1577</v>
      </c>
      <c r="C32" s="10" t="s">
        <v>1466</v>
      </c>
      <c r="D32" s="0" t="n">
        <v>4</v>
      </c>
      <c r="E32" s="10" t="s">
        <v>1573</v>
      </c>
    </row>
    <row r="33" customFormat="false" ht="15" hidden="false" customHeight="false" outlineLevel="0" collapsed="false">
      <c r="A33" s="42" t="n">
        <v>46402.4097222222</v>
      </c>
      <c r="B33" s="10" t="s">
        <v>1570</v>
      </c>
      <c r="C33" s="10" t="s">
        <v>1449</v>
      </c>
      <c r="F33" s="10" t="s">
        <v>1574</v>
      </c>
    </row>
    <row r="34" customFormat="false" ht="15" hidden="false" customHeight="false" outlineLevel="0" collapsed="false">
      <c r="A34" s="42" t="n">
        <v>46402.4555555556</v>
      </c>
      <c r="B34" s="10" t="s">
        <v>1572</v>
      </c>
      <c r="C34" s="10" t="s">
        <v>1449</v>
      </c>
      <c r="F34" s="10" t="s">
        <v>1571</v>
      </c>
      <c r="G34" s="10" t="s">
        <v>491</v>
      </c>
    </row>
    <row r="35" customFormat="false" ht="15" hidden="false" customHeight="false" outlineLevel="0" collapsed="false">
      <c r="A35" s="42" t="n">
        <v>46402.5229166667</v>
      </c>
      <c r="B35" s="10" t="s">
        <v>1572</v>
      </c>
      <c r="C35" s="10" t="s">
        <v>1449</v>
      </c>
      <c r="F35" s="10" t="s">
        <v>1574</v>
      </c>
    </row>
    <row r="36" customFormat="false" ht="15" hidden="false" customHeight="false" outlineLevel="0" collapsed="false">
      <c r="A36" s="42" t="n">
        <v>46402.6</v>
      </c>
      <c r="B36" s="10" t="s">
        <v>1568</v>
      </c>
      <c r="C36" s="10" t="s">
        <v>1466</v>
      </c>
      <c r="D36" s="0" t="n">
        <v>4</v>
      </c>
      <c r="E36" s="10" t="s">
        <v>1573</v>
      </c>
      <c r="G36" s="10" t="s">
        <v>1580</v>
      </c>
    </row>
    <row r="37" customFormat="false" ht="15" hidden="false" customHeight="false" outlineLevel="0" collapsed="false">
      <c r="A37" s="42" t="n">
        <v>46402.6958333333</v>
      </c>
      <c r="B37" s="10" t="s">
        <v>1577</v>
      </c>
      <c r="C37" s="10" t="s">
        <v>1466</v>
      </c>
      <c r="D37" s="0" t="n">
        <v>5</v>
      </c>
      <c r="E37" s="10" t="s">
        <v>1449</v>
      </c>
    </row>
    <row r="38" customFormat="false" ht="15" hidden="false" customHeight="false" outlineLevel="0" collapsed="false">
      <c r="A38" s="42" t="n">
        <v>46407.3618055556</v>
      </c>
      <c r="B38" s="10" t="s">
        <v>1572</v>
      </c>
      <c r="C38" s="10" t="s">
        <v>1466</v>
      </c>
      <c r="D38" s="0" t="n">
        <v>4</v>
      </c>
      <c r="E38" s="10" t="s">
        <v>1573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1421</v>
      </c>
      <c r="B1" s="41" t="s">
        <v>1559</v>
      </c>
      <c r="C1" s="41" t="s">
        <v>1582</v>
      </c>
      <c r="D1" s="41" t="s">
        <v>1561</v>
      </c>
      <c r="E1" s="41" t="s">
        <v>1562</v>
      </c>
      <c r="F1" s="41" t="s">
        <v>1563</v>
      </c>
      <c r="G1" s="41" t="s">
        <v>1583</v>
      </c>
    </row>
    <row r="2" customFormat="false" ht="15" hidden="false" customHeight="false" outlineLevel="0" collapsed="false">
      <c r="A2" s="42" t="n">
        <v>46399.4145833333</v>
      </c>
      <c r="B2" s="10" t="s">
        <v>1584</v>
      </c>
      <c r="C2" s="10" t="s">
        <v>1466</v>
      </c>
      <c r="D2" s="0" t="n">
        <v>3</v>
      </c>
      <c r="E2" s="10" t="s">
        <v>1466</v>
      </c>
      <c r="G2" s="10" t="s">
        <v>510</v>
      </c>
    </row>
    <row r="3" customFormat="false" ht="15" hidden="false" customHeight="false" outlineLevel="0" collapsed="false">
      <c r="A3" s="42" t="n">
        <v>46399.4215277778</v>
      </c>
      <c r="B3" s="10" t="s">
        <v>1584</v>
      </c>
      <c r="C3" s="10" t="s">
        <v>1466</v>
      </c>
      <c r="D3" s="0" t="n">
        <v>5</v>
      </c>
      <c r="E3" s="10" t="s">
        <v>1573</v>
      </c>
      <c r="G3" s="10" t="s">
        <v>511</v>
      </c>
    </row>
    <row r="4" customFormat="false" ht="15" hidden="false" customHeight="false" outlineLevel="0" collapsed="false">
      <c r="A4" s="42" t="n">
        <v>46399.4604166667</v>
      </c>
      <c r="B4" s="10" t="s">
        <v>1584</v>
      </c>
      <c r="C4" s="10" t="s">
        <v>1466</v>
      </c>
      <c r="D4" s="0" t="n">
        <v>5</v>
      </c>
      <c r="E4" s="10" t="s">
        <v>1449</v>
      </c>
      <c r="G4" s="10" t="s">
        <v>512</v>
      </c>
    </row>
    <row r="5" customFormat="false" ht="15" hidden="false" customHeight="false" outlineLevel="0" collapsed="false">
      <c r="A5" s="42" t="n">
        <v>46399.4881944444</v>
      </c>
      <c r="B5" s="10" t="s">
        <v>1584</v>
      </c>
      <c r="C5" s="10" t="s">
        <v>1449</v>
      </c>
      <c r="F5" s="10" t="s">
        <v>1574</v>
      </c>
      <c r="G5" s="10" t="s">
        <v>1576</v>
      </c>
    </row>
    <row r="6" customFormat="false" ht="15" hidden="false" customHeight="false" outlineLevel="0" collapsed="false">
      <c r="A6" s="42" t="n">
        <v>46399.4944444444</v>
      </c>
      <c r="B6" s="10" t="s">
        <v>1585</v>
      </c>
      <c r="C6" s="10" t="s">
        <v>1466</v>
      </c>
      <c r="D6" s="0" t="n">
        <v>4</v>
      </c>
      <c r="E6" s="10" t="s">
        <v>1573</v>
      </c>
    </row>
    <row r="7" customFormat="false" ht="15" hidden="false" customHeight="false" outlineLevel="0" collapsed="false">
      <c r="A7" s="42" t="n">
        <v>46399.5472222222</v>
      </c>
      <c r="B7" s="10" t="s">
        <v>1586</v>
      </c>
      <c r="C7" s="10" t="s">
        <v>1466</v>
      </c>
      <c r="D7" s="0" t="n">
        <v>5</v>
      </c>
      <c r="E7" s="10" t="s">
        <v>1466</v>
      </c>
    </row>
    <row r="8" customFormat="false" ht="15" hidden="false" customHeight="false" outlineLevel="0" collapsed="false">
      <c r="A8" s="42" t="n">
        <v>46399.6159722222</v>
      </c>
      <c r="B8" s="10" t="s">
        <v>1587</v>
      </c>
      <c r="C8" s="10" t="s">
        <v>1449</v>
      </c>
      <c r="F8" s="10" t="s">
        <v>1574</v>
      </c>
    </row>
    <row r="9" customFormat="false" ht="15" hidden="false" customHeight="false" outlineLevel="0" collapsed="false">
      <c r="A9" s="42" t="n">
        <v>46399.6326388889</v>
      </c>
      <c r="B9" s="10" t="s">
        <v>1585</v>
      </c>
      <c r="C9" s="10" t="s">
        <v>1466</v>
      </c>
      <c r="D9" s="0" t="n">
        <v>3</v>
      </c>
      <c r="E9" s="10" t="s">
        <v>1466</v>
      </c>
    </row>
    <row r="10" customFormat="false" ht="15" hidden="false" customHeight="false" outlineLevel="0" collapsed="false">
      <c r="A10" s="42" t="n">
        <v>46399.6333333333</v>
      </c>
      <c r="B10" s="10" t="s">
        <v>1586</v>
      </c>
      <c r="C10" s="10" t="s">
        <v>1449</v>
      </c>
      <c r="F10" s="10" t="s">
        <v>1578</v>
      </c>
    </row>
    <row r="11" customFormat="false" ht="15" hidden="false" customHeight="false" outlineLevel="0" collapsed="false">
      <c r="A11" s="42" t="n">
        <v>46399.6798611111</v>
      </c>
      <c r="B11" s="10" t="s">
        <v>1587</v>
      </c>
      <c r="C11" s="10" t="s">
        <v>1466</v>
      </c>
      <c r="D11" s="0" t="n">
        <v>5</v>
      </c>
      <c r="E11" s="10" t="s">
        <v>1466</v>
      </c>
      <c r="G11" s="10" t="s">
        <v>1580</v>
      </c>
    </row>
    <row r="12" customFormat="false" ht="15" hidden="false" customHeight="false" outlineLevel="0" collapsed="false">
      <c r="A12" s="42" t="n">
        <v>46400.3756944445</v>
      </c>
      <c r="B12" s="10" t="s">
        <v>1584</v>
      </c>
      <c r="C12" s="10" t="s">
        <v>1449</v>
      </c>
      <c r="F12" s="10" t="s">
        <v>1571</v>
      </c>
    </row>
    <row r="13" customFormat="false" ht="15" hidden="false" customHeight="false" outlineLevel="0" collapsed="false">
      <c r="A13" s="42" t="n">
        <v>46400.3979166667</v>
      </c>
      <c r="B13" s="10" t="s">
        <v>1585</v>
      </c>
      <c r="C13" s="10" t="s">
        <v>1466</v>
      </c>
      <c r="D13" s="0" t="n">
        <v>5</v>
      </c>
      <c r="E13" s="10" t="s">
        <v>1573</v>
      </c>
    </row>
    <row r="14" customFormat="false" ht="15" hidden="false" customHeight="false" outlineLevel="0" collapsed="false">
      <c r="A14" s="42" t="n">
        <v>46400.4659722222</v>
      </c>
      <c r="B14" s="10" t="s">
        <v>1588</v>
      </c>
      <c r="C14" s="10" t="s">
        <v>1449</v>
      </c>
      <c r="F14" s="10" t="s">
        <v>1571</v>
      </c>
    </row>
    <row r="15" customFormat="false" ht="15" hidden="false" customHeight="false" outlineLevel="0" collapsed="false">
      <c r="A15" s="42" t="n">
        <v>46400.4944444444</v>
      </c>
      <c r="B15" s="10" t="s">
        <v>1586</v>
      </c>
      <c r="C15" s="10" t="s">
        <v>1466</v>
      </c>
      <c r="D15" s="0" t="n">
        <v>3</v>
      </c>
      <c r="E15" s="10" t="s">
        <v>1449</v>
      </c>
      <c r="G15" s="10" t="s">
        <v>512</v>
      </c>
    </row>
    <row r="16" customFormat="false" ht="15" hidden="false" customHeight="false" outlineLevel="0" collapsed="false">
      <c r="A16" s="42" t="n">
        <v>46400.5902777778</v>
      </c>
      <c r="B16" s="10" t="s">
        <v>1588</v>
      </c>
      <c r="C16" s="10" t="s">
        <v>1466</v>
      </c>
      <c r="D16" s="0" t="n">
        <v>5</v>
      </c>
      <c r="E16" s="10" t="s">
        <v>1466</v>
      </c>
    </row>
    <row r="17" customFormat="false" ht="15" hidden="false" customHeight="false" outlineLevel="0" collapsed="false">
      <c r="A17" s="42" t="n">
        <v>46400.6166666667</v>
      </c>
      <c r="B17" s="10" t="s">
        <v>1587</v>
      </c>
      <c r="C17" s="10" t="s">
        <v>1449</v>
      </c>
      <c r="F17" s="10" t="s">
        <v>1574</v>
      </c>
    </row>
    <row r="18" customFormat="false" ht="15" hidden="false" customHeight="false" outlineLevel="0" collapsed="false">
      <c r="A18" s="42" t="n">
        <v>46400.6458333333</v>
      </c>
      <c r="B18" s="10" t="s">
        <v>1587</v>
      </c>
      <c r="C18" s="10" t="s">
        <v>1466</v>
      </c>
      <c r="D18" s="0" t="n">
        <v>4</v>
      </c>
      <c r="E18" s="10" t="s">
        <v>1449</v>
      </c>
      <c r="G18" s="10" t="s">
        <v>510</v>
      </c>
    </row>
    <row r="19" customFormat="false" ht="15" hidden="false" customHeight="false" outlineLevel="0" collapsed="false">
      <c r="A19" s="42" t="n">
        <v>46400.6694444444</v>
      </c>
      <c r="B19" s="10" t="s">
        <v>1587</v>
      </c>
      <c r="C19" s="10" t="s">
        <v>1466</v>
      </c>
      <c r="D19" s="0" t="n">
        <v>5</v>
      </c>
      <c r="E19" s="10" t="s">
        <v>1466</v>
      </c>
    </row>
    <row r="20" customFormat="false" ht="15" hidden="false" customHeight="false" outlineLevel="0" collapsed="false">
      <c r="A20" s="42" t="n">
        <v>46400.7020833333</v>
      </c>
      <c r="B20" s="10" t="s">
        <v>1588</v>
      </c>
      <c r="C20" s="10" t="s">
        <v>1449</v>
      </c>
      <c r="F20" s="10" t="s">
        <v>1571</v>
      </c>
      <c r="G20" s="10" t="s">
        <v>510</v>
      </c>
    </row>
    <row r="21" customFormat="false" ht="15" hidden="false" customHeight="false" outlineLevel="0" collapsed="false">
      <c r="A21" s="42" t="n">
        <v>46401.3951388889</v>
      </c>
      <c r="B21" s="10" t="s">
        <v>1586</v>
      </c>
      <c r="C21" s="10" t="s">
        <v>1466</v>
      </c>
      <c r="D21" s="0" t="n">
        <v>3</v>
      </c>
      <c r="E21" s="10" t="s">
        <v>1573</v>
      </c>
    </row>
    <row r="22" customFormat="false" ht="15" hidden="false" customHeight="false" outlineLevel="0" collapsed="false">
      <c r="A22" s="42" t="n">
        <v>46401.4277777778</v>
      </c>
      <c r="B22" s="10" t="s">
        <v>1584</v>
      </c>
      <c r="C22" s="10" t="s">
        <v>1466</v>
      </c>
      <c r="D22" s="0" t="n">
        <v>4</v>
      </c>
      <c r="E22" s="10" t="s">
        <v>1573</v>
      </c>
    </row>
    <row r="23" customFormat="false" ht="15" hidden="false" customHeight="false" outlineLevel="0" collapsed="false">
      <c r="A23" s="42" t="n">
        <v>46401.4902777778</v>
      </c>
      <c r="B23" s="10" t="s">
        <v>1584</v>
      </c>
      <c r="C23" s="10" t="s">
        <v>1449</v>
      </c>
      <c r="F23" s="10" t="s">
        <v>1571</v>
      </c>
      <c r="G23" s="10" t="s">
        <v>491</v>
      </c>
    </row>
    <row r="24" customFormat="false" ht="15" hidden="false" customHeight="false" outlineLevel="0" collapsed="false">
      <c r="A24" s="42" t="n">
        <v>46401.5020833333</v>
      </c>
      <c r="B24" s="10" t="s">
        <v>1584</v>
      </c>
      <c r="C24" s="10" t="s">
        <v>1466</v>
      </c>
      <c r="D24" s="0" t="n">
        <v>5</v>
      </c>
      <c r="E24" s="10" t="s">
        <v>1466</v>
      </c>
    </row>
    <row r="25" customFormat="false" ht="15" hidden="false" customHeight="false" outlineLevel="0" collapsed="false">
      <c r="A25" s="42" t="n">
        <v>46401.5034722222</v>
      </c>
      <c r="B25" s="10" t="s">
        <v>1585</v>
      </c>
      <c r="C25" s="10" t="s">
        <v>1466</v>
      </c>
      <c r="D25" s="0" t="n">
        <v>3</v>
      </c>
      <c r="E25" s="10" t="s">
        <v>1573</v>
      </c>
    </row>
    <row r="26" customFormat="false" ht="15" hidden="false" customHeight="false" outlineLevel="0" collapsed="false">
      <c r="A26" s="42" t="n">
        <v>46401.6208333333</v>
      </c>
      <c r="B26" s="10" t="s">
        <v>1588</v>
      </c>
      <c r="C26" s="10" t="s">
        <v>1466</v>
      </c>
      <c r="D26" s="0" t="n">
        <v>3</v>
      </c>
      <c r="E26" s="10" t="s">
        <v>1449</v>
      </c>
    </row>
    <row r="27" customFormat="false" ht="15" hidden="false" customHeight="false" outlineLevel="0" collapsed="false">
      <c r="A27" s="42" t="n">
        <v>46401.6986111111</v>
      </c>
      <c r="B27" s="10" t="s">
        <v>1588</v>
      </c>
      <c r="C27" s="10" t="s">
        <v>1466</v>
      </c>
      <c r="D27" s="0" t="n">
        <v>4</v>
      </c>
      <c r="E27" s="10" t="s">
        <v>1466</v>
      </c>
      <c r="G27" s="10" t="s">
        <v>1579</v>
      </c>
    </row>
    <row r="28" customFormat="false" ht="15" hidden="false" customHeight="false" outlineLevel="0" collapsed="false">
      <c r="A28" s="42" t="n">
        <v>46401.7055555556</v>
      </c>
      <c r="B28" s="10" t="s">
        <v>1588</v>
      </c>
      <c r="C28" s="10" t="s">
        <v>1466</v>
      </c>
      <c r="D28" s="0" t="n">
        <v>4</v>
      </c>
      <c r="E28" s="10" t="s">
        <v>1449</v>
      </c>
      <c r="G28" s="10" t="s">
        <v>492</v>
      </c>
    </row>
    <row r="29" customFormat="false" ht="15" hidden="false" customHeight="false" outlineLevel="0" collapsed="false">
      <c r="A29" s="42" t="n">
        <v>46402.3875</v>
      </c>
      <c r="B29" s="10" t="s">
        <v>1587</v>
      </c>
      <c r="C29" s="10" t="s">
        <v>1449</v>
      </c>
      <c r="F29" s="10" t="s">
        <v>1574</v>
      </c>
    </row>
    <row r="30" customFormat="false" ht="15" hidden="false" customHeight="false" outlineLevel="0" collapsed="false">
      <c r="A30" s="42" t="n">
        <v>46402.4173611111</v>
      </c>
      <c r="B30" s="10" t="s">
        <v>1588</v>
      </c>
      <c r="C30" s="10" t="s">
        <v>1449</v>
      </c>
      <c r="F30" s="10" t="s">
        <v>1574</v>
      </c>
    </row>
    <row r="31" customFormat="false" ht="15" hidden="false" customHeight="false" outlineLevel="0" collapsed="false">
      <c r="A31" s="42" t="n">
        <v>46402.6256944445</v>
      </c>
      <c r="B31" s="10" t="s">
        <v>1584</v>
      </c>
      <c r="C31" s="10" t="s">
        <v>1466</v>
      </c>
      <c r="D31" s="0" t="n">
        <v>4</v>
      </c>
      <c r="E31" s="10" t="s">
        <v>1573</v>
      </c>
      <c r="G31" s="10" t="s">
        <v>511</v>
      </c>
    </row>
    <row r="32" customFormat="false" ht="15" hidden="false" customHeight="false" outlineLevel="0" collapsed="false">
      <c r="A32" s="42" t="n">
        <v>46406.4173611111</v>
      </c>
      <c r="B32" s="10" t="s">
        <v>1585</v>
      </c>
      <c r="C32" s="10" t="s">
        <v>1466</v>
      </c>
      <c r="D32" s="0" t="n">
        <v>4</v>
      </c>
      <c r="E32" s="10" t="s">
        <v>1573</v>
      </c>
    </row>
    <row r="33" customFormat="false" ht="15" hidden="false" customHeight="false" outlineLevel="0" collapsed="false">
      <c r="A33" s="42" t="n">
        <v>46406.5458333333</v>
      </c>
      <c r="B33" s="10" t="s">
        <v>1586</v>
      </c>
      <c r="C33" s="10" t="s">
        <v>1449</v>
      </c>
      <c r="F33" s="10" t="s">
        <v>1571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1421</v>
      </c>
      <c r="B1" s="41" t="s">
        <v>1559</v>
      </c>
      <c r="C1" s="41" t="s">
        <v>1589</v>
      </c>
      <c r="D1" s="41" t="s">
        <v>1561</v>
      </c>
      <c r="E1" s="41" t="s">
        <v>1562</v>
      </c>
      <c r="F1" s="41" t="s">
        <v>1563</v>
      </c>
      <c r="G1" s="41" t="s">
        <v>1590</v>
      </c>
    </row>
    <row r="2" customFormat="false" ht="15" hidden="false" customHeight="false" outlineLevel="0" collapsed="false">
      <c r="A2" s="42" t="n">
        <v>46427.38125</v>
      </c>
      <c r="B2" s="10" t="s">
        <v>1591</v>
      </c>
      <c r="C2" s="10" t="s">
        <v>1466</v>
      </c>
      <c r="D2" s="0" t="n">
        <v>5</v>
      </c>
      <c r="E2" s="10" t="s">
        <v>1466</v>
      </c>
      <c r="G2" s="10" t="s">
        <v>526</v>
      </c>
    </row>
    <row r="3" customFormat="false" ht="15" hidden="false" customHeight="false" outlineLevel="0" collapsed="false">
      <c r="A3" s="42" t="n">
        <v>46427.3965277778</v>
      </c>
      <c r="B3" s="10" t="s">
        <v>1592</v>
      </c>
      <c r="C3" s="10" t="s">
        <v>1449</v>
      </c>
      <c r="F3" s="10" t="s">
        <v>1574</v>
      </c>
      <c r="G3" s="10" t="s">
        <v>1576</v>
      </c>
    </row>
    <row r="4" customFormat="false" ht="15" hidden="false" customHeight="false" outlineLevel="0" collapsed="false">
      <c r="A4" s="42" t="n">
        <v>46427.3986111111</v>
      </c>
      <c r="B4" s="10" t="s">
        <v>1593</v>
      </c>
      <c r="C4" s="10" t="s">
        <v>1466</v>
      </c>
      <c r="D4" s="0" t="n">
        <v>5</v>
      </c>
      <c r="E4" s="10" t="s">
        <v>1573</v>
      </c>
      <c r="G4" s="10" t="s">
        <v>527</v>
      </c>
    </row>
    <row r="5" customFormat="false" ht="15" hidden="false" customHeight="false" outlineLevel="0" collapsed="false">
      <c r="A5" s="42" t="n">
        <v>46427.4013888889</v>
      </c>
      <c r="B5" s="10" t="s">
        <v>1594</v>
      </c>
      <c r="C5" s="10" t="s">
        <v>1466</v>
      </c>
      <c r="D5" s="0" t="n">
        <v>5</v>
      </c>
      <c r="E5" s="10" t="s">
        <v>1573</v>
      </c>
      <c r="G5" s="10" t="s">
        <v>528</v>
      </c>
    </row>
    <row r="6" customFormat="false" ht="15" hidden="false" customHeight="false" outlineLevel="0" collapsed="false">
      <c r="A6" s="42" t="n">
        <v>46427.4055555556</v>
      </c>
      <c r="B6" s="10" t="s">
        <v>1593</v>
      </c>
      <c r="C6" s="10" t="s">
        <v>1466</v>
      </c>
      <c r="D6" s="0" t="n">
        <v>4</v>
      </c>
      <c r="E6" s="10" t="s">
        <v>1466</v>
      </c>
    </row>
    <row r="7" customFormat="false" ht="15" hidden="false" customHeight="false" outlineLevel="0" collapsed="false">
      <c r="A7" s="42" t="n">
        <v>46427.41875</v>
      </c>
      <c r="B7" s="10" t="s">
        <v>1593</v>
      </c>
      <c r="C7" s="10" t="s">
        <v>1466</v>
      </c>
      <c r="D7" s="0" t="n">
        <v>3</v>
      </c>
      <c r="E7" s="10" t="s">
        <v>1466</v>
      </c>
      <c r="G7" s="10" t="s">
        <v>511</v>
      </c>
    </row>
    <row r="8" customFormat="false" ht="15" hidden="false" customHeight="false" outlineLevel="0" collapsed="false">
      <c r="A8" s="42" t="n">
        <v>46427.4305555556</v>
      </c>
      <c r="B8" s="10" t="s">
        <v>1595</v>
      </c>
      <c r="C8" s="10" t="s">
        <v>1466</v>
      </c>
      <c r="D8" s="0" t="n">
        <v>5</v>
      </c>
      <c r="E8" s="10" t="s">
        <v>1466</v>
      </c>
    </row>
    <row r="9" customFormat="false" ht="15" hidden="false" customHeight="false" outlineLevel="0" collapsed="false">
      <c r="A9" s="42" t="n">
        <v>46427.4493055556</v>
      </c>
      <c r="B9" s="10" t="s">
        <v>1594</v>
      </c>
      <c r="C9" s="10" t="s">
        <v>1466</v>
      </c>
      <c r="D9" s="0" t="n">
        <v>4</v>
      </c>
      <c r="E9" s="10" t="s">
        <v>1466</v>
      </c>
      <c r="G9" s="10" t="s">
        <v>511</v>
      </c>
    </row>
    <row r="10" customFormat="false" ht="15" hidden="false" customHeight="false" outlineLevel="0" collapsed="false">
      <c r="A10" s="42" t="n">
        <v>46427.4590277778</v>
      </c>
      <c r="B10" s="10" t="s">
        <v>1593</v>
      </c>
      <c r="C10" s="10" t="s">
        <v>1466</v>
      </c>
      <c r="D10" s="0" t="n">
        <v>4</v>
      </c>
      <c r="E10" s="10" t="s">
        <v>1449</v>
      </c>
    </row>
    <row r="11" customFormat="false" ht="15" hidden="false" customHeight="false" outlineLevel="0" collapsed="false">
      <c r="A11" s="42" t="n">
        <v>46427.4611111111</v>
      </c>
      <c r="B11" s="10" t="s">
        <v>1596</v>
      </c>
      <c r="C11" s="10" t="s">
        <v>1466</v>
      </c>
      <c r="D11" s="0" t="n">
        <v>4</v>
      </c>
      <c r="E11" s="10" t="s">
        <v>1573</v>
      </c>
      <c r="G11" s="10" t="s">
        <v>492</v>
      </c>
    </row>
    <row r="12" customFormat="false" ht="15" hidden="false" customHeight="false" outlineLevel="0" collapsed="false">
      <c r="A12" s="42" t="n">
        <v>46427.4666666667</v>
      </c>
      <c r="B12" s="10" t="s">
        <v>1597</v>
      </c>
      <c r="C12" s="10" t="s">
        <v>1466</v>
      </c>
      <c r="D12" s="0" t="n">
        <v>4</v>
      </c>
      <c r="E12" s="10" t="s">
        <v>1573</v>
      </c>
    </row>
    <row r="13" customFormat="false" ht="15" hidden="false" customHeight="false" outlineLevel="0" collapsed="false">
      <c r="A13" s="42" t="n">
        <v>46427.4736111111</v>
      </c>
      <c r="B13" s="10" t="s">
        <v>1593</v>
      </c>
      <c r="C13" s="10" t="s">
        <v>1466</v>
      </c>
      <c r="D13" s="0" t="n">
        <v>5</v>
      </c>
      <c r="E13" s="10" t="s">
        <v>1573</v>
      </c>
      <c r="G13" s="10" t="s">
        <v>1580</v>
      </c>
    </row>
    <row r="14" customFormat="false" ht="15" hidden="false" customHeight="false" outlineLevel="0" collapsed="false">
      <c r="A14" s="42" t="n">
        <v>46427.4972222222</v>
      </c>
      <c r="B14" s="10" t="s">
        <v>1597</v>
      </c>
      <c r="C14" s="10" t="s">
        <v>1449</v>
      </c>
      <c r="F14" s="10" t="s">
        <v>1578</v>
      </c>
      <c r="G14" s="10" t="s">
        <v>511</v>
      </c>
    </row>
    <row r="15" customFormat="false" ht="15" hidden="false" customHeight="false" outlineLevel="0" collapsed="false">
      <c r="A15" s="42" t="n">
        <v>46427.5118055556</v>
      </c>
      <c r="B15" s="10" t="s">
        <v>1598</v>
      </c>
      <c r="C15" s="10" t="s">
        <v>1466</v>
      </c>
      <c r="D15" s="0" t="n">
        <v>5</v>
      </c>
      <c r="E15" s="10" t="s">
        <v>1466</v>
      </c>
    </row>
    <row r="16" customFormat="false" ht="15" hidden="false" customHeight="false" outlineLevel="0" collapsed="false">
      <c r="A16" s="42" t="n">
        <v>46427.5291666667</v>
      </c>
      <c r="B16" s="10" t="s">
        <v>1592</v>
      </c>
      <c r="C16" s="10" t="s">
        <v>1449</v>
      </c>
      <c r="F16" s="10" t="s">
        <v>1574</v>
      </c>
      <c r="G16" s="10" t="s">
        <v>491</v>
      </c>
    </row>
    <row r="17" customFormat="false" ht="15" hidden="false" customHeight="false" outlineLevel="0" collapsed="false">
      <c r="A17" s="42" t="n">
        <v>46427.5319444445</v>
      </c>
      <c r="B17" s="10" t="s">
        <v>1599</v>
      </c>
      <c r="C17" s="10" t="s">
        <v>1466</v>
      </c>
      <c r="D17" s="0" t="n">
        <v>4</v>
      </c>
      <c r="E17" s="10" t="s">
        <v>1449</v>
      </c>
      <c r="G17" s="10" t="s">
        <v>491</v>
      </c>
    </row>
    <row r="18" customFormat="false" ht="15" hidden="false" customHeight="false" outlineLevel="0" collapsed="false">
      <c r="A18" s="42" t="n">
        <v>46427.5701388889</v>
      </c>
      <c r="B18" s="10" t="s">
        <v>1599</v>
      </c>
      <c r="C18" s="10" t="s">
        <v>1466</v>
      </c>
      <c r="D18" s="0" t="n">
        <v>4</v>
      </c>
      <c r="E18" s="10" t="s">
        <v>1466</v>
      </c>
      <c r="G18" s="10" t="s">
        <v>512</v>
      </c>
    </row>
    <row r="19" customFormat="false" ht="15" hidden="false" customHeight="false" outlineLevel="0" collapsed="false">
      <c r="A19" s="42" t="n">
        <v>46427.6215277778</v>
      </c>
      <c r="B19" s="10" t="s">
        <v>1592</v>
      </c>
      <c r="C19" s="10" t="s">
        <v>1466</v>
      </c>
      <c r="D19" s="0" t="n">
        <v>3</v>
      </c>
      <c r="E19" s="10" t="s">
        <v>1449</v>
      </c>
      <c r="G19" s="10" t="s">
        <v>1580</v>
      </c>
    </row>
    <row r="20" customFormat="false" ht="15" hidden="false" customHeight="false" outlineLevel="0" collapsed="false">
      <c r="A20" s="42" t="n">
        <v>46427.6256944445</v>
      </c>
      <c r="B20" s="10" t="s">
        <v>1600</v>
      </c>
      <c r="C20" s="10" t="s">
        <v>1449</v>
      </c>
      <c r="F20" s="10" t="s">
        <v>1571</v>
      </c>
    </row>
    <row r="21" customFormat="false" ht="15" hidden="false" customHeight="false" outlineLevel="0" collapsed="false">
      <c r="A21" s="42" t="n">
        <v>46427.6277777778</v>
      </c>
      <c r="B21" s="10" t="s">
        <v>1599</v>
      </c>
      <c r="C21" s="10" t="s">
        <v>1466</v>
      </c>
      <c r="D21" s="0" t="n">
        <v>3</v>
      </c>
      <c r="E21" s="10" t="s">
        <v>1466</v>
      </c>
      <c r="G21" s="10" t="s">
        <v>510</v>
      </c>
    </row>
    <row r="22" customFormat="false" ht="15" hidden="false" customHeight="false" outlineLevel="0" collapsed="false">
      <c r="A22" s="42" t="n">
        <v>46427.6576388889</v>
      </c>
      <c r="B22" s="10" t="s">
        <v>1591</v>
      </c>
      <c r="C22" s="10" t="s">
        <v>1466</v>
      </c>
      <c r="D22" s="0" t="n">
        <v>4</v>
      </c>
      <c r="E22" s="10" t="s">
        <v>1449</v>
      </c>
    </row>
    <row r="23" customFormat="false" ht="15" hidden="false" customHeight="false" outlineLevel="0" collapsed="false">
      <c r="A23" s="42" t="n">
        <v>46427.6652777778</v>
      </c>
      <c r="B23" s="10" t="s">
        <v>1598</v>
      </c>
      <c r="C23" s="10" t="s">
        <v>1449</v>
      </c>
      <c r="F23" s="10" t="s">
        <v>1571</v>
      </c>
    </row>
    <row r="24" customFormat="false" ht="15" hidden="false" customHeight="false" outlineLevel="0" collapsed="false">
      <c r="A24" s="42" t="n">
        <v>46427.675</v>
      </c>
      <c r="B24" s="10" t="s">
        <v>1599</v>
      </c>
      <c r="C24" s="10" t="s">
        <v>1449</v>
      </c>
      <c r="F24" s="10" t="s">
        <v>1578</v>
      </c>
      <c r="G24" s="10" t="s">
        <v>511</v>
      </c>
    </row>
    <row r="25" customFormat="false" ht="15" hidden="false" customHeight="false" outlineLevel="0" collapsed="false">
      <c r="A25" s="42" t="n">
        <v>46427.6888888889</v>
      </c>
      <c r="B25" s="10" t="s">
        <v>1595</v>
      </c>
      <c r="C25" s="10" t="s">
        <v>1466</v>
      </c>
      <c r="D25" s="0" t="n">
        <v>4</v>
      </c>
      <c r="E25" s="10" t="s">
        <v>1449</v>
      </c>
    </row>
    <row r="26" customFormat="false" ht="15" hidden="false" customHeight="false" outlineLevel="0" collapsed="false">
      <c r="A26" s="42" t="n">
        <v>46427.7006944444</v>
      </c>
      <c r="B26" s="10" t="s">
        <v>1595</v>
      </c>
      <c r="C26" s="10" t="s">
        <v>1466</v>
      </c>
      <c r="D26" s="0" t="n">
        <v>5</v>
      </c>
      <c r="E26" s="10" t="s">
        <v>1466</v>
      </c>
      <c r="G26" s="10" t="s">
        <v>512</v>
      </c>
    </row>
    <row r="27" customFormat="false" ht="15" hidden="false" customHeight="false" outlineLevel="0" collapsed="false">
      <c r="A27" s="42" t="n">
        <v>46428.4152777778</v>
      </c>
      <c r="B27" s="10" t="s">
        <v>1595</v>
      </c>
      <c r="C27" s="10" t="s">
        <v>1466</v>
      </c>
      <c r="D27" s="0" t="n">
        <v>4</v>
      </c>
      <c r="E27" s="10" t="s">
        <v>1466</v>
      </c>
      <c r="G27" s="10" t="s">
        <v>1576</v>
      </c>
    </row>
    <row r="28" customFormat="false" ht="15" hidden="false" customHeight="false" outlineLevel="0" collapsed="false">
      <c r="A28" s="42" t="n">
        <v>46428.4208333333</v>
      </c>
      <c r="B28" s="10" t="s">
        <v>1598</v>
      </c>
      <c r="C28" s="10" t="s">
        <v>1449</v>
      </c>
      <c r="F28" s="10" t="s">
        <v>1574</v>
      </c>
    </row>
    <row r="29" customFormat="false" ht="15" hidden="false" customHeight="false" outlineLevel="0" collapsed="false">
      <c r="A29" s="42" t="n">
        <v>46428.4361111111</v>
      </c>
      <c r="B29" s="10" t="s">
        <v>1599</v>
      </c>
      <c r="C29" s="10" t="s">
        <v>1466</v>
      </c>
      <c r="D29" s="0" t="n">
        <v>4</v>
      </c>
      <c r="E29" s="10" t="s">
        <v>1573</v>
      </c>
      <c r="G29" s="10" t="s">
        <v>1579</v>
      </c>
    </row>
    <row r="30" customFormat="false" ht="15" hidden="false" customHeight="false" outlineLevel="0" collapsed="false">
      <c r="A30" s="42" t="n">
        <v>46428.4368055556</v>
      </c>
      <c r="B30" s="10" t="s">
        <v>1600</v>
      </c>
      <c r="C30" s="10" t="s">
        <v>1466</v>
      </c>
      <c r="D30" s="0" t="n">
        <v>4</v>
      </c>
      <c r="E30" s="10" t="s">
        <v>1573</v>
      </c>
    </row>
    <row r="31" customFormat="false" ht="15" hidden="false" customHeight="false" outlineLevel="0" collapsed="false">
      <c r="A31" s="42" t="n">
        <v>46428.44375</v>
      </c>
      <c r="B31" s="10" t="s">
        <v>1598</v>
      </c>
      <c r="C31" s="10" t="s">
        <v>1466</v>
      </c>
      <c r="D31" s="0" t="n">
        <v>4</v>
      </c>
      <c r="E31" s="10" t="s">
        <v>1573</v>
      </c>
    </row>
    <row r="32" customFormat="false" ht="15" hidden="false" customHeight="false" outlineLevel="0" collapsed="false">
      <c r="A32" s="42" t="n">
        <v>46428.4673611111</v>
      </c>
      <c r="B32" s="10" t="s">
        <v>1597</v>
      </c>
      <c r="C32" s="10" t="s">
        <v>1449</v>
      </c>
      <c r="F32" s="10" t="s">
        <v>1571</v>
      </c>
    </row>
    <row r="33" customFormat="false" ht="15" hidden="false" customHeight="false" outlineLevel="0" collapsed="false">
      <c r="A33" s="42" t="n">
        <v>46428.4916666667</v>
      </c>
      <c r="B33" s="10" t="s">
        <v>1591</v>
      </c>
      <c r="C33" s="10" t="s">
        <v>1449</v>
      </c>
      <c r="F33" s="10" t="s">
        <v>1574</v>
      </c>
    </row>
    <row r="34" customFormat="false" ht="15" hidden="false" customHeight="false" outlineLevel="0" collapsed="false">
      <c r="A34" s="42" t="n">
        <v>46428.5201388889</v>
      </c>
      <c r="B34" s="10" t="s">
        <v>1593</v>
      </c>
      <c r="C34" s="10" t="s">
        <v>1466</v>
      </c>
      <c r="D34" s="0" t="n">
        <v>4</v>
      </c>
      <c r="E34" s="10" t="s">
        <v>1449</v>
      </c>
      <c r="G34" s="10" t="s">
        <v>1579</v>
      </c>
    </row>
    <row r="35" customFormat="false" ht="15" hidden="false" customHeight="false" outlineLevel="0" collapsed="false">
      <c r="A35" s="42" t="n">
        <v>46428.5215277778</v>
      </c>
      <c r="B35" s="10" t="s">
        <v>1595</v>
      </c>
      <c r="C35" s="10" t="s">
        <v>1466</v>
      </c>
      <c r="D35" s="0" t="n">
        <v>5</v>
      </c>
      <c r="E35" s="10" t="s">
        <v>1466</v>
      </c>
    </row>
    <row r="36" customFormat="false" ht="15" hidden="false" customHeight="false" outlineLevel="0" collapsed="false">
      <c r="A36" s="42" t="n">
        <v>46428.5354166667</v>
      </c>
      <c r="B36" s="10" t="s">
        <v>1598</v>
      </c>
      <c r="C36" s="10" t="s">
        <v>1449</v>
      </c>
      <c r="F36" s="10" t="s">
        <v>1578</v>
      </c>
    </row>
    <row r="37" customFormat="false" ht="15" hidden="false" customHeight="false" outlineLevel="0" collapsed="false">
      <c r="A37" s="42" t="n">
        <v>46428.5375</v>
      </c>
      <c r="B37" s="10" t="s">
        <v>1593</v>
      </c>
      <c r="C37" s="10" t="s">
        <v>1466</v>
      </c>
      <c r="D37" s="0" t="n">
        <v>4</v>
      </c>
      <c r="E37" s="10" t="s">
        <v>1573</v>
      </c>
    </row>
    <row r="38" customFormat="false" ht="15" hidden="false" customHeight="false" outlineLevel="0" collapsed="false">
      <c r="A38" s="42" t="n">
        <v>46428.5493055556</v>
      </c>
      <c r="B38" s="10" t="s">
        <v>1599</v>
      </c>
      <c r="C38" s="10" t="s">
        <v>1449</v>
      </c>
      <c r="F38" s="10" t="s">
        <v>1571</v>
      </c>
      <c r="G38" s="10" t="s">
        <v>512</v>
      </c>
    </row>
    <row r="39" customFormat="false" ht="15" hidden="false" customHeight="false" outlineLevel="0" collapsed="false">
      <c r="A39" s="42" t="n">
        <v>46428.5527777778</v>
      </c>
      <c r="B39" s="10" t="s">
        <v>1595</v>
      </c>
      <c r="C39" s="10" t="s">
        <v>1466</v>
      </c>
      <c r="D39" s="0" t="n">
        <v>3</v>
      </c>
      <c r="E39" s="10" t="s">
        <v>1573</v>
      </c>
    </row>
    <row r="40" customFormat="false" ht="15" hidden="false" customHeight="false" outlineLevel="0" collapsed="false">
      <c r="A40" s="42" t="n">
        <v>46428.5611111111</v>
      </c>
      <c r="B40" s="10" t="s">
        <v>1600</v>
      </c>
      <c r="C40" s="10" t="s">
        <v>1449</v>
      </c>
      <c r="F40" s="10" t="s">
        <v>1574</v>
      </c>
    </row>
    <row r="41" customFormat="false" ht="15" hidden="false" customHeight="false" outlineLevel="0" collapsed="false">
      <c r="A41" s="42" t="n">
        <v>46428.6097222222</v>
      </c>
      <c r="B41" s="10" t="s">
        <v>1600</v>
      </c>
      <c r="C41" s="10" t="s">
        <v>1466</v>
      </c>
      <c r="D41" s="0" t="n">
        <v>3</v>
      </c>
      <c r="E41" s="10" t="s">
        <v>1449</v>
      </c>
    </row>
    <row r="42" customFormat="false" ht="15" hidden="false" customHeight="false" outlineLevel="0" collapsed="false">
      <c r="A42" s="42" t="n">
        <v>46428.6409722222</v>
      </c>
      <c r="B42" s="10" t="s">
        <v>1597</v>
      </c>
      <c r="C42" s="10" t="s">
        <v>1466</v>
      </c>
      <c r="D42" s="0" t="n">
        <v>4</v>
      </c>
      <c r="E42" s="10" t="s">
        <v>1466</v>
      </c>
    </row>
    <row r="43" customFormat="false" ht="15" hidden="false" customHeight="false" outlineLevel="0" collapsed="false">
      <c r="A43" s="42" t="n">
        <v>46428.6631944445</v>
      </c>
      <c r="B43" s="10" t="s">
        <v>1598</v>
      </c>
      <c r="C43" s="10" t="s">
        <v>1466</v>
      </c>
      <c r="D43" s="0" t="n">
        <v>4</v>
      </c>
      <c r="E43" s="10" t="s">
        <v>1466</v>
      </c>
    </row>
    <row r="44" customFormat="false" ht="15" hidden="false" customHeight="false" outlineLevel="0" collapsed="false">
      <c r="A44" s="42" t="n">
        <v>46428.6840277778</v>
      </c>
      <c r="B44" s="10" t="s">
        <v>1596</v>
      </c>
      <c r="C44" s="10" t="s">
        <v>1449</v>
      </c>
      <c r="F44" s="10" t="s">
        <v>1578</v>
      </c>
      <c r="G44" s="10" t="s">
        <v>511</v>
      </c>
    </row>
    <row r="45" customFormat="false" ht="15" hidden="false" customHeight="false" outlineLevel="0" collapsed="false">
      <c r="A45" s="42" t="n">
        <v>46428.6847222222</v>
      </c>
      <c r="B45" s="10" t="s">
        <v>1593</v>
      </c>
      <c r="C45" s="10" t="s">
        <v>1466</v>
      </c>
      <c r="D45" s="0" t="n">
        <v>4</v>
      </c>
      <c r="E45" s="10" t="s">
        <v>1466</v>
      </c>
      <c r="G45" s="10" t="s">
        <v>511</v>
      </c>
    </row>
    <row r="46" customFormat="false" ht="15" hidden="false" customHeight="false" outlineLevel="0" collapsed="false">
      <c r="A46" s="42" t="n">
        <v>46428.6930555556</v>
      </c>
      <c r="B46" s="10" t="s">
        <v>1594</v>
      </c>
      <c r="C46" s="10" t="s">
        <v>1466</v>
      </c>
      <c r="D46" s="0" t="n">
        <v>4</v>
      </c>
      <c r="E46" s="10" t="s">
        <v>1573</v>
      </c>
      <c r="G46" s="10" t="s">
        <v>510</v>
      </c>
    </row>
    <row r="47" customFormat="false" ht="15" hidden="false" customHeight="false" outlineLevel="0" collapsed="false">
      <c r="A47" s="42" t="n">
        <v>46429.38125</v>
      </c>
      <c r="B47" s="10" t="s">
        <v>1591</v>
      </c>
      <c r="C47" s="10" t="s">
        <v>1449</v>
      </c>
      <c r="F47" s="10" t="s">
        <v>1574</v>
      </c>
    </row>
    <row r="48" customFormat="false" ht="15" hidden="false" customHeight="false" outlineLevel="0" collapsed="false">
      <c r="A48" s="42" t="n">
        <v>46429.3895833333</v>
      </c>
      <c r="B48" s="10" t="s">
        <v>1593</v>
      </c>
      <c r="C48" s="10" t="s">
        <v>1466</v>
      </c>
      <c r="D48" s="0" t="n">
        <v>5</v>
      </c>
      <c r="E48" s="10" t="s">
        <v>1466</v>
      </c>
    </row>
    <row r="49" customFormat="false" ht="15" hidden="false" customHeight="false" outlineLevel="0" collapsed="false">
      <c r="A49" s="42" t="n">
        <v>46429.3916666667</v>
      </c>
      <c r="B49" s="10" t="s">
        <v>1600</v>
      </c>
      <c r="C49" s="10" t="s">
        <v>1466</v>
      </c>
      <c r="D49" s="0" t="n">
        <v>4</v>
      </c>
      <c r="E49" s="10" t="s">
        <v>1573</v>
      </c>
      <c r="G49" s="10" t="s">
        <v>1579</v>
      </c>
    </row>
    <row r="50" customFormat="false" ht="15" hidden="false" customHeight="false" outlineLevel="0" collapsed="false">
      <c r="A50" s="42" t="n">
        <v>46429.4090277778</v>
      </c>
      <c r="B50" s="10" t="s">
        <v>1592</v>
      </c>
      <c r="C50" s="10" t="s">
        <v>1466</v>
      </c>
      <c r="D50" s="0" t="n">
        <v>4</v>
      </c>
      <c r="E50" s="10" t="s">
        <v>1466</v>
      </c>
    </row>
    <row r="51" customFormat="false" ht="15" hidden="false" customHeight="false" outlineLevel="0" collapsed="false">
      <c r="A51" s="42" t="n">
        <v>46429.4131944445</v>
      </c>
      <c r="B51" s="10" t="s">
        <v>1594</v>
      </c>
      <c r="C51" s="10" t="s">
        <v>1466</v>
      </c>
      <c r="D51" s="0" t="n">
        <v>3</v>
      </c>
      <c r="E51" s="10" t="s">
        <v>1466</v>
      </c>
    </row>
    <row r="52" customFormat="false" ht="15" hidden="false" customHeight="false" outlineLevel="0" collapsed="false">
      <c r="A52" s="42" t="n">
        <v>46429.4291666667</v>
      </c>
      <c r="B52" s="10" t="s">
        <v>1594</v>
      </c>
      <c r="C52" s="10" t="s">
        <v>1466</v>
      </c>
      <c r="D52" s="0" t="n">
        <v>4</v>
      </c>
      <c r="E52" s="10" t="s">
        <v>1449</v>
      </c>
      <c r="G52" s="10" t="s">
        <v>510</v>
      </c>
    </row>
    <row r="53" customFormat="false" ht="15" hidden="false" customHeight="false" outlineLevel="0" collapsed="false">
      <c r="A53" s="42" t="n">
        <v>46429.4625</v>
      </c>
      <c r="B53" s="10" t="s">
        <v>1596</v>
      </c>
      <c r="C53" s="10" t="s">
        <v>1466</v>
      </c>
      <c r="D53" s="0" t="n">
        <v>4</v>
      </c>
      <c r="E53" s="10" t="s">
        <v>1573</v>
      </c>
    </row>
    <row r="54" customFormat="false" ht="15" hidden="false" customHeight="false" outlineLevel="0" collapsed="false">
      <c r="A54" s="42" t="n">
        <v>46429.46875</v>
      </c>
      <c r="B54" s="10" t="s">
        <v>1596</v>
      </c>
      <c r="C54" s="10" t="s">
        <v>1449</v>
      </c>
      <c r="F54" s="10" t="s">
        <v>1574</v>
      </c>
    </row>
    <row r="55" customFormat="false" ht="15" hidden="false" customHeight="false" outlineLevel="0" collapsed="false">
      <c r="A55" s="42" t="n">
        <v>46429.4951388889</v>
      </c>
      <c r="B55" s="10" t="s">
        <v>1600</v>
      </c>
      <c r="C55" s="10" t="s">
        <v>1449</v>
      </c>
      <c r="F55" s="10" t="s">
        <v>1574</v>
      </c>
    </row>
    <row r="56" customFormat="false" ht="15" hidden="false" customHeight="false" outlineLevel="0" collapsed="false">
      <c r="A56" s="42" t="n">
        <v>46429.5048611111</v>
      </c>
      <c r="B56" s="10" t="s">
        <v>1591</v>
      </c>
      <c r="C56" s="10" t="s">
        <v>1466</v>
      </c>
      <c r="D56" s="0" t="n">
        <v>5</v>
      </c>
      <c r="E56" s="10" t="s">
        <v>1466</v>
      </c>
    </row>
    <row r="57" customFormat="false" ht="15" hidden="false" customHeight="false" outlineLevel="0" collapsed="false">
      <c r="A57" s="42" t="n">
        <v>46429.5104166667</v>
      </c>
      <c r="B57" s="10" t="s">
        <v>1596</v>
      </c>
      <c r="C57" s="10" t="s">
        <v>1466</v>
      </c>
      <c r="D57" s="0" t="n">
        <v>3</v>
      </c>
      <c r="E57" s="10" t="s">
        <v>1466</v>
      </c>
      <c r="G57" s="10" t="s">
        <v>1580</v>
      </c>
    </row>
    <row r="58" customFormat="false" ht="15" hidden="false" customHeight="false" outlineLevel="0" collapsed="false">
      <c r="A58" s="42" t="n">
        <v>46429.5194444444</v>
      </c>
      <c r="B58" s="10" t="s">
        <v>1592</v>
      </c>
      <c r="C58" s="10" t="s">
        <v>1466</v>
      </c>
      <c r="D58" s="0" t="n">
        <v>4</v>
      </c>
      <c r="E58" s="10" t="s">
        <v>1466</v>
      </c>
    </row>
    <row r="59" customFormat="false" ht="15" hidden="false" customHeight="false" outlineLevel="0" collapsed="false">
      <c r="A59" s="42" t="n">
        <v>46429.5229166667</v>
      </c>
      <c r="B59" s="10" t="s">
        <v>1591</v>
      </c>
      <c r="C59" s="10" t="s">
        <v>1466</v>
      </c>
      <c r="D59" s="0" t="n">
        <v>3</v>
      </c>
      <c r="E59" s="10" t="s">
        <v>1466</v>
      </c>
    </row>
    <row r="60" customFormat="false" ht="15" hidden="false" customHeight="false" outlineLevel="0" collapsed="false">
      <c r="A60" s="42" t="n">
        <v>46429.5465277778</v>
      </c>
      <c r="B60" s="10" t="s">
        <v>1594</v>
      </c>
      <c r="C60" s="10" t="s">
        <v>1466</v>
      </c>
      <c r="D60" s="0" t="n">
        <v>5</v>
      </c>
      <c r="E60" s="10" t="s">
        <v>1573</v>
      </c>
    </row>
    <row r="61" customFormat="false" ht="15" hidden="false" customHeight="false" outlineLevel="0" collapsed="false">
      <c r="A61" s="42" t="n">
        <v>46429.5590277778</v>
      </c>
      <c r="B61" s="10" t="s">
        <v>1599</v>
      </c>
      <c r="C61" s="10" t="s">
        <v>1449</v>
      </c>
      <c r="F61" s="10" t="s">
        <v>1574</v>
      </c>
    </row>
    <row r="62" customFormat="false" ht="15" hidden="false" customHeight="false" outlineLevel="0" collapsed="false">
      <c r="A62" s="42" t="n">
        <v>46429.5902777778</v>
      </c>
      <c r="B62" s="10" t="s">
        <v>1594</v>
      </c>
      <c r="C62" s="10" t="s">
        <v>1449</v>
      </c>
      <c r="F62" s="10" t="s">
        <v>1574</v>
      </c>
    </row>
    <row r="63" customFormat="false" ht="15" hidden="false" customHeight="false" outlineLevel="0" collapsed="false">
      <c r="A63" s="42" t="n">
        <v>46429.5909722222</v>
      </c>
      <c r="B63" s="10" t="s">
        <v>1597</v>
      </c>
      <c r="C63" s="10" t="s">
        <v>1449</v>
      </c>
      <c r="F63" s="10" t="s">
        <v>1578</v>
      </c>
    </row>
    <row r="64" customFormat="false" ht="15" hidden="false" customHeight="false" outlineLevel="0" collapsed="false">
      <c r="A64" s="42" t="n">
        <v>46429.6055555556</v>
      </c>
      <c r="B64" s="10" t="s">
        <v>1595</v>
      </c>
      <c r="C64" s="10" t="s">
        <v>1466</v>
      </c>
      <c r="D64" s="0" t="n">
        <v>5</v>
      </c>
      <c r="E64" s="10" t="s">
        <v>1466</v>
      </c>
    </row>
    <row r="65" customFormat="false" ht="15" hidden="false" customHeight="false" outlineLevel="0" collapsed="false">
      <c r="A65" s="42" t="n">
        <v>46429.6111111111</v>
      </c>
      <c r="B65" s="10" t="s">
        <v>1597</v>
      </c>
      <c r="C65" s="10" t="s">
        <v>1466</v>
      </c>
      <c r="D65" s="0" t="n">
        <v>4</v>
      </c>
      <c r="E65" s="10" t="s">
        <v>1466</v>
      </c>
      <c r="G65" s="10" t="s">
        <v>510</v>
      </c>
    </row>
    <row r="66" customFormat="false" ht="15" hidden="false" customHeight="false" outlineLevel="0" collapsed="false">
      <c r="A66" s="42" t="n">
        <v>46429.6222222222</v>
      </c>
      <c r="B66" s="10" t="s">
        <v>1596</v>
      </c>
      <c r="C66" s="10" t="s">
        <v>1466</v>
      </c>
      <c r="D66" s="0" t="n">
        <v>4</v>
      </c>
      <c r="E66" s="10" t="s">
        <v>1449</v>
      </c>
    </row>
    <row r="67" customFormat="false" ht="15" hidden="false" customHeight="false" outlineLevel="0" collapsed="false">
      <c r="A67" s="42" t="n">
        <v>46429.6305555556</v>
      </c>
      <c r="B67" s="10" t="s">
        <v>1597</v>
      </c>
      <c r="C67" s="10" t="s">
        <v>1466</v>
      </c>
      <c r="D67" s="0" t="n">
        <v>3</v>
      </c>
      <c r="E67" s="10" t="s">
        <v>1466</v>
      </c>
      <c r="G67" s="10" t="s">
        <v>491</v>
      </c>
    </row>
    <row r="68" customFormat="false" ht="15" hidden="false" customHeight="false" outlineLevel="0" collapsed="false">
      <c r="A68" s="42" t="n">
        <v>46429.64375</v>
      </c>
      <c r="B68" s="10" t="s">
        <v>1597</v>
      </c>
      <c r="C68" s="10" t="s">
        <v>1466</v>
      </c>
      <c r="D68" s="0" t="n">
        <v>5</v>
      </c>
      <c r="E68" s="10" t="s">
        <v>1449</v>
      </c>
    </row>
    <row r="69" customFormat="false" ht="15" hidden="false" customHeight="false" outlineLevel="0" collapsed="false">
      <c r="A69" s="42" t="n">
        <v>46429.6472222222</v>
      </c>
      <c r="B69" s="10" t="s">
        <v>1594</v>
      </c>
      <c r="C69" s="10" t="s">
        <v>1449</v>
      </c>
      <c r="F69" s="10" t="s">
        <v>1571</v>
      </c>
      <c r="G69" s="10" t="s">
        <v>492</v>
      </c>
    </row>
    <row r="70" customFormat="false" ht="15" hidden="false" customHeight="false" outlineLevel="0" collapsed="false">
      <c r="A70" s="42" t="n">
        <v>46429.6506944444</v>
      </c>
      <c r="B70" s="10" t="s">
        <v>1598</v>
      </c>
      <c r="C70" s="10" t="s">
        <v>1466</v>
      </c>
      <c r="D70" s="0" t="n">
        <v>4</v>
      </c>
      <c r="E70" s="10" t="s">
        <v>1466</v>
      </c>
      <c r="G70" s="10" t="s">
        <v>1580</v>
      </c>
    </row>
    <row r="71" customFormat="false" ht="15" hidden="false" customHeight="false" outlineLevel="0" collapsed="false">
      <c r="A71" s="42" t="n">
        <v>46429.6784722222</v>
      </c>
      <c r="B71" s="10" t="s">
        <v>1592</v>
      </c>
      <c r="C71" s="10" t="s">
        <v>1466</v>
      </c>
      <c r="D71" s="0" t="n">
        <v>4</v>
      </c>
      <c r="E71" s="10" t="s">
        <v>1573</v>
      </c>
    </row>
    <row r="72" customFormat="false" ht="15" hidden="false" customHeight="false" outlineLevel="0" collapsed="false">
      <c r="A72" s="42" t="n">
        <v>46429.6805555556</v>
      </c>
      <c r="B72" s="10" t="s">
        <v>1599</v>
      </c>
      <c r="C72" s="10" t="s">
        <v>1466</v>
      </c>
      <c r="D72" s="0" t="n">
        <v>5</v>
      </c>
      <c r="E72" s="10" t="s">
        <v>1466</v>
      </c>
    </row>
    <row r="73" customFormat="false" ht="15" hidden="false" customHeight="false" outlineLevel="0" collapsed="false">
      <c r="A73" s="42" t="n">
        <v>46430.4583333333</v>
      </c>
      <c r="B73" s="10" t="s">
        <v>1595</v>
      </c>
      <c r="C73" s="10" t="s">
        <v>1449</v>
      </c>
      <c r="F73" s="10" t="s">
        <v>1571</v>
      </c>
    </row>
    <row r="74" customFormat="false" ht="15" hidden="false" customHeight="false" outlineLevel="0" collapsed="false">
      <c r="A74" s="42" t="n">
        <v>46430.5888888889</v>
      </c>
      <c r="B74" s="10" t="s">
        <v>1599</v>
      </c>
      <c r="C74" s="10" t="s">
        <v>1466</v>
      </c>
      <c r="D74" s="0" t="n">
        <v>5</v>
      </c>
      <c r="E74" s="10" t="s">
        <v>1466</v>
      </c>
    </row>
    <row r="75" customFormat="false" ht="15" hidden="false" customHeight="false" outlineLevel="0" collapsed="false">
      <c r="A75" s="42" t="n">
        <v>46430.6715277778</v>
      </c>
      <c r="B75" s="10" t="s">
        <v>1595</v>
      </c>
      <c r="C75" s="10" t="s">
        <v>1466</v>
      </c>
      <c r="D75" s="0" t="n">
        <v>5</v>
      </c>
      <c r="E75" s="10" t="s">
        <v>1449</v>
      </c>
    </row>
    <row r="76" customFormat="false" ht="15" hidden="false" customHeight="false" outlineLevel="0" collapsed="false">
      <c r="A76" s="42" t="n">
        <v>46430.6729166667</v>
      </c>
      <c r="B76" s="10" t="s">
        <v>1591</v>
      </c>
      <c r="C76" s="10" t="s">
        <v>1466</v>
      </c>
      <c r="D76" s="0" t="n">
        <v>4</v>
      </c>
      <c r="E76" s="10" t="s">
        <v>1573</v>
      </c>
      <c r="G76" s="10" t="s">
        <v>510</v>
      </c>
    </row>
    <row r="77" customFormat="false" ht="15" hidden="false" customHeight="false" outlineLevel="0" collapsed="false">
      <c r="A77" s="42" t="n">
        <v>46434.4611111111</v>
      </c>
      <c r="B77" s="10" t="s">
        <v>1593</v>
      </c>
      <c r="C77" s="10" t="s">
        <v>1449</v>
      </c>
      <c r="F77" s="10" t="s">
        <v>1574</v>
      </c>
      <c r="G77" s="10"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1421</v>
      </c>
      <c r="B1" s="41" t="s">
        <v>1559</v>
      </c>
      <c r="C1" s="41" t="s">
        <v>1601</v>
      </c>
      <c r="D1" s="41" t="s">
        <v>1561</v>
      </c>
      <c r="E1" s="41" t="s">
        <v>1562</v>
      </c>
      <c r="F1" s="41" t="s">
        <v>1563</v>
      </c>
      <c r="G1" s="41" t="s">
        <v>1602</v>
      </c>
    </row>
    <row r="2" customFormat="false" ht="15" hidden="false" customHeight="false" outlineLevel="0" collapsed="false">
      <c r="A2" s="42" t="n">
        <v>46427.3777777778</v>
      </c>
      <c r="B2" s="10" t="s">
        <v>1603</v>
      </c>
      <c r="C2" s="10" t="s">
        <v>1466</v>
      </c>
      <c r="D2" s="0" t="n">
        <v>4</v>
      </c>
      <c r="E2" s="10" t="s">
        <v>1573</v>
      </c>
      <c r="G2" s="10" t="s">
        <v>543</v>
      </c>
    </row>
    <row r="3" customFormat="false" ht="15" hidden="false" customHeight="false" outlineLevel="0" collapsed="false">
      <c r="A3" s="42" t="n">
        <v>46427.3805555556</v>
      </c>
      <c r="B3" s="10" t="s">
        <v>1604</v>
      </c>
      <c r="C3" s="10" t="s">
        <v>1466</v>
      </c>
      <c r="D3" s="0" t="n">
        <v>4</v>
      </c>
      <c r="E3" s="10" t="s">
        <v>1466</v>
      </c>
      <c r="G3" s="10" t="s">
        <v>544</v>
      </c>
    </row>
    <row r="4" customFormat="false" ht="15" hidden="false" customHeight="false" outlineLevel="0" collapsed="false">
      <c r="A4" s="42" t="n">
        <v>46427.3923611111</v>
      </c>
      <c r="B4" s="10" t="s">
        <v>1604</v>
      </c>
      <c r="C4" s="10" t="s">
        <v>1466</v>
      </c>
      <c r="D4" s="0" t="n">
        <v>5</v>
      </c>
      <c r="E4" s="10" t="s">
        <v>1466</v>
      </c>
      <c r="G4" s="10" t="s">
        <v>545</v>
      </c>
    </row>
    <row r="5" customFormat="false" ht="15" hidden="false" customHeight="false" outlineLevel="0" collapsed="false">
      <c r="A5" s="42" t="n">
        <v>46427.3930555556</v>
      </c>
      <c r="B5" s="10" t="s">
        <v>1605</v>
      </c>
      <c r="C5" s="10" t="s">
        <v>1449</v>
      </c>
      <c r="F5" s="10" t="s">
        <v>1574</v>
      </c>
    </row>
    <row r="6" customFormat="false" ht="15" hidden="false" customHeight="false" outlineLevel="0" collapsed="false">
      <c r="A6" s="42" t="n">
        <v>46427.4048611111</v>
      </c>
      <c r="B6" s="10" t="s">
        <v>1606</v>
      </c>
      <c r="C6" s="10" t="s">
        <v>1466</v>
      </c>
      <c r="D6" s="0" t="n">
        <v>4</v>
      </c>
      <c r="E6" s="10" t="s">
        <v>1466</v>
      </c>
      <c r="G6" s="10" t="s">
        <v>492</v>
      </c>
    </row>
    <row r="7" customFormat="false" ht="15" hidden="false" customHeight="false" outlineLevel="0" collapsed="false">
      <c r="A7" s="42" t="n">
        <v>46427.4111111111</v>
      </c>
      <c r="B7" s="10" t="s">
        <v>1607</v>
      </c>
      <c r="C7" s="10" t="s">
        <v>1466</v>
      </c>
      <c r="D7" s="0" t="n">
        <v>4</v>
      </c>
      <c r="E7" s="10" t="s">
        <v>1466</v>
      </c>
    </row>
    <row r="8" customFormat="false" ht="15" hidden="false" customHeight="false" outlineLevel="0" collapsed="false">
      <c r="A8" s="42" t="n">
        <v>46427.4270833333</v>
      </c>
      <c r="B8" s="10" t="s">
        <v>1605</v>
      </c>
      <c r="C8" s="10" t="s">
        <v>1466</v>
      </c>
      <c r="D8" s="0" t="n">
        <v>5</v>
      </c>
      <c r="E8" s="10" t="s">
        <v>1449</v>
      </c>
    </row>
    <row r="9" customFormat="false" ht="15" hidden="false" customHeight="false" outlineLevel="0" collapsed="false">
      <c r="A9" s="42" t="n">
        <v>46427.4326388889</v>
      </c>
      <c r="B9" s="10" t="s">
        <v>1608</v>
      </c>
      <c r="C9" s="10" t="s">
        <v>1466</v>
      </c>
      <c r="D9" s="0" t="n">
        <v>4</v>
      </c>
      <c r="E9" s="10" t="s">
        <v>1466</v>
      </c>
    </row>
    <row r="10" customFormat="false" ht="15" hidden="false" customHeight="false" outlineLevel="0" collapsed="false">
      <c r="A10" s="42" t="n">
        <v>46427.4326388889</v>
      </c>
      <c r="B10" s="10" t="s">
        <v>1607</v>
      </c>
      <c r="C10" s="10" t="s">
        <v>1449</v>
      </c>
      <c r="F10" s="10" t="s">
        <v>1578</v>
      </c>
      <c r="G10" s="10" t="s">
        <v>492</v>
      </c>
    </row>
    <row r="11" customFormat="false" ht="15" hidden="false" customHeight="false" outlineLevel="0" collapsed="false">
      <c r="A11" s="42" t="n">
        <v>46427.4631944444</v>
      </c>
      <c r="B11" s="10" t="s">
        <v>1609</v>
      </c>
      <c r="C11" s="10" t="s">
        <v>1466</v>
      </c>
      <c r="D11" s="0" t="n">
        <v>5</v>
      </c>
      <c r="E11" s="10" t="s">
        <v>1449</v>
      </c>
    </row>
    <row r="12" customFormat="false" ht="15" hidden="false" customHeight="false" outlineLevel="0" collapsed="false">
      <c r="A12" s="42" t="n">
        <v>46427.4694444445</v>
      </c>
      <c r="B12" s="10" t="s">
        <v>1605</v>
      </c>
      <c r="C12" s="10" t="s">
        <v>1466</v>
      </c>
      <c r="D12" s="0" t="n">
        <v>4</v>
      </c>
      <c r="E12" s="10" t="s">
        <v>1573</v>
      </c>
      <c r="G12" s="10" t="s">
        <v>491</v>
      </c>
    </row>
    <row r="13" customFormat="false" ht="15" hidden="false" customHeight="false" outlineLevel="0" collapsed="false">
      <c r="A13" s="42" t="n">
        <v>46427.4902777778</v>
      </c>
      <c r="B13" s="10" t="s">
        <v>1603</v>
      </c>
      <c r="C13" s="10" t="s">
        <v>1466</v>
      </c>
      <c r="D13" s="0" t="n">
        <v>4</v>
      </c>
      <c r="E13" s="10" t="s">
        <v>1573</v>
      </c>
    </row>
    <row r="14" customFormat="false" ht="15" hidden="false" customHeight="false" outlineLevel="0" collapsed="false">
      <c r="A14" s="42" t="n">
        <v>46427.4979166667</v>
      </c>
      <c r="B14" s="10" t="s">
        <v>1604</v>
      </c>
      <c r="C14" s="10" t="s">
        <v>1466</v>
      </c>
      <c r="D14" s="0" t="n">
        <v>5</v>
      </c>
      <c r="E14" s="10" t="s">
        <v>1449</v>
      </c>
      <c r="G14" s="10" t="s">
        <v>492</v>
      </c>
    </row>
    <row r="15" customFormat="false" ht="15" hidden="false" customHeight="false" outlineLevel="0" collapsed="false">
      <c r="A15" s="42" t="n">
        <v>46427.5131944444</v>
      </c>
      <c r="B15" s="10" t="s">
        <v>1609</v>
      </c>
      <c r="C15" s="10" t="s">
        <v>1449</v>
      </c>
      <c r="F15" s="10" t="s">
        <v>1574</v>
      </c>
    </row>
    <row r="16" customFormat="false" ht="15" hidden="false" customHeight="false" outlineLevel="0" collapsed="false">
      <c r="A16" s="42" t="n">
        <v>46427.5326388889</v>
      </c>
      <c r="B16" s="10" t="s">
        <v>1603</v>
      </c>
      <c r="C16" s="10" t="s">
        <v>1466</v>
      </c>
      <c r="D16" s="0" t="n">
        <v>5</v>
      </c>
      <c r="E16" s="10" t="s">
        <v>1466</v>
      </c>
      <c r="G16" s="10" t="s">
        <v>510</v>
      </c>
    </row>
    <row r="17" customFormat="false" ht="15" hidden="false" customHeight="false" outlineLevel="0" collapsed="false">
      <c r="A17" s="42" t="n">
        <v>46427.5534722222</v>
      </c>
      <c r="B17" s="10" t="s">
        <v>1604</v>
      </c>
      <c r="C17" s="10" t="s">
        <v>1466</v>
      </c>
      <c r="D17" s="0" t="n">
        <v>4</v>
      </c>
      <c r="E17" s="10" t="s">
        <v>1573</v>
      </c>
      <c r="G17" s="10" t="s">
        <v>1580</v>
      </c>
    </row>
    <row r="18" customFormat="false" ht="15" hidden="false" customHeight="false" outlineLevel="0" collapsed="false">
      <c r="A18" s="42" t="n">
        <v>46427.5541666667</v>
      </c>
      <c r="B18" s="10" t="s">
        <v>1610</v>
      </c>
      <c r="C18" s="10" t="s">
        <v>1466</v>
      </c>
      <c r="D18" s="0" t="n">
        <v>4</v>
      </c>
      <c r="E18" s="10" t="s">
        <v>1573</v>
      </c>
      <c r="G18" s="10" t="s">
        <v>1580</v>
      </c>
    </row>
    <row r="19" customFormat="false" ht="15" hidden="false" customHeight="false" outlineLevel="0" collapsed="false">
      <c r="A19" s="42" t="n">
        <v>46427.5875</v>
      </c>
      <c r="B19" s="10" t="s">
        <v>1609</v>
      </c>
      <c r="C19" s="10" t="s">
        <v>1466</v>
      </c>
      <c r="D19" s="0" t="n">
        <v>5</v>
      </c>
      <c r="E19" s="10" t="s">
        <v>1449</v>
      </c>
      <c r="G19" s="10" t="s">
        <v>491</v>
      </c>
    </row>
    <row r="20" customFormat="false" ht="15" hidden="false" customHeight="false" outlineLevel="0" collapsed="false">
      <c r="A20" s="42" t="n">
        <v>46427.59375</v>
      </c>
      <c r="B20" s="10" t="s">
        <v>1611</v>
      </c>
      <c r="C20" s="10" t="s">
        <v>1466</v>
      </c>
      <c r="D20" s="0" t="n">
        <v>4</v>
      </c>
      <c r="E20" s="10" t="s">
        <v>1573</v>
      </c>
    </row>
    <row r="21" customFormat="false" ht="15" hidden="false" customHeight="false" outlineLevel="0" collapsed="false">
      <c r="A21" s="42" t="n">
        <v>46427.5986111111</v>
      </c>
      <c r="B21" s="10" t="s">
        <v>1608</v>
      </c>
      <c r="C21" s="10" t="s">
        <v>1466</v>
      </c>
      <c r="D21" s="0" t="n">
        <v>4</v>
      </c>
      <c r="E21" s="10" t="s">
        <v>1573</v>
      </c>
    </row>
    <row r="22" customFormat="false" ht="15" hidden="false" customHeight="false" outlineLevel="0" collapsed="false">
      <c r="A22" s="42" t="n">
        <v>46427.5986111111</v>
      </c>
      <c r="B22" s="10" t="s">
        <v>1611</v>
      </c>
      <c r="C22" s="10" t="s">
        <v>1466</v>
      </c>
      <c r="D22" s="0" t="n">
        <v>4</v>
      </c>
      <c r="E22" s="10" t="s">
        <v>1466</v>
      </c>
      <c r="G22" s="10" t="s">
        <v>511</v>
      </c>
    </row>
    <row r="23" customFormat="false" ht="15" hidden="false" customHeight="false" outlineLevel="0" collapsed="false">
      <c r="A23" s="42" t="n">
        <v>46427.6090277778</v>
      </c>
      <c r="B23" s="10" t="s">
        <v>1608</v>
      </c>
      <c r="C23" s="10" t="s">
        <v>1466</v>
      </c>
      <c r="D23" s="0" t="n">
        <v>4</v>
      </c>
      <c r="E23" s="10" t="s">
        <v>1449</v>
      </c>
    </row>
    <row r="24" customFormat="false" ht="15" hidden="false" customHeight="false" outlineLevel="0" collapsed="false">
      <c r="A24" s="42" t="n">
        <v>46427.6145833333</v>
      </c>
      <c r="B24" s="10" t="s">
        <v>1609</v>
      </c>
      <c r="C24" s="10" t="s">
        <v>1466</v>
      </c>
      <c r="D24" s="0" t="n">
        <v>4</v>
      </c>
      <c r="E24" s="10" t="s">
        <v>1449</v>
      </c>
      <c r="G24" s="10" t="s">
        <v>1576</v>
      </c>
    </row>
    <row r="25" customFormat="false" ht="15" hidden="false" customHeight="false" outlineLevel="0" collapsed="false">
      <c r="A25" s="42" t="n">
        <v>46427.6236111111</v>
      </c>
      <c r="B25" s="10" t="s">
        <v>1611</v>
      </c>
      <c r="C25" s="10" t="s">
        <v>1466</v>
      </c>
      <c r="D25" s="0" t="n">
        <v>4</v>
      </c>
      <c r="E25" s="10" t="s">
        <v>1573</v>
      </c>
    </row>
    <row r="26" customFormat="false" ht="15" hidden="false" customHeight="false" outlineLevel="0" collapsed="false">
      <c r="A26" s="42" t="n">
        <v>46427.6236111111</v>
      </c>
      <c r="B26" s="10" t="s">
        <v>1609</v>
      </c>
      <c r="C26" s="10" t="s">
        <v>1466</v>
      </c>
      <c r="D26" s="0" t="n">
        <v>4</v>
      </c>
      <c r="E26" s="10" t="s">
        <v>1466</v>
      </c>
    </row>
    <row r="27" customFormat="false" ht="15" hidden="false" customHeight="false" outlineLevel="0" collapsed="false">
      <c r="A27" s="42" t="n">
        <v>46427.6354166667</v>
      </c>
      <c r="B27" s="10" t="s">
        <v>1603</v>
      </c>
      <c r="C27" s="10" t="s">
        <v>1449</v>
      </c>
      <c r="F27" s="10" t="s">
        <v>1574</v>
      </c>
    </row>
    <row r="28" customFormat="false" ht="15" hidden="false" customHeight="false" outlineLevel="0" collapsed="false">
      <c r="A28" s="42" t="n">
        <v>46427.6541666667</v>
      </c>
      <c r="B28" s="10" t="s">
        <v>1607</v>
      </c>
      <c r="C28" s="10" t="s">
        <v>1466</v>
      </c>
      <c r="D28" s="0" t="n">
        <v>4</v>
      </c>
      <c r="E28" s="10" t="s">
        <v>1466</v>
      </c>
    </row>
    <row r="29" customFormat="false" ht="15" hidden="false" customHeight="false" outlineLevel="0" collapsed="false">
      <c r="A29" s="42" t="n">
        <v>46427.6826388889</v>
      </c>
      <c r="B29" s="10" t="s">
        <v>1603</v>
      </c>
      <c r="C29" s="10" t="s">
        <v>1466</v>
      </c>
      <c r="D29" s="0" t="n">
        <v>3</v>
      </c>
      <c r="E29" s="10" t="s">
        <v>1573</v>
      </c>
      <c r="G29" s="10" t="s">
        <v>491</v>
      </c>
    </row>
    <row r="30" customFormat="false" ht="15" hidden="false" customHeight="false" outlineLevel="0" collapsed="false">
      <c r="A30" s="42" t="n">
        <v>46427.6972222222</v>
      </c>
      <c r="B30" s="10" t="s">
        <v>1605</v>
      </c>
      <c r="C30" s="10" t="s">
        <v>1449</v>
      </c>
      <c r="F30" s="10" t="s">
        <v>1571</v>
      </c>
    </row>
    <row r="31" customFormat="false" ht="15" hidden="false" customHeight="false" outlineLevel="0" collapsed="false">
      <c r="A31" s="42" t="n">
        <v>46428.3770833333</v>
      </c>
      <c r="B31" s="10" t="s">
        <v>1611</v>
      </c>
      <c r="C31" s="10" t="s">
        <v>1466</v>
      </c>
      <c r="D31" s="0" t="n">
        <v>4</v>
      </c>
      <c r="E31" s="10" t="s">
        <v>1573</v>
      </c>
    </row>
    <row r="32" customFormat="false" ht="15" hidden="false" customHeight="false" outlineLevel="0" collapsed="false">
      <c r="A32" s="42" t="n">
        <v>46428.4083333333</v>
      </c>
      <c r="B32" s="10" t="s">
        <v>1605</v>
      </c>
      <c r="C32" s="10" t="s">
        <v>1466</v>
      </c>
      <c r="D32" s="0" t="n">
        <v>4</v>
      </c>
      <c r="E32" s="10" t="s">
        <v>1573</v>
      </c>
    </row>
    <row r="33" customFormat="false" ht="15" hidden="false" customHeight="false" outlineLevel="0" collapsed="false">
      <c r="A33" s="42" t="n">
        <v>46428.4722222222</v>
      </c>
      <c r="B33" s="10" t="s">
        <v>1610</v>
      </c>
      <c r="C33" s="10" t="s">
        <v>1466</v>
      </c>
      <c r="D33" s="0" t="n">
        <v>4</v>
      </c>
      <c r="E33" s="10" t="s">
        <v>1573</v>
      </c>
    </row>
    <row r="34" customFormat="false" ht="15" hidden="false" customHeight="false" outlineLevel="0" collapsed="false">
      <c r="A34" s="42" t="n">
        <v>46428.4965277778</v>
      </c>
      <c r="B34" s="10" t="s">
        <v>1603</v>
      </c>
      <c r="C34" s="10" t="s">
        <v>1449</v>
      </c>
      <c r="F34" s="10" t="s">
        <v>1578</v>
      </c>
      <c r="G34" s="10" t="s">
        <v>512</v>
      </c>
    </row>
    <row r="35" customFormat="false" ht="15" hidden="false" customHeight="false" outlineLevel="0" collapsed="false">
      <c r="A35" s="42" t="n">
        <v>46428.5125</v>
      </c>
      <c r="B35" s="10" t="s">
        <v>1608</v>
      </c>
      <c r="C35" s="10" t="s">
        <v>1466</v>
      </c>
      <c r="D35" s="0" t="n">
        <v>5</v>
      </c>
      <c r="E35" s="10" t="s">
        <v>1573</v>
      </c>
    </row>
    <row r="36" customFormat="false" ht="15" hidden="false" customHeight="false" outlineLevel="0" collapsed="false">
      <c r="A36" s="42" t="n">
        <v>46428.5333333333</v>
      </c>
      <c r="B36" s="10" t="s">
        <v>1606</v>
      </c>
      <c r="C36" s="10" t="s">
        <v>1449</v>
      </c>
      <c r="F36" s="10" t="s">
        <v>1571</v>
      </c>
    </row>
    <row r="37" customFormat="false" ht="15" hidden="false" customHeight="false" outlineLevel="0" collapsed="false">
      <c r="A37" s="42" t="n">
        <v>46428.54375</v>
      </c>
      <c r="B37" s="10" t="s">
        <v>1606</v>
      </c>
      <c r="C37" s="10" t="s">
        <v>1449</v>
      </c>
      <c r="F37" s="10" t="s">
        <v>1578</v>
      </c>
      <c r="G37" s="10" t="s">
        <v>1576</v>
      </c>
    </row>
    <row r="38" customFormat="false" ht="15" hidden="false" customHeight="false" outlineLevel="0" collapsed="false">
      <c r="A38" s="42" t="n">
        <v>46428.5659722222</v>
      </c>
      <c r="B38" s="10" t="s">
        <v>1607</v>
      </c>
      <c r="C38" s="10" t="s">
        <v>1449</v>
      </c>
      <c r="F38" s="10" t="s">
        <v>1574</v>
      </c>
    </row>
    <row r="39" customFormat="false" ht="15" hidden="false" customHeight="false" outlineLevel="0" collapsed="false">
      <c r="A39" s="42" t="n">
        <v>46428.5819444444</v>
      </c>
      <c r="B39" s="10" t="s">
        <v>1606</v>
      </c>
      <c r="C39" s="10" t="s">
        <v>1466</v>
      </c>
      <c r="D39" s="0" t="n">
        <v>5</v>
      </c>
      <c r="E39" s="10" t="s">
        <v>1466</v>
      </c>
    </row>
    <row r="40" customFormat="false" ht="15" hidden="false" customHeight="false" outlineLevel="0" collapsed="false">
      <c r="A40" s="42" t="n">
        <v>46428.6138888889</v>
      </c>
      <c r="B40" s="10" t="s">
        <v>1604</v>
      </c>
      <c r="C40" s="10" t="s">
        <v>1466</v>
      </c>
      <c r="D40" s="0" t="n">
        <v>4</v>
      </c>
      <c r="E40" s="10" t="s">
        <v>1466</v>
      </c>
      <c r="G40" s="10" t="s">
        <v>1579</v>
      </c>
    </row>
    <row r="41" customFormat="false" ht="15" hidden="false" customHeight="false" outlineLevel="0" collapsed="false">
      <c r="A41" s="42" t="n">
        <v>46428.61875</v>
      </c>
      <c r="B41" s="10" t="s">
        <v>1607</v>
      </c>
      <c r="C41" s="10" t="s">
        <v>1466</v>
      </c>
      <c r="D41" s="0" t="n">
        <v>5</v>
      </c>
      <c r="E41" s="10" t="s">
        <v>1466</v>
      </c>
    </row>
    <row r="42" customFormat="false" ht="15" hidden="false" customHeight="false" outlineLevel="0" collapsed="false">
      <c r="A42" s="42" t="n">
        <v>46428.6222222222</v>
      </c>
      <c r="B42" s="10" t="s">
        <v>1610</v>
      </c>
      <c r="C42" s="10" t="s">
        <v>1466</v>
      </c>
      <c r="D42" s="0" t="n">
        <v>5</v>
      </c>
      <c r="E42" s="10" t="s">
        <v>1573</v>
      </c>
    </row>
    <row r="43" customFormat="false" ht="15" hidden="false" customHeight="false" outlineLevel="0" collapsed="false">
      <c r="A43" s="42" t="n">
        <v>46428.6340277778</v>
      </c>
      <c r="B43" s="10" t="s">
        <v>1606</v>
      </c>
      <c r="C43" s="10" t="s">
        <v>1466</v>
      </c>
      <c r="D43" s="0" t="n">
        <v>3</v>
      </c>
      <c r="E43" s="10" t="s">
        <v>1573</v>
      </c>
    </row>
    <row r="44" customFormat="false" ht="15" hidden="false" customHeight="false" outlineLevel="0" collapsed="false">
      <c r="A44" s="42" t="n">
        <v>46428.6625</v>
      </c>
      <c r="B44" s="10" t="s">
        <v>1605</v>
      </c>
      <c r="C44" s="10" t="s">
        <v>1466</v>
      </c>
      <c r="D44" s="0" t="n">
        <v>5</v>
      </c>
      <c r="E44" s="10" t="s">
        <v>1573</v>
      </c>
      <c r="G44" s="10" t="s">
        <v>1579</v>
      </c>
    </row>
    <row r="45" customFormat="false" ht="15" hidden="false" customHeight="false" outlineLevel="0" collapsed="false">
      <c r="A45" s="42" t="n">
        <v>46428.6854166667</v>
      </c>
      <c r="B45" s="10" t="s">
        <v>1611</v>
      </c>
      <c r="C45" s="10" t="s">
        <v>1466</v>
      </c>
      <c r="D45" s="0" t="n">
        <v>5</v>
      </c>
      <c r="E45" s="10" t="s">
        <v>1466</v>
      </c>
    </row>
    <row r="46" customFormat="false" ht="15" hidden="false" customHeight="false" outlineLevel="0" collapsed="false">
      <c r="A46" s="42" t="n">
        <v>46428.7027777778</v>
      </c>
      <c r="B46" s="10" t="s">
        <v>1610</v>
      </c>
      <c r="C46" s="10" t="s">
        <v>1449</v>
      </c>
      <c r="F46" s="10" t="s">
        <v>1578</v>
      </c>
    </row>
    <row r="47" customFormat="false" ht="15" hidden="false" customHeight="false" outlineLevel="0" collapsed="false">
      <c r="A47" s="42" t="n">
        <v>46429.3784722222</v>
      </c>
      <c r="B47" s="10" t="s">
        <v>1609</v>
      </c>
      <c r="C47" s="10" t="s">
        <v>1466</v>
      </c>
      <c r="D47" s="0" t="n">
        <v>5</v>
      </c>
      <c r="E47" s="10" t="s">
        <v>1573</v>
      </c>
    </row>
    <row r="48" customFormat="false" ht="15" hidden="false" customHeight="false" outlineLevel="0" collapsed="false">
      <c r="A48" s="42" t="n">
        <v>46429.38125</v>
      </c>
      <c r="B48" s="10" t="s">
        <v>1610</v>
      </c>
      <c r="C48" s="10" t="s">
        <v>1466</v>
      </c>
      <c r="D48" s="0" t="n">
        <v>5</v>
      </c>
      <c r="E48" s="10" t="s">
        <v>1466</v>
      </c>
      <c r="G48" s="10" t="s">
        <v>1576</v>
      </c>
    </row>
    <row r="49" customFormat="false" ht="15" hidden="false" customHeight="false" outlineLevel="0" collapsed="false">
      <c r="A49" s="42" t="n">
        <v>46429.4409722222</v>
      </c>
      <c r="B49" s="10" t="s">
        <v>1607</v>
      </c>
      <c r="C49" s="10" t="s">
        <v>1449</v>
      </c>
      <c r="F49" s="10" t="s">
        <v>1574</v>
      </c>
    </row>
    <row r="50" customFormat="false" ht="15" hidden="false" customHeight="false" outlineLevel="0" collapsed="false">
      <c r="A50" s="42" t="n">
        <v>46429.4541666667</v>
      </c>
      <c r="B50" s="10" t="s">
        <v>1610</v>
      </c>
      <c r="C50" s="10" t="s">
        <v>1466</v>
      </c>
      <c r="D50" s="0" t="n">
        <v>4</v>
      </c>
      <c r="E50" s="10" t="s">
        <v>1466</v>
      </c>
      <c r="G50" s="10" t="s">
        <v>491</v>
      </c>
    </row>
    <row r="51" customFormat="false" ht="15" hidden="false" customHeight="false" outlineLevel="0" collapsed="false">
      <c r="A51" s="42" t="n">
        <v>46429.4798611111</v>
      </c>
      <c r="B51" s="10" t="s">
        <v>1603</v>
      </c>
      <c r="C51" s="10" t="s">
        <v>1466</v>
      </c>
      <c r="D51" s="0" t="n">
        <v>5</v>
      </c>
      <c r="E51" s="10" t="s">
        <v>1466</v>
      </c>
      <c r="G51" s="10" t="s">
        <v>492</v>
      </c>
    </row>
    <row r="52" customFormat="false" ht="15" hidden="false" customHeight="false" outlineLevel="0" collapsed="false">
      <c r="A52" s="42" t="n">
        <v>46429.4826388889</v>
      </c>
      <c r="B52" s="10" t="s">
        <v>1604</v>
      </c>
      <c r="C52" s="10" t="s">
        <v>1466</v>
      </c>
      <c r="D52" s="0" t="n">
        <v>5</v>
      </c>
      <c r="E52" s="10" t="s">
        <v>1449</v>
      </c>
    </row>
    <row r="53" customFormat="false" ht="15" hidden="false" customHeight="false" outlineLevel="0" collapsed="false">
      <c r="A53" s="42" t="n">
        <v>46429.4868055556</v>
      </c>
      <c r="B53" s="10" t="s">
        <v>1610</v>
      </c>
      <c r="C53" s="10" t="s">
        <v>1466</v>
      </c>
      <c r="D53" s="0" t="n">
        <v>5</v>
      </c>
      <c r="E53" s="10" t="s">
        <v>1466</v>
      </c>
      <c r="G53" s="10" t="s">
        <v>1579</v>
      </c>
    </row>
    <row r="54" customFormat="false" ht="15" hidden="false" customHeight="false" outlineLevel="0" collapsed="false">
      <c r="A54" s="42" t="n">
        <v>46429.5111111111</v>
      </c>
      <c r="B54" s="10" t="s">
        <v>1609</v>
      </c>
      <c r="C54" s="10" t="s">
        <v>1466</v>
      </c>
      <c r="D54" s="0" t="n">
        <v>4</v>
      </c>
      <c r="E54" s="10" t="s">
        <v>1573</v>
      </c>
    </row>
    <row r="55" customFormat="false" ht="15" hidden="false" customHeight="false" outlineLevel="0" collapsed="false">
      <c r="A55" s="42" t="n">
        <v>46429.5159722222</v>
      </c>
      <c r="B55" s="10" t="s">
        <v>1606</v>
      </c>
      <c r="C55" s="10" t="s">
        <v>1466</v>
      </c>
      <c r="D55" s="0" t="n">
        <v>3</v>
      </c>
      <c r="E55" s="10" t="s">
        <v>1573</v>
      </c>
    </row>
    <row r="56" customFormat="false" ht="15" hidden="false" customHeight="false" outlineLevel="0" collapsed="false">
      <c r="A56" s="42" t="n">
        <v>46429.51875</v>
      </c>
      <c r="B56" s="10" t="s">
        <v>1606</v>
      </c>
      <c r="C56" s="10" t="s">
        <v>1466</v>
      </c>
      <c r="D56" s="0" t="n">
        <v>5</v>
      </c>
      <c r="E56" s="10" t="s">
        <v>1573</v>
      </c>
    </row>
    <row r="57" customFormat="false" ht="15" hidden="false" customHeight="false" outlineLevel="0" collapsed="false">
      <c r="A57" s="42" t="n">
        <v>46429.51875</v>
      </c>
      <c r="B57" s="10" t="s">
        <v>1606</v>
      </c>
      <c r="C57" s="10" t="s">
        <v>1449</v>
      </c>
      <c r="F57" s="10" t="s">
        <v>1574</v>
      </c>
    </row>
    <row r="58" customFormat="false" ht="15" hidden="false" customHeight="false" outlineLevel="0" collapsed="false">
      <c r="A58" s="42" t="n">
        <v>46429.5215277778</v>
      </c>
      <c r="B58" s="10" t="s">
        <v>1609</v>
      </c>
      <c r="C58" s="10" t="s">
        <v>1449</v>
      </c>
      <c r="F58" s="10" t="s">
        <v>1574</v>
      </c>
      <c r="G58" s="10" t="s">
        <v>510</v>
      </c>
    </row>
    <row r="59" customFormat="false" ht="15" hidden="false" customHeight="false" outlineLevel="0" collapsed="false">
      <c r="A59" s="42" t="n">
        <v>46429.5305555556</v>
      </c>
      <c r="B59" s="10" t="s">
        <v>1606</v>
      </c>
      <c r="C59" s="10" t="s">
        <v>1466</v>
      </c>
      <c r="D59" s="0" t="n">
        <v>4</v>
      </c>
      <c r="E59" s="10" t="s">
        <v>1573</v>
      </c>
      <c r="G59" s="10" t="s">
        <v>492</v>
      </c>
    </row>
    <row r="60" customFormat="false" ht="15" hidden="false" customHeight="false" outlineLevel="0" collapsed="false">
      <c r="A60" s="42" t="n">
        <v>46429.5465277778</v>
      </c>
      <c r="B60" s="10" t="s">
        <v>1607</v>
      </c>
      <c r="C60" s="10" t="s">
        <v>1466</v>
      </c>
      <c r="D60" s="0" t="n">
        <v>5</v>
      </c>
      <c r="E60" s="10" t="s">
        <v>1466</v>
      </c>
      <c r="G60" s="10" t="s">
        <v>511</v>
      </c>
    </row>
    <row r="61" customFormat="false" ht="15" hidden="false" customHeight="false" outlineLevel="0" collapsed="false">
      <c r="A61" s="42" t="n">
        <v>46429.5722222222</v>
      </c>
      <c r="B61" s="10" t="s">
        <v>1608</v>
      </c>
      <c r="C61" s="10" t="s">
        <v>1466</v>
      </c>
      <c r="D61" s="0" t="n">
        <v>4</v>
      </c>
      <c r="E61" s="10" t="s">
        <v>1449</v>
      </c>
    </row>
    <row r="62" customFormat="false" ht="15" hidden="false" customHeight="false" outlineLevel="0" collapsed="false">
      <c r="A62" s="42" t="n">
        <v>46429.5986111111</v>
      </c>
      <c r="B62" s="10" t="s">
        <v>1608</v>
      </c>
      <c r="C62" s="10" t="s">
        <v>1466</v>
      </c>
      <c r="D62" s="0" t="n">
        <v>3</v>
      </c>
      <c r="E62" s="10" t="s">
        <v>1449</v>
      </c>
    </row>
    <row r="63" customFormat="false" ht="15" hidden="false" customHeight="false" outlineLevel="0" collapsed="false">
      <c r="A63" s="42" t="n">
        <v>46429.6083333333</v>
      </c>
      <c r="B63" s="10" t="s">
        <v>1611</v>
      </c>
      <c r="C63" s="10" t="s">
        <v>1466</v>
      </c>
      <c r="D63" s="0" t="n">
        <v>4</v>
      </c>
      <c r="E63" s="10" t="s">
        <v>1466</v>
      </c>
      <c r="G63" s="10" t="s">
        <v>512</v>
      </c>
    </row>
    <row r="64" customFormat="false" ht="15" hidden="false" customHeight="false" outlineLevel="0" collapsed="false">
      <c r="A64" s="42" t="n">
        <v>46429.6125</v>
      </c>
      <c r="B64" s="10" t="s">
        <v>1605</v>
      </c>
      <c r="C64" s="10" t="s">
        <v>1449</v>
      </c>
      <c r="F64" s="10" t="s">
        <v>1571</v>
      </c>
    </row>
    <row r="65" customFormat="false" ht="15" hidden="false" customHeight="false" outlineLevel="0" collapsed="false">
      <c r="A65" s="42" t="n">
        <v>46429.65</v>
      </c>
      <c r="B65" s="10" t="s">
        <v>1610</v>
      </c>
      <c r="C65" s="10" t="s">
        <v>1449</v>
      </c>
      <c r="F65" s="10" t="s">
        <v>1574</v>
      </c>
      <c r="G65" s="10" t="s">
        <v>1579</v>
      </c>
    </row>
    <row r="66" customFormat="false" ht="15" hidden="false" customHeight="false" outlineLevel="0" collapsed="false">
      <c r="A66" s="42" t="n">
        <v>46429.6736111111</v>
      </c>
      <c r="B66" s="10" t="s">
        <v>1608</v>
      </c>
      <c r="C66" s="10" t="s">
        <v>1466</v>
      </c>
      <c r="D66" s="0" t="n">
        <v>3</v>
      </c>
      <c r="E66" s="10" t="s">
        <v>1466</v>
      </c>
      <c r="G66" s="10" t="s">
        <v>1579</v>
      </c>
    </row>
    <row r="67" customFormat="false" ht="15" hidden="false" customHeight="false" outlineLevel="0" collapsed="false">
      <c r="A67" s="42" t="n">
        <v>46429.7</v>
      </c>
      <c r="B67" s="10" t="s">
        <v>1603</v>
      </c>
      <c r="C67" s="10" t="s">
        <v>1466</v>
      </c>
      <c r="D67" s="0" t="n">
        <v>4</v>
      </c>
      <c r="E67" s="10" t="s">
        <v>1573</v>
      </c>
    </row>
    <row r="68" customFormat="false" ht="15" hidden="false" customHeight="false" outlineLevel="0" collapsed="false">
      <c r="A68" s="42" t="n">
        <v>46430.4375</v>
      </c>
      <c r="B68" s="10" t="s">
        <v>1611</v>
      </c>
      <c r="C68" s="10" t="s">
        <v>1466</v>
      </c>
      <c r="D68" s="0" t="n">
        <v>4</v>
      </c>
      <c r="E68" s="10" t="s">
        <v>1466</v>
      </c>
      <c r="G68" s="10" t="s">
        <v>491</v>
      </c>
    </row>
    <row r="69" customFormat="false" ht="15" hidden="false" customHeight="false" outlineLevel="0" collapsed="false">
      <c r="A69" s="42" t="n">
        <v>46430.4958333333</v>
      </c>
      <c r="B69" s="10" t="s">
        <v>1610</v>
      </c>
      <c r="C69" s="10" t="s">
        <v>1466</v>
      </c>
      <c r="D69" s="0" t="n">
        <v>3</v>
      </c>
      <c r="E69" s="10" t="s">
        <v>1466</v>
      </c>
    </row>
    <row r="70" customFormat="false" ht="15" hidden="false" customHeight="false" outlineLevel="0" collapsed="false">
      <c r="A70" s="42" t="n">
        <v>46430.5486111111</v>
      </c>
      <c r="B70" s="10" t="s">
        <v>1608</v>
      </c>
      <c r="C70" s="10" t="s">
        <v>1449</v>
      </c>
      <c r="F70" s="10" t="s">
        <v>1578</v>
      </c>
      <c r="G70" s="10" t="s">
        <v>1580</v>
      </c>
    </row>
    <row r="71" customFormat="false" ht="15" hidden="false" customHeight="false" outlineLevel="0" collapsed="false">
      <c r="A71" s="42" t="n">
        <v>46430.5777777778</v>
      </c>
      <c r="B71" s="10" t="s">
        <v>1603</v>
      </c>
      <c r="C71" s="10" t="s">
        <v>1466</v>
      </c>
      <c r="D71" s="0" t="n">
        <v>3</v>
      </c>
      <c r="E71" s="10" t="s">
        <v>1573</v>
      </c>
    </row>
    <row r="72" customFormat="false" ht="15" hidden="false" customHeight="false" outlineLevel="0" collapsed="false">
      <c r="A72" s="42" t="n">
        <v>46434.6208333333</v>
      </c>
      <c r="B72" s="10" t="s">
        <v>1606</v>
      </c>
      <c r="C72" s="10" t="s">
        <v>1466</v>
      </c>
      <c r="D72" s="0" t="n">
        <v>4</v>
      </c>
      <c r="E72" s="10" t="s">
        <v>1573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1421</v>
      </c>
      <c r="B1" s="41" t="s">
        <v>1559</v>
      </c>
      <c r="C1" s="41" t="s">
        <v>1612</v>
      </c>
      <c r="D1" s="41" t="s">
        <v>1561</v>
      </c>
      <c r="E1" s="41" t="s">
        <v>1562</v>
      </c>
      <c r="F1" s="41" t="s">
        <v>1563</v>
      </c>
      <c r="G1" s="41" t="s">
        <v>1613</v>
      </c>
    </row>
    <row r="2" customFormat="false" ht="15" hidden="false" customHeight="false" outlineLevel="0" collapsed="false">
      <c r="A2" s="42" t="n">
        <v>46427.3965277778</v>
      </c>
      <c r="B2" s="10" t="s">
        <v>1614</v>
      </c>
      <c r="C2" s="10" t="s">
        <v>1466</v>
      </c>
      <c r="D2" s="0" t="n">
        <v>4</v>
      </c>
      <c r="E2" s="10" t="s">
        <v>1466</v>
      </c>
      <c r="G2" s="10" t="s">
        <v>558</v>
      </c>
    </row>
    <row r="3" customFormat="false" ht="15" hidden="false" customHeight="false" outlineLevel="0" collapsed="false">
      <c r="A3" s="42" t="n">
        <v>46427.43125</v>
      </c>
      <c r="B3" s="10" t="s">
        <v>1615</v>
      </c>
      <c r="C3" s="10" t="s">
        <v>1466</v>
      </c>
      <c r="D3" s="0" t="n">
        <v>4</v>
      </c>
      <c r="E3" s="10" t="s">
        <v>1573</v>
      </c>
      <c r="G3" s="10" t="s">
        <v>559</v>
      </c>
    </row>
    <row r="4" customFormat="false" ht="15" hidden="false" customHeight="false" outlineLevel="0" collapsed="false">
      <c r="A4" s="42" t="n">
        <v>46427.5</v>
      </c>
      <c r="B4" s="10" t="s">
        <v>1616</v>
      </c>
      <c r="C4" s="10" t="s">
        <v>1466</v>
      </c>
      <c r="D4" s="0" t="n">
        <v>3</v>
      </c>
      <c r="E4" s="10" t="s">
        <v>1449</v>
      </c>
      <c r="G4" s="10" t="s">
        <v>560</v>
      </c>
    </row>
    <row r="5" customFormat="false" ht="15" hidden="false" customHeight="false" outlineLevel="0" collapsed="false">
      <c r="A5" s="42" t="n">
        <v>46427.5006944445</v>
      </c>
      <c r="B5" s="10" t="s">
        <v>1617</v>
      </c>
      <c r="C5" s="10" t="s">
        <v>1449</v>
      </c>
      <c r="F5" s="10" t="s">
        <v>1571</v>
      </c>
    </row>
    <row r="6" customFormat="false" ht="15" hidden="false" customHeight="false" outlineLevel="0" collapsed="false">
      <c r="A6" s="42" t="n">
        <v>46427.5506944444</v>
      </c>
      <c r="B6" s="10" t="s">
        <v>1616</v>
      </c>
      <c r="C6" s="10" t="s">
        <v>1449</v>
      </c>
      <c r="F6" s="10" t="s">
        <v>1578</v>
      </c>
    </row>
    <row r="7" customFormat="false" ht="15" hidden="false" customHeight="false" outlineLevel="0" collapsed="false">
      <c r="A7" s="42" t="n">
        <v>46427.5694444445</v>
      </c>
      <c r="B7" s="10" t="s">
        <v>1617</v>
      </c>
      <c r="C7" s="10" t="s">
        <v>1466</v>
      </c>
      <c r="D7" s="0" t="n">
        <v>5</v>
      </c>
      <c r="E7" s="10" t="s">
        <v>1449</v>
      </c>
      <c r="G7" s="10" t="s">
        <v>492</v>
      </c>
    </row>
    <row r="8" customFormat="false" ht="15" hidden="false" customHeight="false" outlineLevel="0" collapsed="false">
      <c r="A8" s="42" t="n">
        <v>46427.5708333333</v>
      </c>
      <c r="B8" s="10" t="s">
        <v>1618</v>
      </c>
      <c r="C8" s="10" t="s">
        <v>1449</v>
      </c>
      <c r="F8" s="10" t="s">
        <v>1574</v>
      </c>
      <c r="G8" s="10" t="s">
        <v>1579</v>
      </c>
    </row>
    <row r="9" customFormat="false" ht="15" hidden="false" customHeight="false" outlineLevel="0" collapsed="false">
      <c r="A9" s="42" t="n">
        <v>46427.5722222222</v>
      </c>
      <c r="B9" s="10" t="s">
        <v>1615</v>
      </c>
      <c r="C9" s="10" t="s">
        <v>1466</v>
      </c>
      <c r="D9" s="0" t="n">
        <v>5</v>
      </c>
      <c r="E9" s="10" t="s">
        <v>1449</v>
      </c>
    </row>
    <row r="10" customFormat="false" ht="15" hidden="false" customHeight="false" outlineLevel="0" collapsed="false">
      <c r="A10" s="42" t="n">
        <v>46427.5916666667</v>
      </c>
      <c r="B10" s="10" t="s">
        <v>1619</v>
      </c>
      <c r="C10" s="10" t="s">
        <v>1449</v>
      </c>
      <c r="F10" s="10" t="s">
        <v>1571</v>
      </c>
      <c r="G10" s="10" t="s">
        <v>510</v>
      </c>
    </row>
    <row r="11" customFormat="false" ht="15" hidden="false" customHeight="false" outlineLevel="0" collapsed="false">
      <c r="A11" s="42" t="n">
        <v>46427.5993055556</v>
      </c>
      <c r="B11" s="10" t="s">
        <v>1619</v>
      </c>
      <c r="C11" s="10" t="s">
        <v>1466</v>
      </c>
      <c r="D11" s="0" t="n">
        <v>5</v>
      </c>
      <c r="E11" s="10" t="s">
        <v>1466</v>
      </c>
    </row>
    <row r="12" customFormat="false" ht="15" hidden="false" customHeight="false" outlineLevel="0" collapsed="false">
      <c r="A12" s="42" t="n">
        <v>46427.61875</v>
      </c>
      <c r="B12" s="10" t="s">
        <v>1615</v>
      </c>
      <c r="C12" s="10" t="s">
        <v>1449</v>
      </c>
      <c r="F12" s="10" t="s">
        <v>1578</v>
      </c>
    </row>
    <row r="13" customFormat="false" ht="15" hidden="false" customHeight="false" outlineLevel="0" collapsed="false">
      <c r="A13" s="42" t="n">
        <v>46427.65</v>
      </c>
      <c r="B13" s="10" t="s">
        <v>1620</v>
      </c>
      <c r="C13" s="10" t="s">
        <v>1466</v>
      </c>
      <c r="D13" s="0" t="n">
        <v>3</v>
      </c>
      <c r="E13" s="10" t="s">
        <v>1449</v>
      </c>
    </row>
    <row r="14" customFormat="false" ht="15" hidden="false" customHeight="false" outlineLevel="0" collapsed="false">
      <c r="A14" s="42" t="n">
        <v>46427.6541666667</v>
      </c>
      <c r="B14" s="10" t="s">
        <v>1616</v>
      </c>
      <c r="C14" s="10" t="s">
        <v>1466</v>
      </c>
      <c r="D14" s="0" t="n">
        <v>4</v>
      </c>
      <c r="E14" s="10" t="s">
        <v>1449</v>
      </c>
    </row>
    <row r="15" customFormat="false" ht="15" hidden="false" customHeight="false" outlineLevel="0" collapsed="false">
      <c r="A15" s="42" t="n">
        <v>46427.6701388889</v>
      </c>
      <c r="B15" s="10" t="s">
        <v>1621</v>
      </c>
      <c r="C15" s="10" t="s">
        <v>1466</v>
      </c>
      <c r="D15" s="0" t="n">
        <v>4</v>
      </c>
      <c r="E15" s="10" t="s">
        <v>1573</v>
      </c>
    </row>
    <row r="16" customFormat="false" ht="15" hidden="false" customHeight="false" outlineLevel="0" collapsed="false">
      <c r="A16" s="42" t="n">
        <v>46427.6854166667</v>
      </c>
      <c r="B16" s="10" t="s">
        <v>1618</v>
      </c>
      <c r="C16" s="10" t="s">
        <v>1466</v>
      </c>
      <c r="D16" s="0" t="n">
        <v>5</v>
      </c>
      <c r="E16" s="10" t="s">
        <v>1466</v>
      </c>
    </row>
    <row r="17" customFormat="false" ht="15" hidden="false" customHeight="false" outlineLevel="0" collapsed="false">
      <c r="A17" s="42" t="n">
        <v>46428.3784722222</v>
      </c>
      <c r="B17" s="10" t="s">
        <v>1616</v>
      </c>
      <c r="C17" s="10" t="s">
        <v>1466</v>
      </c>
      <c r="D17" s="0" t="n">
        <v>4</v>
      </c>
      <c r="E17" s="10" t="s">
        <v>1449</v>
      </c>
    </row>
    <row r="18" customFormat="false" ht="15" hidden="false" customHeight="false" outlineLevel="0" collapsed="false">
      <c r="A18" s="42" t="n">
        <v>46428.4055555556</v>
      </c>
      <c r="B18" s="10" t="s">
        <v>1622</v>
      </c>
      <c r="C18" s="10" t="s">
        <v>1466</v>
      </c>
      <c r="D18" s="0" t="n">
        <v>4</v>
      </c>
      <c r="E18" s="10" t="s">
        <v>1573</v>
      </c>
    </row>
    <row r="19" customFormat="false" ht="15" hidden="false" customHeight="false" outlineLevel="0" collapsed="false">
      <c r="A19" s="42" t="n">
        <v>46428.4111111111</v>
      </c>
      <c r="B19" s="10" t="s">
        <v>1621</v>
      </c>
      <c r="C19" s="10" t="s">
        <v>1466</v>
      </c>
      <c r="D19" s="0" t="n">
        <v>5</v>
      </c>
      <c r="E19" s="10" t="s">
        <v>1466</v>
      </c>
      <c r="G19" s="10" t="s">
        <v>511</v>
      </c>
    </row>
    <row r="20" customFormat="false" ht="15" hidden="false" customHeight="false" outlineLevel="0" collapsed="false">
      <c r="A20" s="42" t="n">
        <v>46428.4152777778</v>
      </c>
      <c r="B20" s="10" t="s">
        <v>1618</v>
      </c>
      <c r="C20" s="10" t="s">
        <v>1449</v>
      </c>
      <c r="F20" s="10" t="s">
        <v>1571</v>
      </c>
    </row>
    <row r="21" customFormat="false" ht="15" hidden="false" customHeight="false" outlineLevel="0" collapsed="false">
      <c r="A21" s="42" t="n">
        <v>46428.4486111111</v>
      </c>
      <c r="B21" s="10" t="s">
        <v>1617</v>
      </c>
      <c r="C21" s="10" t="s">
        <v>1466</v>
      </c>
      <c r="D21" s="0" t="n">
        <v>4</v>
      </c>
      <c r="E21" s="10" t="s">
        <v>1449</v>
      </c>
    </row>
    <row r="22" customFormat="false" ht="15" hidden="false" customHeight="false" outlineLevel="0" collapsed="false">
      <c r="A22" s="42" t="n">
        <v>46428.4534722222</v>
      </c>
      <c r="B22" s="10" t="s">
        <v>1622</v>
      </c>
      <c r="C22" s="10" t="s">
        <v>1466</v>
      </c>
      <c r="D22" s="0" t="n">
        <v>5</v>
      </c>
      <c r="E22" s="10" t="s">
        <v>1466</v>
      </c>
      <c r="G22" s="10" t="s">
        <v>492</v>
      </c>
    </row>
    <row r="23" customFormat="false" ht="15" hidden="false" customHeight="false" outlineLevel="0" collapsed="false">
      <c r="A23" s="42" t="n">
        <v>46428.4701388889</v>
      </c>
      <c r="B23" s="10" t="s">
        <v>1621</v>
      </c>
      <c r="C23" s="10" t="s">
        <v>1449</v>
      </c>
      <c r="F23" s="10" t="s">
        <v>1578</v>
      </c>
    </row>
    <row r="24" customFormat="false" ht="15" hidden="false" customHeight="false" outlineLevel="0" collapsed="false">
      <c r="A24" s="42" t="n">
        <v>46428.4756944445</v>
      </c>
      <c r="B24" s="10" t="s">
        <v>1619</v>
      </c>
      <c r="C24" s="10" t="s">
        <v>1466</v>
      </c>
      <c r="D24" s="0" t="n">
        <v>5</v>
      </c>
      <c r="E24" s="10" t="s">
        <v>1573</v>
      </c>
    </row>
    <row r="25" customFormat="false" ht="15" hidden="false" customHeight="false" outlineLevel="0" collapsed="false">
      <c r="A25" s="42" t="n">
        <v>46428.4819444444</v>
      </c>
      <c r="B25" s="10" t="s">
        <v>1621</v>
      </c>
      <c r="C25" s="10" t="s">
        <v>1449</v>
      </c>
      <c r="F25" s="10" t="s">
        <v>1571</v>
      </c>
    </row>
    <row r="26" customFormat="false" ht="15" hidden="false" customHeight="false" outlineLevel="0" collapsed="false">
      <c r="A26" s="42" t="n">
        <v>46428.4888888889</v>
      </c>
      <c r="B26" s="10" t="s">
        <v>1618</v>
      </c>
      <c r="C26" s="10" t="s">
        <v>1466</v>
      </c>
      <c r="D26" s="0" t="n">
        <v>5</v>
      </c>
      <c r="E26" s="10" t="s">
        <v>1573</v>
      </c>
      <c r="G26" s="10" t="s">
        <v>1576</v>
      </c>
    </row>
    <row r="27" customFormat="false" ht="15" hidden="false" customHeight="false" outlineLevel="0" collapsed="false">
      <c r="A27" s="42" t="n">
        <v>46428.5194444444</v>
      </c>
      <c r="B27" s="10" t="s">
        <v>1619</v>
      </c>
      <c r="C27" s="10" t="s">
        <v>1466</v>
      </c>
      <c r="D27" s="0" t="n">
        <v>3</v>
      </c>
      <c r="E27" s="10" t="s">
        <v>1466</v>
      </c>
    </row>
    <row r="28" customFormat="false" ht="15" hidden="false" customHeight="false" outlineLevel="0" collapsed="false">
      <c r="A28" s="42" t="n">
        <v>46428.525</v>
      </c>
      <c r="B28" s="10" t="s">
        <v>1615</v>
      </c>
      <c r="C28" s="10" t="s">
        <v>1466</v>
      </c>
      <c r="D28" s="0" t="n">
        <v>3</v>
      </c>
      <c r="E28" s="10" t="s">
        <v>1573</v>
      </c>
      <c r="G28" s="10" t="s">
        <v>1576</v>
      </c>
    </row>
    <row r="29" customFormat="false" ht="15" hidden="false" customHeight="false" outlineLevel="0" collapsed="false">
      <c r="A29" s="42" t="n">
        <v>46428.5263888889</v>
      </c>
      <c r="B29" s="10" t="s">
        <v>1614</v>
      </c>
      <c r="C29" s="10" t="s">
        <v>1466</v>
      </c>
      <c r="D29" s="0" t="n">
        <v>4</v>
      </c>
      <c r="E29" s="10" t="s">
        <v>1573</v>
      </c>
    </row>
    <row r="30" customFormat="false" ht="15" hidden="false" customHeight="false" outlineLevel="0" collapsed="false">
      <c r="A30" s="42" t="n">
        <v>46428.5347222222</v>
      </c>
      <c r="B30" s="10" t="s">
        <v>1614</v>
      </c>
      <c r="C30" s="10" t="s">
        <v>1466</v>
      </c>
      <c r="D30" s="0" t="n">
        <v>4</v>
      </c>
      <c r="E30" s="10" t="s">
        <v>1466</v>
      </c>
      <c r="G30" s="10" t="s">
        <v>511</v>
      </c>
    </row>
    <row r="31" customFormat="false" ht="15" hidden="false" customHeight="false" outlineLevel="0" collapsed="false">
      <c r="A31" s="42" t="n">
        <v>46428.5388888889</v>
      </c>
      <c r="B31" s="10" t="s">
        <v>1618</v>
      </c>
      <c r="C31" s="10" t="s">
        <v>1449</v>
      </c>
      <c r="F31" s="10" t="s">
        <v>1574</v>
      </c>
    </row>
    <row r="32" customFormat="false" ht="15" hidden="false" customHeight="false" outlineLevel="0" collapsed="false">
      <c r="A32" s="42" t="n">
        <v>46428.5493055556</v>
      </c>
      <c r="B32" s="10" t="s">
        <v>1614</v>
      </c>
      <c r="C32" s="10" t="s">
        <v>1466</v>
      </c>
      <c r="D32" s="0" t="n">
        <v>5</v>
      </c>
      <c r="E32" s="10" t="s">
        <v>1573</v>
      </c>
      <c r="G32" s="10" t="s">
        <v>511</v>
      </c>
    </row>
    <row r="33" customFormat="false" ht="15" hidden="false" customHeight="false" outlineLevel="0" collapsed="false">
      <c r="A33" s="42" t="n">
        <v>46428.55625</v>
      </c>
      <c r="B33" s="10" t="s">
        <v>1618</v>
      </c>
      <c r="C33" s="10" t="s">
        <v>1449</v>
      </c>
      <c r="F33" s="10" t="s">
        <v>1574</v>
      </c>
    </row>
    <row r="34" customFormat="false" ht="15" hidden="false" customHeight="false" outlineLevel="0" collapsed="false">
      <c r="A34" s="42" t="n">
        <v>46428.5604166667</v>
      </c>
      <c r="B34" s="10" t="s">
        <v>1618</v>
      </c>
      <c r="C34" s="10" t="s">
        <v>1466</v>
      </c>
      <c r="D34" s="0" t="n">
        <v>4</v>
      </c>
      <c r="E34" s="10" t="s">
        <v>1573</v>
      </c>
      <c r="G34" s="10" t="s">
        <v>510</v>
      </c>
    </row>
    <row r="35" customFormat="false" ht="15" hidden="false" customHeight="false" outlineLevel="0" collapsed="false">
      <c r="A35" s="42" t="n">
        <v>46428.5763888889</v>
      </c>
      <c r="B35" s="10" t="s">
        <v>1623</v>
      </c>
      <c r="C35" s="10" t="s">
        <v>1466</v>
      </c>
      <c r="D35" s="0" t="n">
        <v>4</v>
      </c>
      <c r="E35" s="10" t="s">
        <v>1573</v>
      </c>
    </row>
    <row r="36" customFormat="false" ht="15" hidden="false" customHeight="false" outlineLevel="0" collapsed="false">
      <c r="A36" s="42" t="n">
        <v>46428.5770833333</v>
      </c>
      <c r="B36" s="10" t="s">
        <v>1622</v>
      </c>
      <c r="C36" s="10" t="s">
        <v>1466</v>
      </c>
      <c r="D36" s="0" t="n">
        <v>5</v>
      </c>
      <c r="E36" s="10" t="s">
        <v>1573</v>
      </c>
    </row>
    <row r="37" customFormat="false" ht="15" hidden="false" customHeight="false" outlineLevel="0" collapsed="false">
      <c r="A37" s="42" t="n">
        <v>46428.5777777778</v>
      </c>
      <c r="B37" s="10" t="s">
        <v>1614</v>
      </c>
      <c r="C37" s="10" t="s">
        <v>1449</v>
      </c>
      <c r="F37" s="10" t="s">
        <v>1578</v>
      </c>
    </row>
    <row r="38" customFormat="false" ht="15" hidden="false" customHeight="false" outlineLevel="0" collapsed="false">
      <c r="A38" s="42" t="n">
        <v>46428.5798611111</v>
      </c>
      <c r="B38" s="10" t="s">
        <v>1623</v>
      </c>
      <c r="C38" s="10" t="s">
        <v>1449</v>
      </c>
      <c r="F38" s="10" t="s">
        <v>1578</v>
      </c>
      <c r="G38" s="10" t="s">
        <v>511</v>
      </c>
    </row>
    <row r="39" customFormat="false" ht="15" hidden="false" customHeight="false" outlineLevel="0" collapsed="false">
      <c r="A39" s="42" t="n">
        <v>46428.5902777778</v>
      </c>
      <c r="B39" s="10" t="s">
        <v>1617</v>
      </c>
      <c r="C39" s="10" t="s">
        <v>1466</v>
      </c>
      <c r="D39" s="0" t="n">
        <v>5</v>
      </c>
      <c r="E39" s="10" t="s">
        <v>1573</v>
      </c>
    </row>
    <row r="40" customFormat="false" ht="15" hidden="false" customHeight="false" outlineLevel="0" collapsed="false">
      <c r="A40" s="42" t="n">
        <v>46428.5972222222</v>
      </c>
      <c r="B40" s="10" t="s">
        <v>1621</v>
      </c>
      <c r="C40" s="10" t="s">
        <v>1466</v>
      </c>
      <c r="D40" s="0" t="n">
        <v>5</v>
      </c>
      <c r="E40" s="10" t="s">
        <v>1449</v>
      </c>
      <c r="G40" s="10" t="s">
        <v>491</v>
      </c>
    </row>
    <row r="41" customFormat="false" ht="15" hidden="false" customHeight="false" outlineLevel="0" collapsed="false">
      <c r="A41" s="42" t="n">
        <v>46428.5993055556</v>
      </c>
      <c r="B41" s="10" t="s">
        <v>1617</v>
      </c>
      <c r="C41" s="10" t="s">
        <v>1466</v>
      </c>
      <c r="D41" s="0" t="n">
        <v>4</v>
      </c>
      <c r="E41" s="10" t="s">
        <v>1573</v>
      </c>
      <c r="G41" s="10" t="s">
        <v>1579</v>
      </c>
    </row>
    <row r="42" customFormat="false" ht="15" hidden="false" customHeight="false" outlineLevel="0" collapsed="false">
      <c r="A42" s="42" t="n">
        <v>46428.6041666667</v>
      </c>
      <c r="B42" s="10" t="s">
        <v>1616</v>
      </c>
      <c r="C42" s="10" t="s">
        <v>1466</v>
      </c>
      <c r="D42" s="0" t="n">
        <v>5</v>
      </c>
      <c r="E42" s="10" t="s">
        <v>1573</v>
      </c>
    </row>
    <row r="43" customFormat="false" ht="15" hidden="false" customHeight="false" outlineLevel="0" collapsed="false">
      <c r="A43" s="42" t="n">
        <v>46428.6118055556</v>
      </c>
      <c r="B43" s="10" t="s">
        <v>1615</v>
      </c>
      <c r="C43" s="10" t="s">
        <v>1466</v>
      </c>
      <c r="D43" s="0" t="n">
        <v>4</v>
      </c>
      <c r="E43" s="10" t="s">
        <v>1466</v>
      </c>
    </row>
    <row r="44" customFormat="false" ht="15" hidden="false" customHeight="false" outlineLevel="0" collapsed="false">
      <c r="A44" s="42" t="n">
        <v>46428.6652777778</v>
      </c>
      <c r="B44" s="10" t="s">
        <v>1616</v>
      </c>
      <c r="C44" s="10" t="s">
        <v>1466</v>
      </c>
      <c r="D44" s="0" t="n">
        <v>4</v>
      </c>
      <c r="E44" s="10" t="s">
        <v>1573</v>
      </c>
      <c r="G44" s="10" t="s">
        <v>512</v>
      </c>
    </row>
    <row r="45" customFormat="false" ht="15" hidden="false" customHeight="false" outlineLevel="0" collapsed="false">
      <c r="A45" s="42" t="n">
        <v>46428.6902777778</v>
      </c>
      <c r="B45" s="10" t="s">
        <v>1614</v>
      </c>
      <c r="C45" s="10" t="s">
        <v>1466</v>
      </c>
      <c r="D45" s="0" t="n">
        <v>5</v>
      </c>
      <c r="E45" s="10" t="s">
        <v>1573</v>
      </c>
      <c r="G45" s="10" t="s">
        <v>1579</v>
      </c>
    </row>
    <row r="46" customFormat="false" ht="15" hidden="false" customHeight="false" outlineLevel="0" collapsed="false">
      <c r="A46" s="42" t="n">
        <v>46428.70625</v>
      </c>
      <c r="B46" s="10" t="s">
        <v>1614</v>
      </c>
      <c r="C46" s="10" t="s">
        <v>1449</v>
      </c>
      <c r="F46" s="10" t="s">
        <v>1571</v>
      </c>
    </row>
    <row r="47" customFormat="false" ht="15" hidden="false" customHeight="false" outlineLevel="0" collapsed="false">
      <c r="A47" s="42" t="n">
        <v>46429.3784722222</v>
      </c>
      <c r="B47" s="10" t="s">
        <v>1622</v>
      </c>
      <c r="C47" s="10" t="s">
        <v>1466</v>
      </c>
      <c r="D47" s="0" t="n">
        <v>4</v>
      </c>
      <c r="E47" s="10" t="s">
        <v>1466</v>
      </c>
      <c r="G47" s="10" t="s">
        <v>512</v>
      </c>
    </row>
    <row r="48" customFormat="false" ht="15" hidden="false" customHeight="false" outlineLevel="0" collapsed="false">
      <c r="A48" s="42" t="n">
        <v>46429.3805555556</v>
      </c>
      <c r="B48" s="10" t="s">
        <v>1619</v>
      </c>
      <c r="C48" s="10" t="s">
        <v>1466</v>
      </c>
      <c r="D48" s="0" t="n">
        <v>5</v>
      </c>
      <c r="E48" s="10" t="s">
        <v>1573</v>
      </c>
    </row>
    <row r="49" customFormat="false" ht="15" hidden="false" customHeight="false" outlineLevel="0" collapsed="false">
      <c r="A49" s="42" t="n">
        <v>46429.3923611111</v>
      </c>
      <c r="B49" s="10" t="s">
        <v>1614</v>
      </c>
      <c r="C49" s="10" t="s">
        <v>1449</v>
      </c>
      <c r="F49" s="10" t="s">
        <v>1571</v>
      </c>
      <c r="G49" s="10" t="s">
        <v>1579</v>
      </c>
    </row>
    <row r="50" customFormat="false" ht="15" hidden="false" customHeight="false" outlineLevel="0" collapsed="false">
      <c r="A50" s="42" t="n">
        <v>46429.3951388889</v>
      </c>
      <c r="B50" s="10" t="s">
        <v>1618</v>
      </c>
      <c r="C50" s="10" t="s">
        <v>1466</v>
      </c>
      <c r="D50" s="0" t="n">
        <v>4</v>
      </c>
      <c r="E50" s="10" t="s">
        <v>1449</v>
      </c>
      <c r="G50" s="10" t="s">
        <v>512</v>
      </c>
    </row>
    <row r="51" customFormat="false" ht="15" hidden="false" customHeight="false" outlineLevel="0" collapsed="false">
      <c r="A51" s="42" t="n">
        <v>46429.4569444444</v>
      </c>
      <c r="B51" s="10" t="s">
        <v>1623</v>
      </c>
      <c r="C51" s="10" t="s">
        <v>1449</v>
      </c>
      <c r="F51" s="10" t="s">
        <v>1574</v>
      </c>
    </row>
    <row r="52" customFormat="false" ht="15" hidden="false" customHeight="false" outlineLevel="0" collapsed="false">
      <c r="A52" s="42" t="n">
        <v>46429.4638888889</v>
      </c>
      <c r="B52" s="10" t="s">
        <v>1623</v>
      </c>
      <c r="C52" s="10" t="s">
        <v>1449</v>
      </c>
      <c r="F52" s="10" t="s">
        <v>1578</v>
      </c>
    </row>
    <row r="53" customFormat="false" ht="15" hidden="false" customHeight="false" outlineLevel="0" collapsed="false">
      <c r="A53" s="42" t="n">
        <v>46429.4708333333</v>
      </c>
      <c r="B53" s="10" t="s">
        <v>1621</v>
      </c>
      <c r="C53" s="10" t="s">
        <v>1466</v>
      </c>
      <c r="D53" s="0" t="n">
        <v>5</v>
      </c>
      <c r="E53" s="10" t="s">
        <v>1573</v>
      </c>
    </row>
    <row r="54" customFormat="false" ht="15" hidden="false" customHeight="false" outlineLevel="0" collapsed="false">
      <c r="A54" s="42" t="n">
        <v>46429.4847222222</v>
      </c>
      <c r="B54" s="10" t="s">
        <v>1622</v>
      </c>
      <c r="C54" s="10" t="s">
        <v>1449</v>
      </c>
      <c r="F54" s="10" t="s">
        <v>1574</v>
      </c>
    </row>
    <row r="55" customFormat="false" ht="15" hidden="false" customHeight="false" outlineLevel="0" collapsed="false">
      <c r="A55" s="42" t="n">
        <v>46429.5243055556</v>
      </c>
      <c r="B55" s="10" t="s">
        <v>1619</v>
      </c>
      <c r="C55" s="10" t="s">
        <v>1466</v>
      </c>
      <c r="D55" s="0" t="n">
        <v>5</v>
      </c>
      <c r="E55" s="10" t="s">
        <v>1573</v>
      </c>
      <c r="G55" s="10" t="s">
        <v>1580</v>
      </c>
    </row>
    <row r="56" customFormat="false" ht="15" hidden="false" customHeight="false" outlineLevel="0" collapsed="false">
      <c r="A56" s="42" t="n">
        <v>46429.5305555556</v>
      </c>
      <c r="B56" s="10" t="s">
        <v>1619</v>
      </c>
      <c r="C56" s="10" t="s">
        <v>1449</v>
      </c>
      <c r="F56" s="10" t="s">
        <v>1578</v>
      </c>
    </row>
    <row r="57" customFormat="false" ht="15" hidden="false" customHeight="false" outlineLevel="0" collapsed="false">
      <c r="A57" s="42" t="n">
        <v>46429.5423611111</v>
      </c>
      <c r="B57" s="10" t="s">
        <v>1617</v>
      </c>
      <c r="C57" s="10" t="s">
        <v>1449</v>
      </c>
      <c r="F57" s="10" t="s">
        <v>1571</v>
      </c>
    </row>
    <row r="58" customFormat="false" ht="15" hidden="false" customHeight="false" outlineLevel="0" collapsed="false">
      <c r="A58" s="42" t="n">
        <v>46429.5555555556</v>
      </c>
      <c r="B58" s="10" t="s">
        <v>1617</v>
      </c>
      <c r="C58" s="10" t="s">
        <v>1466</v>
      </c>
      <c r="D58" s="0" t="n">
        <v>4</v>
      </c>
      <c r="E58" s="10" t="s">
        <v>1573</v>
      </c>
    </row>
    <row r="59" customFormat="false" ht="15" hidden="false" customHeight="false" outlineLevel="0" collapsed="false">
      <c r="A59" s="42" t="n">
        <v>46429.5784722222</v>
      </c>
      <c r="B59" s="10" t="s">
        <v>1620</v>
      </c>
      <c r="C59" s="10" t="s">
        <v>1466</v>
      </c>
      <c r="D59" s="0" t="n">
        <v>3</v>
      </c>
      <c r="E59" s="10" t="s">
        <v>1573</v>
      </c>
    </row>
    <row r="60" customFormat="false" ht="15" hidden="false" customHeight="false" outlineLevel="0" collapsed="false">
      <c r="A60" s="42" t="n">
        <v>46429.5791666667</v>
      </c>
      <c r="B60" s="10" t="s">
        <v>1623</v>
      </c>
      <c r="C60" s="10" t="s">
        <v>1466</v>
      </c>
      <c r="D60" s="0" t="n">
        <v>4</v>
      </c>
      <c r="E60" s="10" t="s">
        <v>1466</v>
      </c>
      <c r="G60" s="10" t="s">
        <v>491</v>
      </c>
    </row>
    <row r="61" customFormat="false" ht="15" hidden="false" customHeight="false" outlineLevel="0" collapsed="false">
      <c r="A61" s="42" t="n">
        <v>46429.6034722222</v>
      </c>
      <c r="B61" s="10" t="s">
        <v>1623</v>
      </c>
      <c r="C61" s="10" t="s">
        <v>1449</v>
      </c>
      <c r="F61" s="10" t="s">
        <v>1574</v>
      </c>
    </row>
    <row r="62" customFormat="false" ht="15" hidden="false" customHeight="false" outlineLevel="0" collapsed="false">
      <c r="A62" s="42" t="n">
        <v>46429.6083333333</v>
      </c>
      <c r="B62" s="10" t="s">
        <v>1620</v>
      </c>
      <c r="C62" s="10" t="s">
        <v>1466</v>
      </c>
      <c r="D62" s="0" t="n">
        <v>4</v>
      </c>
      <c r="E62" s="10" t="s">
        <v>1466</v>
      </c>
      <c r="G62" s="10" t="s">
        <v>510</v>
      </c>
    </row>
    <row r="63" customFormat="false" ht="15" hidden="false" customHeight="false" outlineLevel="0" collapsed="false">
      <c r="A63" s="42" t="n">
        <v>46429.6118055556</v>
      </c>
      <c r="B63" s="10" t="s">
        <v>1622</v>
      </c>
      <c r="C63" s="10" t="s">
        <v>1466</v>
      </c>
      <c r="D63" s="0" t="n">
        <v>4</v>
      </c>
      <c r="E63" s="10" t="s">
        <v>1573</v>
      </c>
    </row>
    <row r="64" customFormat="false" ht="15" hidden="false" customHeight="false" outlineLevel="0" collapsed="false">
      <c r="A64" s="42" t="n">
        <v>46429.6256944445</v>
      </c>
      <c r="B64" s="10" t="s">
        <v>1622</v>
      </c>
      <c r="C64" s="10" t="s">
        <v>1449</v>
      </c>
      <c r="F64" s="10" t="s">
        <v>1578</v>
      </c>
    </row>
    <row r="65" customFormat="false" ht="15" hidden="false" customHeight="false" outlineLevel="0" collapsed="false">
      <c r="A65" s="42" t="n">
        <v>46429.6263888889</v>
      </c>
      <c r="B65" s="10" t="s">
        <v>1616</v>
      </c>
      <c r="C65" s="10" t="s">
        <v>1449</v>
      </c>
      <c r="F65" s="10" t="s">
        <v>1571</v>
      </c>
    </row>
    <row r="66" customFormat="false" ht="15" hidden="false" customHeight="false" outlineLevel="0" collapsed="false">
      <c r="A66" s="42" t="n">
        <v>46429.6638888889</v>
      </c>
      <c r="B66" s="10" t="s">
        <v>1623</v>
      </c>
      <c r="C66" s="10" t="s">
        <v>1449</v>
      </c>
      <c r="F66" s="10" t="s">
        <v>1574</v>
      </c>
    </row>
    <row r="67" customFormat="false" ht="15" hidden="false" customHeight="false" outlineLevel="0" collapsed="false">
      <c r="A67" s="42" t="n">
        <v>46429.6638888889</v>
      </c>
      <c r="B67" s="10" t="s">
        <v>1623</v>
      </c>
      <c r="C67" s="10" t="s">
        <v>1466</v>
      </c>
      <c r="D67" s="0" t="n">
        <v>4</v>
      </c>
      <c r="E67" s="10" t="s">
        <v>1466</v>
      </c>
      <c r="G67" s="10" t="s">
        <v>1580</v>
      </c>
    </row>
    <row r="68" customFormat="false" ht="15" hidden="false" customHeight="false" outlineLevel="0" collapsed="false">
      <c r="A68" s="42" t="n">
        <v>46429.6645833333</v>
      </c>
      <c r="B68" s="10" t="s">
        <v>1617</v>
      </c>
      <c r="C68" s="10" t="s">
        <v>1466</v>
      </c>
      <c r="D68" s="0" t="n">
        <v>3</v>
      </c>
      <c r="E68" s="10" t="s">
        <v>1449</v>
      </c>
    </row>
    <row r="69" customFormat="false" ht="15" hidden="false" customHeight="false" outlineLevel="0" collapsed="false">
      <c r="A69" s="42" t="n">
        <v>46429.6666666667</v>
      </c>
      <c r="B69" s="10" t="s">
        <v>1616</v>
      </c>
      <c r="C69" s="10" t="s">
        <v>1449</v>
      </c>
      <c r="F69" s="10" t="s">
        <v>1578</v>
      </c>
    </row>
    <row r="70" customFormat="false" ht="15" hidden="false" customHeight="false" outlineLevel="0" collapsed="false">
      <c r="A70" s="42" t="n">
        <v>46429.6979166667</v>
      </c>
      <c r="B70" s="10" t="s">
        <v>1615</v>
      </c>
      <c r="C70" s="10" t="s">
        <v>1466</v>
      </c>
      <c r="D70" s="0" t="n">
        <v>5</v>
      </c>
      <c r="E70" s="10" t="s">
        <v>1573</v>
      </c>
      <c r="G70" s="10" t="s">
        <v>510</v>
      </c>
    </row>
    <row r="71" customFormat="false" ht="15" hidden="false" customHeight="false" outlineLevel="0" collapsed="false">
      <c r="A71" s="42" t="n">
        <v>46429.7027777778</v>
      </c>
      <c r="B71" s="10" t="s">
        <v>1622</v>
      </c>
      <c r="C71" s="10" t="s">
        <v>1449</v>
      </c>
      <c r="F71" s="10" t="s">
        <v>1571</v>
      </c>
      <c r="G71" s="10" t="s">
        <v>1579</v>
      </c>
    </row>
    <row r="72" customFormat="false" ht="15" hidden="false" customHeight="false" outlineLevel="0" collapsed="false">
      <c r="A72" s="42" t="n">
        <v>46430.3951388889</v>
      </c>
      <c r="B72" s="10" t="s">
        <v>1622</v>
      </c>
      <c r="C72" s="10" t="s">
        <v>1466</v>
      </c>
      <c r="D72" s="0" t="n">
        <v>5</v>
      </c>
      <c r="E72" s="10" t="s">
        <v>1573</v>
      </c>
    </row>
    <row r="73" customFormat="false" ht="15" hidden="false" customHeight="false" outlineLevel="0" collapsed="false">
      <c r="A73" s="42" t="n">
        <v>46430.4083333333</v>
      </c>
      <c r="B73" s="10" t="s">
        <v>1620</v>
      </c>
      <c r="C73" s="10" t="s">
        <v>1466</v>
      </c>
      <c r="D73" s="0" t="n">
        <v>5</v>
      </c>
      <c r="E73" s="10" t="s">
        <v>1449</v>
      </c>
    </row>
    <row r="74" customFormat="false" ht="15" hidden="false" customHeight="false" outlineLevel="0" collapsed="false">
      <c r="A74" s="42" t="n">
        <v>46430.4215277778</v>
      </c>
      <c r="B74" s="10" t="s">
        <v>1616</v>
      </c>
      <c r="C74" s="10" t="s">
        <v>1449</v>
      </c>
      <c r="F74" s="10" t="s">
        <v>1578</v>
      </c>
      <c r="G74" s="10" t="s">
        <v>1576</v>
      </c>
    </row>
    <row r="75" customFormat="false" ht="15" hidden="false" customHeight="false" outlineLevel="0" collapsed="false">
      <c r="A75" s="42" t="n">
        <v>46430.5631944445</v>
      </c>
      <c r="B75" s="10" t="s">
        <v>1614</v>
      </c>
      <c r="C75" s="10" t="s">
        <v>1466</v>
      </c>
      <c r="D75" s="0" t="n">
        <v>5</v>
      </c>
      <c r="E75" s="10" t="s">
        <v>1466</v>
      </c>
    </row>
    <row r="76" customFormat="false" ht="15" hidden="false" customHeight="false" outlineLevel="0" collapsed="false">
      <c r="A76" s="42" t="n">
        <v>46430.5951388889</v>
      </c>
      <c r="B76" s="10" t="s">
        <v>1618</v>
      </c>
      <c r="C76" s="10" t="s">
        <v>1466</v>
      </c>
      <c r="D76" s="0" t="n">
        <v>4</v>
      </c>
      <c r="E76" s="10" t="s">
        <v>1466</v>
      </c>
    </row>
    <row r="77" customFormat="false" ht="15" hidden="false" customHeight="false" outlineLevel="0" collapsed="false">
      <c r="A77" s="42" t="n">
        <v>46434.4881944444</v>
      </c>
      <c r="B77" s="10" t="s">
        <v>1622</v>
      </c>
      <c r="C77" s="10" t="s">
        <v>1466</v>
      </c>
      <c r="D77" s="0" t="n">
        <v>4</v>
      </c>
      <c r="E77" s="10" t="s">
        <v>1466</v>
      </c>
    </row>
    <row r="78" customFormat="false" ht="15" hidden="false" customHeight="false" outlineLevel="0" collapsed="false">
      <c r="A78" s="42" t="n">
        <v>46434.5694444445</v>
      </c>
      <c r="B78" s="10" t="s">
        <v>1618</v>
      </c>
      <c r="C78" s="10" t="s">
        <v>1466</v>
      </c>
      <c r="D78" s="0" t="n">
        <v>4</v>
      </c>
      <c r="E78" s="10" t="s">
        <v>1573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1421</v>
      </c>
      <c r="B1" s="41" t="s">
        <v>1559</v>
      </c>
      <c r="C1" s="41" t="s">
        <v>1624</v>
      </c>
      <c r="D1" s="41" t="s">
        <v>1561</v>
      </c>
      <c r="E1" s="41" t="s">
        <v>1562</v>
      </c>
      <c r="F1" s="41" t="s">
        <v>1563</v>
      </c>
      <c r="G1" s="41" t="s">
        <v>1625</v>
      </c>
    </row>
    <row r="2" customFormat="false" ht="15" hidden="false" customHeight="false" outlineLevel="0" collapsed="false">
      <c r="A2" s="42" t="n">
        <v>46441.3840277778</v>
      </c>
      <c r="B2" s="10" t="s">
        <v>1626</v>
      </c>
      <c r="C2" s="10" t="s">
        <v>1466</v>
      </c>
      <c r="D2" s="0" t="n">
        <v>5</v>
      </c>
      <c r="E2" s="10" t="s">
        <v>1449</v>
      </c>
      <c r="G2" s="10" t="s">
        <v>571</v>
      </c>
    </row>
    <row r="3" customFormat="false" ht="15" hidden="false" customHeight="false" outlineLevel="0" collapsed="false">
      <c r="A3" s="42" t="n">
        <v>46441.3979166667</v>
      </c>
      <c r="B3" s="10" t="s">
        <v>1627</v>
      </c>
      <c r="C3" s="10" t="s">
        <v>1466</v>
      </c>
      <c r="D3" s="0" t="n">
        <v>5</v>
      </c>
      <c r="E3" s="10" t="s">
        <v>1449</v>
      </c>
      <c r="G3" s="10" t="s">
        <v>572</v>
      </c>
    </row>
    <row r="4" customFormat="false" ht="15" hidden="false" customHeight="false" outlineLevel="0" collapsed="false">
      <c r="A4" s="42" t="n">
        <v>46441.4430555556</v>
      </c>
      <c r="B4" s="10" t="s">
        <v>1628</v>
      </c>
      <c r="C4" s="10" t="s">
        <v>1466</v>
      </c>
      <c r="D4" s="0" t="n">
        <v>4</v>
      </c>
      <c r="E4" s="10" t="s">
        <v>1573</v>
      </c>
      <c r="G4" s="10" t="s">
        <v>573</v>
      </c>
    </row>
    <row r="5" customFormat="false" ht="15" hidden="false" customHeight="false" outlineLevel="0" collapsed="false">
      <c r="A5" s="42" t="n">
        <v>46441.4645833333</v>
      </c>
      <c r="B5" s="10" t="s">
        <v>1627</v>
      </c>
      <c r="C5" s="10" t="s">
        <v>1449</v>
      </c>
      <c r="F5" s="10" t="s">
        <v>1574</v>
      </c>
    </row>
    <row r="6" customFormat="false" ht="15" hidden="false" customHeight="false" outlineLevel="0" collapsed="false">
      <c r="A6" s="42" t="n">
        <v>46441.5020833333</v>
      </c>
      <c r="B6" s="10" t="s">
        <v>1626</v>
      </c>
      <c r="C6" s="10" t="s">
        <v>1466</v>
      </c>
      <c r="D6" s="0" t="n">
        <v>4</v>
      </c>
      <c r="E6" s="10" t="s">
        <v>1449</v>
      </c>
    </row>
    <row r="7" customFormat="false" ht="15" hidden="false" customHeight="false" outlineLevel="0" collapsed="false">
      <c r="A7" s="42" t="n">
        <v>46441.525</v>
      </c>
      <c r="B7" s="10" t="s">
        <v>1629</v>
      </c>
      <c r="C7" s="10" t="s">
        <v>1466</v>
      </c>
      <c r="D7" s="0" t="n">
        <v>5</v>
      </c>
      <c r="E7" s="10" t="s">
        <v>1466</v>
      </c>
    </row>
    <row r="8" customFormat="false" ht="15" hidden="false" customHeight="false" outlineLevel="0" collapsed="false">
      <c r="A8" s="42" t="n">
        <v>46441.5472222222</v>
      </c>
      <c r="B8" s="10" t="s">
        <v>1628</v>
      </c>
      <c r="C8" s="10" t="s">
        <v>1449</v>
      </c>
      <c r="F8" s="10" t="s">
        <v>1571</v>
      </c>
      <c r="G8" s="10" t="s">
        <v>491</v>
      </c>
    </row>
    <row r="9" customFormat="false" ht="15" hidden="false" customHeight="false" outlineLevel="0" collapsed="false">
      <c r="A9" s="42" t="n">
        <v>46441.5590277778</v>
      </c>
      <c r="B9" s="10" t="s">
        <v>1630</v>
      </c>
      <c r="C9" s="10" t="s">
        <v>1466</v>
      </c>
      <c r="D9" s="0" t="n">
        <v>5</v>
      </c>
      <c r="E9" s="10" t="s">
        <v>1573</v>
      </c>
      <c r="G9" s="10" t="s">
        <v>510</v>
      </c>
    </row>
    <row r="10" customFormat="false" ht="15" hidden="false" customHeight="false" outlineLevel="0" collapsed="false">
      <c r="A10" s="42" t="n">
        <v>46441.5722222222</v>
      </c>
      <c r="B10" s="10" t="s">
        <v>1629</v>
      </c>
      <c r="C10" s="10" t="s">
        <v>1466</v>
      </c>
      <c r="D10" s="0" t="n">
        <v>5</v>
      </c>
      <c r="E10" s="10" t="s">
        <v>1466</v>
      </c>
    </row>
    <row r="11" customFormat="false" ht="15" hidden="false" customHeight="false" outlineLevel="0" collapsed="false">
      <c r="A11" s="42" t="n">
        <v>46441.5819444444</v>
      </c>
      <c r="B11" s="10" t="s">
        <v>1631</v>
      </c>
      <c r="C11" s="10" t="s">
        <v>1449</v>
      </c>
      <c r="F11" s="10" t="s">
        <v>1574</v>
      </c>
      <c r="G11" s="10" t="s">
        <v>492</v>
      </c>
    </row>
    <row r="12" customFormat="false" ht="15" hidden="false" customHeight="false" outlineLevel="0" collapsed="false">
      <c r="A12" s="42" t="n">
        <v>46441.5819444444</v>
      </c>
      <c r="B12" s="10" t="s">
        <v>1631</v>
      </c>
      <c r="C12" s="10" t="s">
        <v>1449</v>
      </c>
      <c r="F12" s="10" t="s">
        <v>1578</v>
      </c>
    </row>
    <row r="13" customFormat="false" ht="15" hidden="false" customHeight="false" outlineLevel="0" collapsed="false">
      <c r="A13" s="42" t="n">
        <v>46441.5979166667</v>
      </c>
      <c r="B13" s="10" t="s">
        <v>1626</v>
      </c>
      <c r="C13" s="10" t="s">
        <v>1466</v>
      </c>
      <c r="D13" s="0" t="n">
        <v>5</v>
      </c>
      <c r="E13" s="10" t="s">
        <v>1466</v>
      </c>
      <c r="G13" s="10" t="s">
        <v>512</v>
      </c>
    </row>
    <row r="14" customFormat="false" ht="15" hidden="false" customHeight="false" outlineLevel="0" collapsed="false">
      <c r="A14" s="42" t="n">
        <v>46441.6173611111</v>
      </c>
      <c r="B14" s="10" t="s">
        <v>1632</v>
      </c>
      <c r="C14" s="10" t="s">
        <v>1466</v>
      </c>
      <c r="D14" s="0" t="n">
        <v>4</v>
      </c>
      <c r="E14" s="10" t="s">
        <v>1573</v>
      </c>
    </row>
    <row r="15" customFormat="false" ht="15" hidden="false" customHeight="false" outlineLevel="0" collapsed="false">
      <c r="A15" s="42" t="n">
        <v>46441.6527777778</v>
      </c>
      <c r="B15" s="10" t="s">
        <v>1630</v>
      </c>
      <c r="C15" s="10" t="s">
        <v>1466</v>
      </c>
      <c r="D15" s="0" t="n">
        <v>4</v>
      </c>
      <c r="E15" s="10" t="s">
        <v>1449</v>
      </c>
    </row>
    <row r="16" customFormat="false" ht="15" hidden="false" customHeight="false" outlineLevel="0" collapsed="false">
      <c r="A16" s="42" t="n">
        <v>46441.6770833333</v>
      </c>
      <c r="B16" s="10" t="s">
        <v>1633</v>
      </c>
      <c r="C16" s="10" t="s">
        <v>1466</v>
      </c>
      <c r="D16" s="0" t="n">
        <v>5</v>
      </c>
      <c r="E16" s="10" t="s">
        <v>1449</v>
      </c>
    </row>
    <row r="17" customFormat="false" ht="15" hidden="false" customHeight="false" outlineLevel="0" collapsed="false">
      <c r="A17" s="42" t="n">
        <v>46441.6847222222</v>
      </c>
      <c r="B17" s="10" t="s">
        <v>1627</v>
      </c>
      <c r="C17" s="10" t="s">
        <v>1466</v>
      </c>
      <c r="D17" s="0" t="n">
        <v>5</v>
      </c>
      <c r="E17" s="10" t="s">
        <v>1573</v>
      </c>
    </row>
    <row r="18" customFormat="false" ht="15" hidden="false" customHeight="false" outlineLevel="0" collapsed="false">
      <c r="A18" s="42" t="n">
        <v>46441.6881944445</v>
      </c>
      <c r="B18" s="10" t="s">
        <v>1626</v>
      </c>
      <c r="C18" s="10" t="s">
        <v>1466</v>
      </c>
      <c r="D18" s="0" t="n">
        <v>4</v>
      </c>
      <c r="E18" s="10" t="s">
        <v>1449</v>
      </c>
      <c r="G18" s="10" t="s">
        <v>1580</v>
      </c>
    </row>
    <row r="19" customFormat="false" ht="15" hidden="false" customHeight="false" outlineLevel="0" collapsed="false">
      <c r="A19" s="42" t="n">
        <v>46441.6930555556</v>
      </c>
      <c r="B19" s="10" t="s">
        <v>1629</v>
      </c>
      <c r="C19" s="10" t="s">
        <v>1466</v>
      </c>
      <c r="D19" s="0" t="n">
        <v>4</v>
      </c>
      <c r="E19" s="10" t="s">
        <v>1573</v>
      </c>
      <c r="G19" s="10" t="s">
        <v>511</v>
      </c>
    </row>
    <row r="20" customFormat="false" ht="15" hidden="false" customHeight="false" outlineLevel="0" collapsed="false">
      <c r="A20" s="42" t="n">
        <v>46442.3770833333</v>
      </c>
      <c r="B20" s="10" t="s">
        <v>1629</v>
      </c>
      <c r="C20" s="10" t="s">
        <v>1466</v>
      </c>
      <c r="D20" s="0" t="n">
        <v>4</v>
      </c>
      <c r="E20" s="10" t="s">
        <v>1466</v>
      </c>
    </row>
    <row r="21" customFormat="false" ht="15" hidden="false" customHeight="false" outlineLevel="0" collapsed="false">
      <c r="A21" s="42" t="n">
        <v>46442.3819444445</v>
      </c>
      <c r="B21" s="10" t="s">
        <v>1629</v>
      </c>
      <c r="C21" s="10" t="s">
        <v>1466</v>
      </c>
      <c r="D21" s="0" t="n">
        <v>3</v>
      </c>
      <c r="E21" s="10" t="s">
        <v>1573</v>
      </c>
    </row>
    <row r="22" customFormat="false" ht="15" hidden="false" customHeight="false" outlineLevel="0" collapsed="false">
      <c r="A22" s="42" t="n">
        <v>46442.3868055556</v>
      </c>
      <c r="B22" s="10" t="s">
        <v>1633</v>
      </c>
      <c r="C22" s="10" t="s">
        <v>1466</v>
      </c>
      <c r="D22" s="0" t="n">
        <v>5</v>
      </c>
      <c r="E22" s="10" t="s">
        <v>1573</v>
      </c>
    </row>
    <row r="23" customFormat="false" ht="15" hidden="false" customHeight="false" outlineLevel="0" collapsed="false">
      <c r="A23" s="42" t="n">
        <v>46442.4291666667</v>
      </c>
      <c r="B23" s="10" t="s">
        <v>1628</v>
      </c>
      <c r="C23" s="10" t="s">
        <v>1466</v>
      </c>
      <c r="D23" s="0" t="n">
        <v>4</v>
      </c>
      <c r="E23" s="10" t="s">
        <v>1466</v>
      </c>
    </row>
    <row r="24" customFormat="false" ht="15" hidden="false" customHeight="false" outlineLevel="0" collapsed="false">
      <c r="A24" s="42" t="n">
        <v>46442.4291666667</v>
      </c>
      <c r="B24" s="10" t="s">
        <v>1628</v>
      </c>
      <c r="C24" s="10" t="s">
        <v>1466</v>
      </c>
      <c r="D24" s="0" t="n">
        <v>4</v>
      </c>
      <c r="E24" s="10" t="s">
        <v>1449</v>
      </c>
    </row>
    <row r="25" customFormat="false" ht="15" hidden="false" customHeight="false" outlineLevel="0" collapsed="false">
      <c r="A25" s="42" t="n">
        <v>46442.4777777778</v>
      </c>
      <c r="B25" s="10" t="s">
        <v>1631</v>
      </c>
      <c r="C25" s="10" t="s">
        <v>1466</v>
      </c>
      <c r="D25" s="0" t="n">
        <v>5</v>
      </c>
      <c r="E25" s="10" t="s">
        <v>1449</v>
      </c>
    </row>
    <row r="26" customFormat="false" ht="15" hidden="false" customHeight="false" outlineLevel="0" collapsed="false">
      <c r="A26" s="42" t="n">
        <v>46442.4826388889</v>
      </c>
      <c r="B26" s="10" t="s">
        <v>1632</v>
      </c>
      <c r="C26" s="10" t="s">
        <v>1466</v>
      </c>
      <c r="D26" s="0" t="n">
        <v>5</v>
      </c>
      <c r="E26" s="10" t="s">
        <v>1449</v>
      </c>
    </row>
    <row r="27" customFormat="false" ht="15" hidden="false" customHeight="false" outlineLevel="0" collapsed="false">
      <c r="A27" s="42" t="n">
        <v>46442.4847222222</v>
      </c>
      <c r="B27" s="10" t="s">
        <v>1629</v>
      </c>
      <c r="C27" s="10" t="s">
        <v>1449</v>
      </c>
      <c r="F27" s="10" t="s">
        <v>1571</v>
      </c>
    </row>
    <row r="28" customFormat="false" ht="15" hidden="false" customHeight="false" outlineLevel="0" collapsed="false">
      <c r="A28" s="42" t="n">
        <v>46442.5090277778</v>
      </c>
      <c r="B28" s="10" t="s">
        <v>1630</v>
      </c>
      <c r="C28" s="10" t="s">
        <v>1466</v>
      </c>
      <c r="D28" s="0" t="n">
        <v>5</v>
      </c>
      <c r="E28" s="10" t="s">
        <v>1466</v>
      </c>
    </row>
    <row r="29" customFormat="false" ht="15" hidden="false" customHeight="false" outlineLevel="0" collapsed="false">
      <c r="A29" s="42" t="n">
        <v>46442.5201388889</v>
      </c>
      <c r="B29" s="10" t="s">
        <v>1633</v>
      </c>
      <c r="C29" s="10" t="s">
        <v>1466</v>
      </c>
      <c r="D29" s="0" t="n">
        <v>4</v>
      </c>
      <c r="E29" s="10" t="s">
        <v>1466</v>
      </c>
      <c r="G29" s="10" t="s">
        <v>1580</v>
      </c>
    </row>
    <row r="30" customFormat="false" ht="15" hidden="false" customHeight="false" outlineLevel="0" collapsed="false">
      <c r="A30" s="42" t="n">
        <v>46442.5333333333</v>
      </c>
      <c r="B30" s="10" t="s">
        <v>1634</v>
      </c>
      <c r="C30" s="10" t="s">
        <v>1466</v>
      </c>
      <c r="D30" s="0" t="n">
        <v>4</v>
      </c>
      <c r="E30" s="10" t="s">
        <v>1466</v>
      </c>
    </row>
    <row r="31" customFormat="false" ht="15" hidden="false" customHeight="false" outlineLevel="0" collapsed="false">
      <c r="A31" s="42" t="n">
        <v>46442.55625</v>
      </c>
      <c r="B31" s="10" t="s">
        <v>1633</v>
      </c>
      <c r="C31" s="10" t="s">
        <v>1449</v>
      </c>
      <c r="F31" s="10" t="s">
        <v>1571</v>
      </c>
    </row>
    <row r="32" customFormat="false" ht="15" hidden="false" customHeight="false" outlineLevel="0" collapsed="false">
      <c r="A32" s="42" t="n">
        <v>46442.5625</v>
      </c>
      <c r="B32" s="10" t="s">
        <v>1630</v>
      </c>
      <c r="C32" s="10" t="s">
        <v>1466</v>
      </c>
      <c r="D32" s="0" t="n">
        <v>5</v>
      </c>
      <c r="E32" s="10" t="s">
        <v>1573</v>
      </c>
    </row>
    <row r="33" customFormat="false" ht="15" hidden="false" customHeight="false" outlineLevel="0" collapsed="false">
      <c r="A33" s="42" t="n">
        <v>46442.5645833333</v>
      </c>
      <c r="B33" s="10" t="s">
        <v>1634</v>
      </c>
      <c r="C33" s="10" t="s">
        <v>1466</v>
      </c>
      <c r="D33" s="0" t="n">
        <v>4</v>
      </c>
      <c r="E33" s="10" t="s">
        <v>1573</v>
      </c>
    </row>
    <row r="34" customFormat="false" ht="15" hidden="false" customHeight="false" outlineLevel="0" collapsed="false">
      <c r="A34" s="42" t="n">
        <v>46442.5777777778</v>
      </c>
      <c r="B34" s="10" t="s">
        <v>1627</v>
      </c>
      <c r="C34" s="10" t="s">
        <v>1466</v>
      </c>
      <c r="D34" s="0" t="n">
        <v>4</v>
      </c>
      <c r="E34" s="10" t="s">
        <v>1449</v>
      </c>
      <c r="G34" s="10" t="s">
        <v>491</v>
      </c>
    </row>
    <row r="35" customFormat="false" ht="15" hidden="false" customHeight="false" outlineLevel="0" collapsed="false">
      <c r="A35" s="42" t="n">
        <v>46442.5965277778</v>
      </c>
      <c r="B35" s="10" t="s">
        <v>1634</v>
      </c>
      <c r="C35" s="10" t="s">
        <v>1449</v>
      </c>
      <c r="F35" s="10" t="s">
        <v>1578</v>
      </c>
      <c r="G35" s="10" t="s">
        <v>492</v>
      </c>
    </row>
    <row r="36" customFormat="false" ht="15" hidden="false" customHeight="false" outlineLevel="0" collapsed="false">
      <c r="A36" s="42" t="n">
        <v>46442.6375</v>
      </c>
      <c r="B36" s="10" t="s">
        <v>1630</v>
      </c>
      <c r="C36" s="10" t="s">
        <v>1466</v>
      </c>
      <c r="D36" s="0" t="n">
        <v>4</v>
      </c>
      <c r="E36" s="10" t="s">
        <v>1573</v>
      </c>
    </row>
    <row r="37" customFormat="false" ht="15" hidden="false" customHeight="false" outlineLevel="0" collapsed="false">
      <c r="A37" s="42" t="n">
        <v>46442.65</v>
      </c>
      <c r="B37" s="10" t="s">
        <v>1634</v>
      </c>
      <c r="C37" s="10" t="s">
        <v>1449</v>
      </c>
      <c r="F37" s="10" t="s">
        <v>1574</v>
      </c>
    </row>
    <row r="38" customFormat="false" ht="15" hidden="false" customHeight="false" outlineLevel="0" collapsed="false">
      <c r="A38" s="42" t="n">
        <v>46442.6993055556</v>
      </c>
      <c r="B38" s="10" t="s">
        <v>1631</v>
      </c>
      <c r="C38" s="10" t="s">
        <v>1466</v>
      </c>
      <c r="D38" s="0" t="n">
        <v>4</v>
      </c>
      <c r="E38" s="10" t="s">
        <v>1573</v>
      </c>
    </row>
    <row r="39" customFormat="false" ht="15" hidden="false" customHeight="false" outlineLevel="0" collapsed="false">
      <c r="A39" s="42" t="n">
        <v>46443.3770833333</v>
      </c>
      <c r="B39" s="10" t="s">
        <v>1634</v>
      </c>
      <c r="C39" s="10" t="s">
        <v>1466</v>
      </c>
      <c r="D39" s="0" t="n">
        <v>4</v>
      </c>
      <c r="E39" s="10" t="s">
        <v>1573</v>
      </c>
    </row>
    <row r="40" customFormat="false" ht="15" hidden="false" customHeight="false" outlineLevel="0" collapsed="false">
      <c r="A40" s="42" t="n">
        <v>46443.38125</v>
      </c>
      <c r="B40" s="10" t="s">
        <v>1632</v>
      </c>
      <c r="C40" s="10" t="s">
        <v>1449</v>
      </c>
      <c r="F40" s="10" t="s">
        <v>1571</v>
      </c>
    </row>
    <row r="41" customFormat="false" ht="15" hidden="false" customHeight="false" outlineLevel="0" collapsed="false">
      <c r="A41" s="42" t="n">
        <v>46443.4020833333</v>
      </c>
      <c r="B41" s="10" t="s">
        <v>1629</v>
      </c>
      <c r="C41" s="10" t="s">
        <v>1466</v>
      </c>
      <c r="D41" s="0" t="n">
        <v>4</v>
      </c>
      <c r="E41" s="10" t="s">
        <v>1573</v>
      </c>
    </row>
    <row r="42" customFormat="false" ht="15" hidden="false" customHeight="false" outlineLevel="0" collapsed="false">
      <c r="A42" s="42" t="n">
        <v>46443.4034722222</v>
      </c>
      <c r="B42" s="10" t="s">
        <v>1627</v>
      </c>
      <c r="C42" s="10" t="s">
        <v>1466</v>
      </c>
      <c r="D42" s="0" t="n">
        <v>4</v>
      </c>
      <c r="E42" s="10" t="s">
        <v>1573</v>
      </c>
    </row>
    <row r="43" customFormat="false" ht="15" hidden="false" customHeight="false" outlineLevel="0" collapsed="false">
      <c r="A43" s="42" t="n">
        <v>46443.4166666667</v>
      </c>
      <c r="B43" s="10" t="s">
        <v>1633</v>
      </c>
      <c r="C43" s="10" t="s">
        <v>1466</v>
      </c>
      <c r="D43" s="0" t="n">
        <v>4</v>
      </c>
      <c r="E43" s="10" t="s">
        <v>1449</v>
      </c>
      <c r="G43" s="10" t="s">
        <v>511</v>
      </c>
    </row>
    <row r="44" customFormat="false" ht="15" hidden="false" customHeight="false" outlineLevel="0" collapsed="false">
      <c r="A44" s="42" t="n">
        <v>46443.4291666667</v>
      </c>
      <c r="B44" s="10" t="s">
        <v>1630</v>
      </c>
      <c r="C44" s="10" t="s">
        <v>1466</v>
      </c>
      <c r="D44" s="0" t="n">
        <v>5</v>
      </c>
      <c r="E44" s="10" t="s">
        <v>1449</v>
      </c>
      <c r="G44" s="10" t="s">
        <v>491</v>
      </c>
    </row>
    <row r="45" customFormat="false" ht="15" hidden="false" customHeight="false" outlineLevel="0" collapsed="false">
      <c r="A45" s="42" t="n">
        <v>46443.4597222222</v>
      </c>
      <c r="B45" s="10" t="s">
        <v>1630</v>
      </c>
      <c r="C45" s="10" t="s">
        <v>1466</v>
      </c>
      <c r="D45" s="0" t="n">
        <v>5</v>
      </c>
      <c r="E45" s="10" t="s">
        <v>1573</v>
      </c>
      <c r="G45" s="10" t="s">
        <v>491</v>
      </c>
    </row>
    <row r="46" customFormat="false" ht="15" hidden="false" customHeight="false" outlineLevel="0" collapsed="false">
      <c r="A46" s="42" t="n">
        <v>46443.4736111111</v>
      </c>
      <c r="B46" s="10" t="s">
        <v>1628</v>
      </c>
      <c r="C46" s="10" t="s">
        <v>1466</v>
      </c>
      <c r="D46" s="0" t="n">
        <v>5</v>
      </c>
      <c r="E46" s="10" t="s">
        <v>1573</v>
      </c>
      <c r="G46" s="10" t="s">
        <v>511</v>
      </c>
    </row>
    <row r="47" customFormat="false" ht="15" hidden="false" customHeight="false" outlineLevel="0" collapsed="false">
      <c r="A47" s="42" t="n">
        <v>46443.4972222222</v>
      </c>
      <c r="B47" s="10" t="s">
        <v>1633</v>
      </c>
      <c r="C47" s="10" t="s">
        <v>1466</v>
      </c>
      <c r="D47" s="0" t="n">
        <v>4</v>
      </c>
      <c r="E47" s="10" t="s">
        <v>1573</v>
      </c>
      <c r="G47" s="10" t="s">
        <v>511</v>
      </c>
    </row>
    <row r="48" customFormat="false" ht="15" hidden="false" customHeight="false" outlineLevel="0" collapsed="false">
      <c r="A48" s="42" t="n">
        <v>46443.5180555556</v>
      </c>
      <c r="B48" s="10" t="s">
        <v>1627</v>
      </c>
      <c r="C48" s="10" t="s">
        <v>1466</v>
      </c>
      <c r="D48" s="0" t="n">
        <v>4</v>
      </c>
      <c r="E48" s="10" t="s">
        <v>1573</v>
      </c>
    </row>
    <row r="49" customFormat="false" ht="15" hidden="false" customHeight="false" outlineLevel="0" collapsed="false">
      <c r="A49" s="42" t="n">
        <v>46443.5229166667</v>
      </c>
      <c r="B49" s="10" t="s">
        <v>1626</v>
      </c>
      <c r="C49" s="10" t="s">
        <v>1466</v>
      </c>
      <c r="D49" s="0" t="n">
        <v>4</v>
      </c>
      <c r="E49" s="10" t="s">
        <v>1466</v>
      </c>
    </row>
    <row r="50" customFormat="false" ht="15" hidden="false" customHeight="false" outlineLevel="0" collapsed="false">
      <c r="A50" s="42" t="n">
        <v>46443.5277777778</v>
      </c>
      <c r="B50" s="10" t="s">
        <v>1626</v>
      </c>
      <c r="C50" s="10" t="s">
        <v>1449</v>
      </c>
      <c r="F50" s="10" t="s">
        <v>1571</v>
      </c>
      <c r="G50" s="10" t="s">
        <v>512</v>
      </c>
    </row>
    <row r="51" customFormat="false" ht="15" hidden="false" customHeight="false" outlineLevel="0" collapsed="false">
      <c r="A51" s="42" t="n">
        <v>46443.5423611111</v>
      </c>
      <c r="B51" s="10" t="s">
        <v>1634</v>
      </c>
      <c r="C51" s="10" t="s">
        <v>1466</v>
      </c>
      <c r="D51" s="0" t="n">
        <v>5</v>
      </c>
      <c r="E51" s="10" t="s">
        <v>1449</v>
      </c>
    </row>
    <row r="52" customFormat="false" ht="15" hidden="false" customHeight="false" outlineLevel="0" collapsed="false">
      <c r="A52" s="42" t="n">
        <v>46443.5479166667</v>
      </c>
      <c r="B52" s="10" t="s">
        <v>1632</v>
      </c>
      <c r="C52" s="10" t="s">
        <v>1466</v>
      </c>
      <c r="D52" s="0" t="n">
        <v>4</v>
      </c>
      <c r="E52" s="10" t="s">
        <v>1449</v>
      </c>
    </row>
    <row r="53" customFormat="false" ht="15" hidden="false" customHeight="false" outlineLevel="0" collapsed="false">
      <c r="A53" s="42" t="n">
        <v>46443.5486111111</v>
      </c>
      <c r="B53" s="10" t="s">
        <v>1627</v>
      </c>
      <c r="C53" s="10" t="s">
        <v>1466</v>
      </c>
      <c r="D53" s="0" t="n">
        <v>5</v>
      </c>
      <c r="E53" s="10" t="s">
        <v>1573</v>
      </c>
      <c r="G53" s="10" t="s">
        <v>1580</v>
      </c>
    </row>
    <row r="54" customFormat="false" ht="15" hidden="false" customHeight="false" outlineLevel="0" collapsed="false">
      <c r="A54" s="42" t="n">
        <v>46443.6256944445</v>
      </c>
      <c r="B54" s="10" t="s">
        <v>1627</v>
      </c>
      <c r="C54" s="10" t="s">
        <v>1466</v>
      </c>
      <c r="D54" s="0" t="n">
        <v>4</v>
      </c>
      <c r="E54" s="10" t="s">
        <v>1466</v>
      </c>
      <c r="G54" s="10" t="s">
        <v>1576</v>
      </c>
    </row>
    <row r="55" customFormat="false" ht="15" hidden="false" customHeight="false" outlineLevel="0" collapsed="false">
      <c r="A55" s="42" t="n">
        <v>46443.6270833333</v>
      </c>
      <c r="B55" s="10" t="s">
        <v>1630</v>
      </c>
      <c r="C55" s="10" t="s">
        <v>1466</v>
      </c>
      <c r="D55" s="0" t="n">
        <v>3</v>
      </c>
      <c r="E55" s="10" t="s">
        <v>1573</v>
      </c>
      <c r="G55" s="10" t="s">
        <v>491</v>
      </c>
    </row>
    <row r="56" customFormat="false" ht="15" hidden="false" customHeight="false" outlineLevel="0" collapsed="false">
      <c r="A56" s="42" t="n">
        <v>46443.64375</v>
      </c>
      <c r="B56" s="10" t="s">
        <v>1628</v>
      </c>
      <c r="C56" s="10" t="s">
        <v>1449</v>
      </c>
      <c r="F56" s="10" t="s">
        <v>1578</v>
      </c>
    </row>
    <row r="57" customFormat="false" ht="15" hidden="false" customHeight="false" outlineLevel="0" collapsed="false">
      <c r="A57" s="42" t="n">
        <v>46443.6833333333</v>
      </c>
      <c r="B57" s="10" t="s">
        <v>1634</v>
      </c>
      <c r="C57" s="10" t="s">
        <v>1449</v>
      </c>
      <c r="F57" s="10" t="s">
        <v>1574</v>
      </c>
      <c r="G57" s="10" t="s">
        <v>510</v>
      </c>
    </row>
    <row r="58" customFormat="false" ht="15" hidden="false" customHeight="false" outlineLevel="0" collapsed="false">
      <c r="A58" s="42" t="n">
        <v>46443.6868055556</v>
      </c>
      <c r="B58" s="10" t="s">
        <v>1634</v>
      </c>
      <c r="C58" s="10" t="s">
        <v>1449</v>
      </c>
      <c r="F58" s="10" t="s">
        <v>1574</v>
      </c>
      <c r="G58" s="10" t="s">
        <v>1580</v>
      </c>
    </row>
    <row r="59" customFormat="false" ht="15" hidden="false" customHeight="false" outlineLevel="0" collapsed="false">
      <c r="A59" s="42" t="n">
        <v>46444.5548611111</v>
      </c>
      <c r="B59" s="10" t="s">
        <v>1629</v>
      </c>
      <c r="C59" s="10" t="s">
        <v>1466</v>
      </c>
      <c r="D59" s="0" t="n">
        <v>4</v>
      </c>
      <c r="E59" s="10" t="s">
        <v>1449</v>
      </c>
    </row>
    <row r="60" customFormat="false" ht="15" hidden="false" customHeight="false" outlineLevel="0" collapsed="false">
      <c r="A60" s="42" t="n">
        <v>46444.5673611111</v>
      </c>
      <c r="B60" s="10" t="s">
        <v>1633</v>
      </c>
      <c r="C60" s="10" t="s">
        <v>1466</v>
      </c>
      <c r="D60" s="0" t="n">
        <v>4</v>
      </c>
      <c r="E60" s="10" t="s">
        <v>1573</v>
      </c>
    </row>
    <row r="61" customFormat="false" ht="15" hidden="false" customHeight="false" outlineLevel="0" collapsed="false">
      <c r="A61" s="42" t="n">
        <v>46444.6569444445</v>
      </c>
      <c r="B61" s="10" t="s">
        <v>1629</v>
      </c>
      <c r="C61" s="10" t="s">
        <v>1466</v>
      </c>
      <c r="D61" s="0" t="n">
        <v>4</v>
      </c>
      <c r="E61" s="10" t="s">
        <v>1466</v>
      </c>
      <c r="G61" s="10" t="s">
        <v>512</v>
      </c>
    </row>
    <row r="62" customFormat="false" ht="15" hidden="false" customHeight="false" outlineLevel="0" collapsed="false">
      <c r="A62" s="42" t="n">
        <v>46447.5402777778</v>
      </c>
      <c r="B62" s="10" t="s">
        <v>1632</v>
      </c>
      <c r="C62" s="10" t="s">
        <v>1466</v>
      </c>
      <c r="D62" s="0" t="n">
        <v>5</v>
      </c>
      <c r="E62" s="10" t="s">
        <v>1573</v>
      </c>
    </row>
    <row r="63" customFormat="false" ht="15" hidden="false" customHeight="false" outlineLevel="0" collapsed="false">
      <c r="A63" s="42" t="n">
        <v>46447.5777777778</v>
      </c>
      <c r="B63" s="10" t="s">
        <v>1631</v>
      </c>
      <c r="C63" s="10" t="s">
        <v>1466</v>
      </c>
      <c r="D63" s="0" t="n">
        <v>5</v>
      </c>
      <c r="E63" s="10" t="s">
        <v>1466</v>
      </c>
      <c r="G63" s="10"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1421</v>
      </c>
      <c r="B1" s="41" t="s">
        <v>1559</v>
      </c>
      <c r="C1" s="41" t="s">
        <v>1566</v>
      </c>
      <c r="D1" s="41" t="s">
        <v>1561</v>
      </c>
      <c r="E1" s="41" t="s">
        <v>1562</v>
      </c>
      <c r="F1" s="41" t="s">
        <v>1563</v>
      </c>
      <c r="G1" s="41" t="s">
        <v>1567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1421</v>
      </c>
      <c r="B1" s="41" t="s">
        <v>1559</v>
      </c>
      <c r="C1" s="41" t="s">
        <v>1589</v>
      </c>
      <c r="D1" s="41" t="s">
        <v>1561</v>
      </c>
      <c r="E1" s="41" t="s">
        <v>1562</v>
      </c>
      <c r="F1" s="41" t="s">
        <v>1563</v>
      </c>
      <c r="G1" s="41" t="s">
        <v>1590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2026-10-24T11:56:54Z</dcterms:created>
  <dc:creator>openpyxl</dc:creator>
  <dc:description/>
  <dc:language>en-US</dc:language>
  <cp:lastModifiedBy/>
  <dcterms:modified xsi:type="dcterms:W3CDTF">2026-10-24T11:56:56Z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